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2021\2021_BALATONFÖLDVÁR\2021_eimód_Bföldvár\2021_június_Bföldvár\"/>
    </mc:Choice>
  </mc:AlternateContent>
  <xr:revisionPtr revIDLastSave="0" documentId="13_ncr:1_{CB558BD4-75E8-4C2E-AF7D-B2AFBF2CAE16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Összesítő" sheetId="96" r:id="rId1"/>
    <sheet name="1.Bev-kiad." sheetId="36" r:id="rId2"/>
    <sheet name="2.működés" sheetId="57" r:id="rId3"/>
    <sheet name="3.felh" sheetId="58" r:id="rId4"/>
    <sheet name="4. Átadott p.eszk." sheetId="39" r:id="rId5"/>
    <sheet name="5.Bev.össz" sheetId="99" r:id="rId6"/>
    <sheet name="6.Kiad.össz. " sheetId="80" r:id="rId7"/>
    <sheet name="7.finanszírozás." sheetId="81" r:id="rId8"/>
    <sheet name="8.Önk." sheetId="82" r:id="rId9"/>
    <sheet name="zöld város" sheetId="100" state="hidden" r:id="rId10"/>
    <sheet name="9.Hivatal" sheetId="83" r:id="rId11"/>
    <sheet name="10.Többéves, adósság" sheetId="52" state="hidden" r:id="rId12"/>
    <sheet name="12. Maradványkimutatás" sheetId="88" state="hidden" r:id="rId13"/>
    <sheet name="13.Mérleg" sheetId="94" state="hidden" r:id="rId14"/>
    <sheet name="14. Eredménykimutatás" sheetId="90" state="hidden" r:id="rId15"/>
    <sheet name="15. Vagyonkimutatás" sheetId="91" state="hidden" r:id="rId16"/>
    <sheet name="16. Előirányzat felh.terv" sheetId="92" state="hidden" r:id="rId17"/>
    <sheet name="17. Részesedések" sheetId="93" state="hidden" r:id="rId18"/>
    <sheet name="10.Likviditás" sheetId="53" r:id="rId19"/>
    <sheet name="12. gördülő tervezés" sheetId="97" state="hidden" r:id="rId20"/>
    <sheet name="13. Eu projekt" sheetId="56" state="hidden" r:id="rId21"/>
    <sheet name="Társulási fel. tájékoztatásul" sheetId="101" state="hidden" r:id="rId22"/>
    <sheet name="beruházások" sheetId="98" state="hidden" r:id="rId23"/>
    <sheet name="13.2.EU projekt részletesen" sheetId="95" state="hidden" r:id="rId24"/>
  </sheets>
  <externalReferences>
    <externalReference r:id="rId25"/>
    <externalReference r:id="rId26"/>
    <externalReference r:id="rId27"/>
    <externalReference r:id="rId28"/>
  </externalReferences>
  <definedNames>
    <definedName name="_xlnm._FilterDatabase" localSheetId="1" hidden="1">'1.Bev-kiad.'!$B$1:$B$63</definedName>
    <definedName name="_xlnm._FilterDatabase" localSheetId="19" hidden="1">'12. gördülő tervezés'!$B$1:$B$63</definedName>
    <definedName name="_xlnm._FilterDatabase" localSheetId="2" hidden="1">'2.működés'!$B$1:$B$109</definedName>
    <definedName name="_xlnm._FilterDatabase" localSheetId="3" hidden="1">'3.felh'!$B$1:$B$36</definedName>
    <definedName name="_xlnm._FilterDatabase" localSheetId="22" hidden="1">beruházások!$B$1:$B$39</definedName>
    <definedName name="adfadf">'[1]4.1. táj.'!#REF!</definedName>
    <definedName name="beruh" localSheetId="19">'[1]4.1. táj.'!#REF!</definedName>
    <definedName name="beruh" localSheetId="20">'[1]4.1. táj.'!#REF!</definedName>
    <definedName name="beruh" localSheetId="2">'[1]4.1. táj.'!#REF!</definedName>
    <definedName name="beruh" localSheetId="3">'[1]4.1. táj.'!#REF!</definedName>
    <definedName name="beruh" localSheetId="6">'[1]4.1. táj.'!#REF!</definedName>
    <definedName name="beruh" localSheetId="7">'[1]4.1. táj.'!#REF!</definedName>
    <definedName name="beruh" localSheetId="8">'[1]4.1. táj.'!#REF!</definedName>
    <definedName name="beruh" localSheetId="10">'[1]4.1. táj.'!#REF!</definedName>
    <definedName name="beruh" localSheetId="22">'[1]4.1. táj.'!#REF!</definedName>
    <definedName name="beruh">'[1]4.1. táj.'!#REF!</definedName>
    <definedName name="intézmények" localSheetId="19">'[2]4.1. táj.'!#REF!</definedName>
    <definedName name="intézmények" localSheetId="20">'[2]4.1. táj.'!#REF!</definedName>
    <definedName name="intézmények" localSheetId="2">'[2]4.1. táj.'!#REF!</definedName>
    <definedName name="intézmények" localSheetId="3">'[2]4.1. táj.'!#REF!</definedName>
    <definedName name="intézmények" localSheetId="6">'[2]4.1. táj.'!#REF!</definedName>
    <definedName name="intézmények" localSheetId="7">'[2]4.1. táj.'!#REF!</definedName>
    <definedName name="intézmények" localSheetId="8">'[2]4.1. táj.'!#REF!</definedName>
    <definedName name="intézmények" localSheetId="10">'[2]4.1. táj.'!#REF!</definedName>
    <definedName name="intézmények" localSheetId="22">'[2]4.1. táj.'!#REF!</definedName>
    <definedName name="intézmények">'[2]4.1. táj.'!#REF!</definedName>
    <definedName name="_xlnm.Print_Titles" localSheetId="2">'2.működés'!$6:$6</definedName>
    <definedName name="_xlnm.Print_Titles" localSheetId="6">'6.Kiad.össz. '!$A:$A</definedName>
    <definedName name="_xlnm.Print_Titles" localSheetId="7">'7.finanszírozás.'!$5:$6</definedName>
    <definedName name="_xlnm.Print_Titles" localSheetId="8">'8.Önk.'!$A:$B,'8.Önk.'!$7:$8</definedName>
    <definedName name="_xlnm.Print_Titles" localSheetId="10">'9.Hivatal'!$7:$8</definedName>
    <definedName name="_xlnm.Print_Titles" localSheetId="0">Összesítő!$5:$7</definedName>
    <definedName name="_xlnm.Print_Area" localSheetId="1">'1.Bev-kiad.'!$A$1:$G$84</definedName>
    <definedName name="_xlnm.Print_Area" localSheetId="18">'10.Likviditás'!$A$1:$N$28</definedName>
    <definedName name="_xlnm.Print_Area" localSheetId="11">'10.Többéves, adósság'!$A$1:$M$27</definedName>
    <definedName name="_xlnm.Print_Area" localSheetId="19">'12. gördülő tervezés'!$A$1:$G$84</definedName>
    <definedName name="_xlnm.Print_Area" localSheetId="12">'12. Maradványkimutatás'!$A$1:$E$15</definedName>
    <definedName name="_xlnm.Print_Area" localSheetId="20">'13. Eu projekt'!$A$1:$O$13</definedName>
    <definedName name="_xlnm.Print_Area" localSheetId="15">'15. Vagyonkimutatás'!$A$1:$E$133</definedName>
    <definedName name="_xlnm.Print_Area" localSheetId="2">'2.működés'!$A$1:$G$130</definedName>
    <definedName name="_xlnm.Print_Area" localSheetId="3">'3.felh'!$A$1:$H$83</definedName>
    <definedName name="_xlnm.Print_Area" localSheetId="4">'4. Átadott p.eszk.'!$A$1:$G$87</definedName>
    <definedName name="_xlnm.Print_Area" localSheetId="6">'6.Kiad.össz. '!$A$1:$P$49</definedName>
    <definedName name="_xlnm.Print_Area" localSheetId="7">'7.finanszírozás.'!$A$1:$F$147</definedName>
    <definedName name="_xlnm.Print_Area" localSheetId="8">'8.Önk.'!$A$1:$BE$133</definedName>
    <definedName name="_xlnm.Print_Area" localSheetId="10">'9.Hivatal'!$A$1:$V$86</definedName>
    <definedName name="_xlnm.Print_Area" localSheetId="22">beruházások!$A$1:$H$109</definedName>
    <definedName name="_xlnm.Print_Area" localSheetId="0">Összesítő!$A$1:$F$155</definedName>
    <definedName name="_xlnm.Print_Area" localSheetId="21">'Társulási fel. tájékoztatásul'!$A$1:$S$38</definedName>
    <definedName name="qewrqewr" localSheetId="19">'[1]4.1. táj.'!#REF!</definedName>
    <definedName name="qewrqewr" localSheetId="6">'[1]4.1. táj.'!#REF!</definedName>
    <definedName name="qewrqewr" localSheetId="7">'[1]4.1. táj.'!#REF!</definedName>
    <definedName name="qewrqewr" localSheetId="8">'[1]4.1. táj.'!#REF!</definedName>
    <definedName name="qewrqewr" localSheetId="10">'[1]4.1. táj.'!#REF!</definedName>
    <definedName name="qewrqewr" localSheetId="22">'[1]4.1. táj.'!#REF!</definedName>
    <definedName name="qewrqewr">'[1]4.1. táj.'!#REF!</definedName>
    <definedName name="Z_ABF21C5C_6078_4D03_96DF_78390D4F8F84_.wvu.Cols" localSheetId="4" hidden="1">'4. Átadott p.eszk.'!#REF!,'4. Átadott p.eszk.'!$HS:$IV</definedName>
    <definedName name="Z_ABF21C5C_6078_4D03_96DF_78390D4F8F84_.wvu.FilterData" localSheetId="1" hidden="1">'1.Bev-kiad.'!$B$1:$B$63</definedName>
    <definedName name="Z_ABF21C5C_6078_4D03_96DF_78390D4F8F84_.wvu.FilterData" localSheetId="19" hidden="1">'12. gördülő tervezés'!$B$1:$B$63</definedName>
    <definedName name="Z_ABF21C5C_6078_4D03_96DF_78390D4F8F84_.wvu.FilterData" localSheetId="2" hidden="1">'2.működés'!$B$1:$B$109</definedName>
    <definedName name="Z_ABF21C5C_6078_4D03_96DF_78390D4F8F84_.wvu.FilterData" localSheetId="3" hidden="1">'3.felh'!$B$1:$B$36</definedName>
    <definedName name="Z_ABF21C5C_6078_4D03_96DF_78390D4F8F84_.wvu.FilterData" localSheetId="22" hidden="1">beruházások!$B$1:$B$39</definedName>
    <definedName name="Z_ABF21C5C_6078_4D03_96DF_78390D4F8F84_.wvu.PrintArea" localSheetId="1" hidden="1">'1.Bev-kiad.'!$B$1:$B$82</definedName>
    <definedName name="Z_ABF21C5C_6078_4D03_96DF_78390D4F8F84_.wvu.PrintArea" localSheetId="19" hidden="1">'12. gördülő tervezés'!$B$1:$B$82</definedName>
    <definedName name="Z_ABF21C5C_6078_4D03_96DF_78390D4F8F84_.wvu.PrintArea" localSheetId="2" hidden="1">'2.működés'!$B$1:$B$129</definedName>
    <definedName name="Z_ABF21C5C_6078_4D03_96DF_78390D4F8F84_.wvu.PrintArea" localSheetId="3" hidden="1">'3.felh'!$B$1:$B$73</definedName>
    <definedName name="Z_ABF21C5C_6078_4D03_96DF_78390D4F8F84_.wvu.PrintArea" localSheetId="4" hidden="1">'4. Átadott p.eszk.'!$A$1:$A$75</definedName>
    <definedName name="Z_ABF21C5C_6078_4D03_96DF_78390D4F8F84_.wvu.PrintArea" localSheetId="8" hidden="1">'8.Önk.'!$B$1:$B$5</definedName>
    <definedName name="Z_ABF21C5C_6078_4D03_96DF_78390D4F8F84_.wvu.PrintArea" localSheetId="10" hidden="1">'9.Hivatal'!$B$1:$B$5</definedName>
    <definedName name="Z_ABF21C5C_6078_4D03_96DF_78390D4F8F84_.wvu.PrintArea" localSheetId="22" hidden="1">beruházások!$B$1:$B$93</definedName>
    <definedName name="Z_ABF21C5C_6078_4D03_96DF_78390D4F8F84_.wvu.Rows" localSheetId="1" hidden="1">'1.Bev-kiad.'!#REF!</definedName>
    <definedName name="Z_ABF21C5C_6078_4D03_96DF_78390D4F8F84_.wvu.Rows" localSheetId="19" hidden="1">'12. gördülő tervezés'!#REF!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8" hidden="1">'8.Önk.'!#REF!,'8.Önk.'!#REF!</definedName>
    <definedName name="Z_ABF21C5C_6078_4D03_96DF_78390D4F8F84_.wvu.Rows" localSheetId="10" hidden="1">'9.Hivatal'!#REF!,'9.Hivatal'!#REF!</definedName>
    <definedName name="Z_ABF21C5C_6078_4D03_96DF_78390D4F8F84_.wvu.Rows" localSheetId="22" hidden="1">beruházások!#REF!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</workbook>
</file>

<file path=xl/calcChain.xml><?xml version="1.0" encoding="utf-8"?>
<calcChain xmlns="http://schemas.openxmlformats.org/spreadsheetml/2006/main">
  <c r="K18" i="53" l="1"/>
  <c r="J18" i="53"/>
  <c r="I18" i="53"/>
  <c r="H18" i="53"/>
  <c r="G18" i="53"/>
  <c r="E85" i="96"/>
  <c r="F82" i="96"/>
  <c r="D128" i="96"/>
  <c r="F128" i="96"/>
  <c r="I21" i="83"/>
  <c r="D122" i="57"/>
  <c r="I15" i="80"/>
  <c r="H12" i="53"/>
  <c r="M10" i="53"/>
  <c r="E52" i="96"/>
  <c r="D52" i="96"/>
  <c r="D97" i="57"/>
  <c r="D92" i="57" s="1"/>
  <c r="D71" i="96"/>
  <c r="AW10" i="82"/>
  <c r="F54" i="96"/>
  <c r="F55" i="96"/>
  <c r="D16" i="82"/>
  <c r="D83" i="96"/>
  <c r="F83" i="96" s="1"/>
  <c r="D150" i="96"/>
  <c r="F150" i="96" s="1"/>
  <c r="D75" i="58"/>
  <c r="D74" i="36"/>
  <c r="D111" i="96"/>
  <c r="D90" i="96"/>
  <c r="F53" i="96"/>
  <c r="F52" i="96"/>
  <c r="N41" i="82"/>
  <c r="BB41" i="82"/>
  <c r="D90" i="82"/>
  <c r="BB90" i="82"/>
  <c r="C36" i="39"/>
  <c r="C39" i="39"/>
  <c r="AW88" i="82"/>
  <c r="I88" i="82"/>
  <c r="BB88" i="82" s="1"/>
  <c r="S90" i="82"/>
  <c r="S85" i="82"/>
  <c r="AR90" i="82"/>
  <c r="AR85" i="82"/>
  <c r="D44" i="82"/>
  <c r="X44" i="82"/>
  <c r="S39" i="82"/>
  <c r="AR39" i="82"/>
  <c r="I38" i="82"/>
  <c r="D38" i="82"/>
  <c r="S34" i="82"/>
  <c r="AR34" i="82"/>
  <c r="E111" i="96"/>
  <c r="F111" i="96"/>
  <c r="D69" i="83"/>
  <c r="E92" i="96"/>
  <c r="F92" i="96" s="1"/>
  <c r="D47" i="83"/>
  <c r="D40" i="83"/>
  <c r="D46" i="83"/>
  <c r="N37" i="83"/>
  <c r="D62" i="83"/>
  <c r="D28" i="83"/>
  <c r="D25" i="83"/>
  <c r="E80" i="96"/>
  <c r="F80" i="96"/>
  <c r="E71" i="96"/>
  <c r="E68" i="96" s="1"/>
  <c r="D17" i="83"/>
  <c r="D10" i="83"/>
  <c r="D20" i="83" s="1"/>
  <c r="E45" i="96"/>
  <c r="D88" i="57"/>
  <c r="D91" i="57"/>
  <c r="D80" i="57" s="1"/>
  <c r="D28" i="36" s="1"/>
  <c r="S81" i="83"/>
  <c r="F81" i="96"/>
  <c r="D21" i="83"/>
  <c r="F135" i="96"/>
  <c r="D136" i="96"/>
  <c r="F136" i="96"/>
  <c r="D44" i="58"/>
  <c r="D43" i="58"/>
  <c r="D71" i="58"/>
  <c r="D108" i="96"/>
  <c r="F108" i="96"/>
  <c r="D85" i="82"/>
  <c r="M123" i="82"/>
  <c r="BA90" i="82"/>
  <c r="G90" i="82"/>
  <c r="F90" i="82"/>
  <c r="E90" i="82"/>
  <c r="D64" i="82"/>
  <c r="BB64" i="82"/>
  <c r="BB91" i="82"/>
  <c r="D103" i="96"/>
  <c r="F103" i="96" s="1"/>
  <c r="D78" i="82"/>
  <c r="D93" i="96"/>
  <c r="F93" i="96"/>
  <c r="D52" i="82"/>
  <c r="BB52" i="82"/>
  <c r="D50" i="82"/>
  <c r="F91" i="96"/>
  <c r="AC42" i="82"/>
  <c r="BB42" i="82"/>
  <c r="D84" i="96"/>
  <c r="D19" i="82"/>
  <c r="BB19" i="82" s="1"/>
  <c r="D20" i="82"/>
  <c r="BB20" i="82"/>
  <c r="X14" i="82"/>
  <c r="X9" i="82" s="1"/>
  <c r="X23" i="82" s="1"/>
  <c r="BB16" i="82"/>
  <c r="AC10" i="82"/>
  <c r="D85" i="96"/>
  <c r="F85" i="96"/>
  <c r="I24" i="82"/>
  <c r="BB24" i="82"/>
  <c r="I14" i="82"/>
  <c r="BB14" i="82"/>
  <c r="I10" i="82"/>
  <c r="F22" i="96"/>
  <c r="D50" i="57"/>
  <c r="D53" i="57"/>
  <c r="D52" i="57" s="1"/>
  <c r="D35" i="57"/>
  <c r="D34" i="57"/>
  <c r="D33" i="57"/>
  <c r="C12" i="39" s="1"/>
  <c r="C14" i="39"/>
  <c r="D28" i="57"/>
  <c r="D27" i="57"/>
  <c r="D40" i="57"/>
  <c r="D115" i="96"/>
  <c r="F115" i="96"/>
  <c r="D30" i="57"/>
  <c r="D29" i="57" s="1"/>
  <c r="D26" i="57"/>
  <c r="D22" i="57"/>
  <c r="C11" i="39" s="1"/>
  <c r="D16" i="57"/>
  <c r="C51" i="39"/>
  <c r="C50" i="39"/>
  <c r="E78" i="96"/>
  <c r="I17" i="83"/>
  <c r="N14" i="83"/>
  <c r="N10" i="83"/>
  <c r="D12" i="57"/>
  <c r="S80" i="83" s="1"/>
  <c r="BA79" i="82"/>
  <c r="BB79" i="82"/>
  <c r="BA80" i="82"/>
  <c r="BB80" i="82"/>
  <c r="D81" i="82"/>
  <c r="AW40" i="82"/>
  <c r="AW37" i="82"/>
  <c r="AW28" i="82"/>
  <c r="AW27" i="82"/>
  <c r="AW15" i="82"/>
  <c r="AC37" i="82"/>
  <c r="AC28" i="82"/>
  <c r="AC27" i="82"/>
  <c r="AC15" i="82"/>
  <c r="AC9" i="82"/>
  <c r="X28" i="82"/>
  <c r="X27" i="82"/>
  <c r="X15" i="82"/>
  <c r="I37" i="82"/>
  <c r="I28" i="82"/>
  <c r="I15" i="82"/>
  <c r="D37" i="82"/>
  <c r="D34" i="82"/>
  <c r="D33" i="82"/>
  <c r="BB33" i="82" s="1"/>
  <c r="D32" i="82"/>
  <c r="BB32" i="82"/>
  <c r="D31" i="82"/>
  <c r="D26" i="82"/>
  <c r="D27" i="82"/>
  <c r="D9" i="82"/>
  <c r="BB71" i="82"/>
  <c r="BB72" i="82"/>
  <c r="BB73" i="82"/>
  <c r="BC73" i="82"/>
  <c r="BD73" i="82"/>
  <c r="BE73" i="82"/>
  <c r="BB74" i="82"/>
  <c r="BC74" i="82"/>
  <c r="BD74" i="82"/>
  <c r="BE74" i="82"/>
  <c r="BB75" i="82"/>
  <c r="BC75" i="82"/>
  <c r="BD75" i="82"/>
  <c r="BE75" i="82"/>
  <c r="BB76" i="82"/>
  <c r="BB77" i="82"/>
  <c r="BB78" i="82"/>
  <c r="BB82" i="82"/>
  <c r="BC82" i="82"/>
  <c r="BD82" i="82"/>
  <c r="BE82" i="82"/>
  <c r="BB83" i="82"/>
  <c r="BC83" i="82"/>
  <c r="BD83" i="82"/>
  <c r="BE83" i="82"/>
  <c r="BD86" i="82"/>
  <c r="BE86" i="82"/>
  <c r="BB87" i="82"/>
  <c r="BC88" i="82"/>
  <c r="BD88" i="82"/>
  <c r="BE88" i="82"/>
  <c r="BB89" i="82"/>
  <c r="BC89" i="82"/>
  <c r="BD89" i="82"/>
  <c r="BE89" i="82"/>
  <c r="BB93" i="82"/>
  <c r="D119" i="57" s="1"/>
  <c r="BC93" i="82"/>
  <c r="E119" i="57" s="1"/>
  <c r="BD93" i="82"/>
  <c r="F119" i="57" s="1"/>
  <c r="BE93" i="82"/>
  <c r="G119" i="57" s="1"/>
  <c r="BB98" i="82"/>
  <c r="BC98" i="82"/>
  <c r="BD98" i="82"/>
  <c r="BE98" i="82"/>
  <c r="BB47" i="82"/>
  <c r="BC47" i="82"/>
  <c r="BD47" i="82"/>
  <c r="BE47" i="82"/>
  <c r="BB48" i="82"/>
  <c r="BC48" i="82"/>
  <c r="BD48" i="82"/>
  <c r="BE48" i="82"/>
  <c r="BB49" i="82"/>
  <c r="BC49" i="82"/>
  <c r="BD49" i="82"/>
  <c r="BE49" i="82"/>
  <c r="BB51" i="82"/>
  <c r="BC51" i="82"/>
  <c r="BD51" i="82"/>
  <c r="BE51" i="82"/>
  <c r="BC52" i="82"/>
  <c r="BD52" i="82"/>
  <c r="BE52" i="82"/>
  <c r="BB53" i="82"/>
  <c r="BB54" i="82"/>
  <c r="BC54" i="82"/>
  <c r="BD54" i="82"/>
  <c r="BE54" i="82"/>
  <c r="BB55" i="82"/>
  <c r="BC55" i="82"/>
  <c r="BD55" i="82"/>
  <c r="BE55" i="82"/>
  <c r="BB56" i="82"/>
  <c r="BB57" i="82"/>
  <c r="BB58" i="82"/>
  <c r="BC58" i="82"/>
  <c r="BD58" i="82"/>
  <c r="BE58" i="82"/>
  <c r="BB59" i="82"/>
  <c r="BB60" i="82"/>
  <c r="BC60" i="82"/>
  <c r="BD60" i="82"/>
  <c r="BE60" i="82"/>
  <c r="BB61" i="82"/>
  <c r="BC61" i="82"/>
  <c r="BD61" i="82"/>
  <c r="BE61" i="82"/>
  <c r="BB62" i="82"/>
  <c r="BB63" i="82"/>
  <c r="BC63" i="82"/>
  <c r="BD63" i="82"/>
  <c r="BE63" i="82"/>
  <c r="BC64" i="82"/>
  <c r="BD64" i="82"/>
  <c r="BE64" i="82"/>
  <c r="BB65" i="82"/>
  <c r="BC65" i="82"/>
  <c r="BD65" i="82"/>
  <c r="BE65" i="82"/>
  <c r="BB66" i="82"/>
  <c r="BC66" i="82"/>
  <c r="BD66" i="82"/>
  <c r="BE66" i="82"/>
  <c r="BB68" i="82"/>
  <c r="BC68" i="82"/>
  <c r="BD68" i="82"/>
  <c r="BE68" i="82"/>
  <c r="BB69" i="82"/>
  <c r="BC69" i="82"/>
  <c r="BD69" i="82"/>
  <c r="BE69" i="82"/>
  <c r="BB70" i="82"/>
  <c r="BC70" i="82"/>
  <c r="BD70" i="82"/>
  <c r="BE70" i="82"/>
  <c r="BB30" i="82"/>
  <c r="BB31" i="82"/>
  <c r="BB34" i="82"/>
  <c r="BB35" i="82"/>
  <c r="BC35" i="82"/>
  <c r="BD35" i="82"/>
  <c r="BE35" i="82"/>
  <c r="BB36" i="82"/>
  <c r="BC36" i="82"/>
  <c r="BD36" i="82"/>
  <c r="BE36" i="82"/>
  <c r="BB39" i="82"/>
  <c r="BC41" i="82"/>
  <c r="BD41" i="82"/>
  <c r="BE41" i="82"/>
  <c r="BC42" i="82"/>
  <c r="BD42" i="82"/>
  <c r="BB43" i="82"/>
  <c r="BB45" i="82"/>
  <c r="BC45" i="82"/>
  <c r="BD45" i="82"/>
  <c r="BE45" i="82"/>
  <c r="BB11" i="82"/>
  <c r="BB12" i="82"/>
  <c r="BB13" i="82"/>
  <c r="BC13" i="82"/>
  <c r="BD13" i="82"/>
  <c r="BE13" i="82"/>
  <c r="BB17" i="82"/>
  <c r="BB18" i="82"/>
  <c r="BC18" i="82"/>
  <c r="BD18" i="82"/>
  <c r="BE18" i="82"/>
  <c r="BC20" i="82"/>
  <c r="BD20" i="82"/>
  <c r="BE20" i="82"/>
  <c r="BB21" i="82"/>
  <c r="BC21" i="82"/>
  <c r="BD21" i="82"/>
  <c r="BE21" i="82"/>
  <c r="BB22" i="82"/>
  <c r="BC22" i="82"/>
  <c r="BD22" i="82"/>
  <c r="BE22" i="82"/>
  <c r="BB25" i="82"/>
  <c r="BC25" i="82"/>
  <c r="BD25" i="82"/>
  <c r="BE25" i="82"/>
  <c r="BB26" i="82"/>
  <c r="S82" i="83"/>
  <c r="S83" i="83"/>
  <c r="N62" i="83"/>
  <c r="N59" i="83"/>
  <c r="I62" i="83"/>
  <c r="I59" i="83"/>
  <c r="I54" i="83"/>
  <c r="S54" i="83"/>
  <c r="D59" i="83"/>
  <c r="N40" i="83"/>
  <c r="N32" i="83"/>
  <c r="N71" i="83"/>
  <c r="N24" i="83"/>
  <c r="N23" i="83"/>
  <c r="N13" i="83"/>
  <c r="N20" i="83"/>
  <c r="I40" i="83"/>
  <c r="S40" i="83" s="1"/>
  <c r="I32" i="83"/>
  <c r="I24" i="83"/>
  <c r="I71" i="83" s="1"/>
  <c r="I23" i="83"/>
  <c r="I14" i="83"/>
  <c r="I13" i="83"/>
  <c r="I20" i="83"/>
  <c r="D37" i="83"/>
  <c r="D32" i="83"/>
  <c r="D22" i="83"/>
  <c r="D23" i="83"/>
  <c r="D13" i="83"/>
  <c r="C48" i="39"/>
  <c r="C47" i="39" s="1"/>
  <c r="D51" i="39"/>
  <c r="D50" i="39"/>
  <c r="E51" i="39"/>
  <c r="E50" i="39"/>
  <c r="F51" i="39"/>
  <c r="F50" i="39"/>
  <c r="C59" i="39"/>
  <c r="D59" i="39"/>
  <c r="E59" i="39"/>
  <c r="F59" i="39"/>
  <c r="D100" i="57"/>
  <c r="D99" i="57"/>
  <c r="D98" i="57" s="1"/>
  <c r="D75" i="57"/>
  <c r="D72" i="57"/>
  <c r="D71" i="57"/>
  <c r="D104" i="57"/>
  <c r="D57" i="57"/>
  <c r="D48" i="57"/>
  <c r="D43" i="57"/>
  <c r="D39" i="57"/>
  <c r="D131" i="57"/>
  <c r="D132" i="57"/>
  <c r="D69" i="58"/>
  <c r="D60" i="58"/>
  <c r="D56" i="58"/>
  <c r="D39" i="58"/>
  <c r="D38" i="58" s="1"/>
  <c r="D33" i="58"/>
  <c r="K22" i="99" s="1"/>
  <c r="K9" i="99" s="1"/>
  <c r="K43" i="99" s="1"/>
  <c r="D32" i="58"/>
  <c r="D101" i="57" s="1"/>
  <c r="D31" i="58"/>
  <c r="D29" i="58"/>
  <c r="D24" i="58"/>
  <c r="D18" i="58"/>
  <c r="D39" i="36"/>
  <c r="D16" i="58"/>
  <c r="D12" i="58"/>
  <c r="D13" i="58"/>
  <c r="J27" i="52"/>
  <c r="E74" i="97"/>
  <c r="C122" i="57"/>
  <c r="K22" i="53" s="1"/>
  <c r="C100" i="57"/>
  <c r="C85" i="82"/>
  <c r="E72" i="97"/>
  <c r="C75" i="58"/>
  <c r="M22" i="53"/>
  <c r="M23" i="53" s="1"/>
  <c r="M10" i="56"/>
  <c r="B10" i="52"/>
  <c r="B9" i="52"/>
  <c r="C9" i="52"/>
  <c r="N38" i="101"/>
  <c r="M38" i="101"/>
  <c r="K38" i="101"/>
  <c r="I38" i="101"/>
  <c r="J37" i="101"/>
  <c r="B37" i="101"/>
  <c r="J36" i="101"/>
  <c r="B36" i="101"/>
  <c r="J35" i="101"/>
  <c r="B35" i="101"/>
  <c r="J34" i="101"/>
  <c r="B34" i="101"/>
  <c r="J33" i="101"/>
  <c r="B33" i="101"/>
  <c r="J32" i="101"/>
  <c r="B32" i="101"/>
  <c r="J31" i="101"/>
  <c r="B31" i="101"/>
  <c r="J30" i="101"/>
  <c r="B30" i="101"/>
  <c r="J29" i="101"/>
  <c r="B29" i="101"/>
  <c r="J28" i="101"/>
  <c r="B28" i="101"/>
  <c r="J27" i="101"/>
  <c r="B27" i="101"/>
  <c r="J26" i="101"/>
  <c r="B26" i="101"/>
  <c r="J25" i="101"/>
  <c r="J38" i="101" s="1"/>
  <c r="B25" i="101"/>
  <c r="B38" i="101" s="1"/>
  <c r="S20" i="101"/>
  <c r="Q20" i="101"/>
  <c r="J20" i="101"/>
  <c r="N19" i="101"/>
  <c r="L19" i="101"/>
  <c r="O19" i="101" s="1"/>
  <c r="P19" i="101" s="1"/>
  <c r="R19" i="101" s="1"/>
  <c r="K19" i="101"/>
  <c r="N18" i="101"/>
  <c r="L18" i="101"/>
  <c r="K18" i="101"/>
  <c r="O18" i="101" s="1"/>
  <c r="I18" i="101"/>
  <c r="F18" i="101"/>
  <c r="O37" i="101" s="1"/>
  <c r="E18" i="101"/>
  <c r="L37" i="101" s="1"/>
  <c r="P37" i="101" s="1"/>
  <c r="D18" i="101"/>
  <c r="C18" i="101"/>
  <c r="G18" i="101" s="1"/>
  <c r="B18" i="101"/>
  <c r="N17" i="101"/>
  <c r="L17" i="101"/>
  <c r="O17" i="101" s="1"/>
  <c r="K17" i="101"/>
  <c r="I17" i="101"/>
  <c r="F17" i="101"/>
  <c r="O36" i="101" s="1"/>
  <c r="E17" i="101"/>
  <c r="L36" i="101" s="1"/>
  <c r="D17" i="101"/>
  <c r="C17" i="101"/>
  <c r="B17" i="101"/>
  <c r="N16" i="101"/>
  <c r="M16" i="101"/>
  <c r="L16" i="101"/>
  <c r="K16" i="101"/>
  <c r="I16" i="101"/>
  <c r="F16" i="101"/>
  <c r="O35" i="101"/>
  <c r="E16" i="101"/>
  <c r="L35" i="101"/>
  <c r="P35" i="101" s="1"/>
  <c r="D16" i="101"/>
  <c r="C16" i="101"/>
  <c r="G16" i="101"/>
  <c r="B16" i="101"/>
  <c r="N15" i="101"/>
  <c r="M15" i="101"/>
  <c r="L15" i="101"/>
  <c r="K15" i="101"/>
  <c r="O15" i="101" s="1"/>
  <c r="I15" i="101"/>
  <c r="F15" i="101"/>
  <c r="O34" i="101"/>
  <c r="E15" i="101"/>
  <c r="L34" i="101" s="1"/>
  <c r="P34" i="101" s="1"/>
  <c r="D15" i="101"/>
  <c r="C15" i="101"/>
  <c r="B15" i="101"/>
  <c r="N14" i="101"/>
  <c r="L14" i="101"/>
  <c r="K14" i="101"/>
  <c r="O14" i="101" s="1"/>
  <c r="I14" i="101"/>
  <c r="F14" i="101"/>
  <c r="O33" i="101" s="1"/>
  <c r="E14" i="101"/>
  <c r="L33" i="101" s="1"/>
  <c r="D14" i="101"/>
  <c r="C14" i="101"/>
  <c r="G14" i="101" s="1"/>
  <c r="B14" i="101"/>
  <c r="N13" i="101"/>
  <c r="L13" i="101"/>
  <c r="K13" i="101"/>
  <c r="I13" i="101"/>
  <c r="O13" i="101" s="1"/>
  <c r="F13" i="101"/>
  <c r="O32" i="101"/>
  <c r="E13" i="101"/>
  <c r="L32" i="101"/>
  <c r="P32" i="101" s="1"/>
  <c r="D13" i="101"/>
  <c r="C13" i="101"/>
  <c r="G13" i="101"/>
  <c r="B13" i="101"/>
  <c r="N12" i="101"/>
  <c r="L12" i="101"/>
  <c r="K12" i="101"/>
  <c r="O12" i="101" s="1"/>
  <c r="I12" i="101"/>
  <c r="F12" i="101"/>
  <c r="O31" i="101"/>
  <c r="E12" i="101"/>
  <c r="L31" i="101"/>
  <c r="P31" i="101" s="1"/>
  <c r="D12" i="101"/>
  <c r="G12" i="101" s="1"/>
  <c r="C12" i="101"/>
  <c r="B12" i="101"/>
  <c r="N11" i="101"/>
  <c r="M11" i="101"/>
  <c r="L11" i="101"/>
  <c r="K11" i="101"/>
  <c r="I11" i="101"/>
  <c r="O11" i="101" s="1"/>
  <c r="F11" i="101"/>
  <c r="O30" i="101"/>
  <c r="E11" i="101"/>
  <c r="L30" i="101"/>
  <c r="P30" i="101" s="1"/>
  <c r="D11" i="101"/>
  <c r="C11" i="101"/>
  <c r="B11" i="101"/>
  <c r="N10" i="101"/>
  <c r="M10" i="101"/>
  <c r="L10" i="101"/>
  <c r="K10" i="101"/>
  <c r="I10" i="101"/>
  <c r="O10" i="101"/>
  <c r="F10" i="101"/>
  <c r="O29" i="101"/>
  <c r="E10" i="101"/>
  <c r="L29" i="101"/>
  <c r="P29" i="101" s="1"/>
  <c r="D10" i="101"/>
  <c r="C10" i="101"/>
  <c r="G10" i="101"/>
  <c r="P10" i="101" s="1"/>
  <c r="R10" i="101" s="1"/>
  <c r="B10" i="101"/>
  <c r="N9" i="101"/>
  <c r="L9" i="101"/>
  <c r="K9" i="101"/>
  <c r="I9" i="101"/>
  <c r="O9" i="101" s="1"/>
  <c r="F9" i="101"/>
  <c r="O28" i="101"/>
  <c r="E9" i="101"/>
  <c r="L28" i="101"/>
  <c r="P28" i="101" s="1"/>
  <c r="D9" i="101"/>
  <c r="C9" i="101"/>
  <c r="G9" i="101"/>
  <c r="P9" i="101" s="1"/>
  <c r="R9" i="101" s="1"/>
  <c r="R28" i="101" s="1"/>
  <c r="B9" i="101"/>
  <c r="N8" i="101"/>
  <c r="L8" i="101"/>
  <c r="K8" i="101"/>
  <c r="O8" i="101"/>
  <c r="I8" i="101"/>
  <c r="F8" i="101"/>
  <c r="O27" i="101" s="1"/>
  <c r="E8" i="101"/>
  <c r="L27" i="101" s="1"/>
  <c r="D8" i="101"/>
  <c r="C8" i="101"/>
  <c r="G8" i="101" s="1"/>
  <c r="B8" i="101"/>
  <c r="N7" i="101"/>
  <c r="L7" i="101"/>
  <c r="K7" i="101"/>
  <c r="I7" i="101"/>
  <c r="F7" i="101"/>
  <c r="O26" i="101" s="1"/>
  <c r="E7" i="101"/>
  <c r="L26" i="101"/>
  <c r="P26" i="101" s="1"/>
  <c r="D7" i="101"/>
  <c r="C7" i="101"/>
  <c r="B7" i="101"/>
  <c r="N6" i="101"/>
  <c r="N20" i="101" s="1"/>
  <c r="M6" i="101"/>
  <c r="L6" i="101"/>
  <c r="K6" i="101"/>
  <c r="K20" i="101" s="1"/>
  <c r="I6" i="101"/>
  <c r="I20" i="101" s="1"/>
  <c r="F6" i="101"/>
  <c r="O25" i="101" s="1"/>
  <c r="E6" i="101"/>
  <c r="L25" i="101" s="1"/>
  <c r="D6" i="101"/>
  <c r="D20" i="101" s="1"/>
  <c r="C6" i="101"/>
  <c r="G6" i="101" s="1"/>
  <c r="B6" i="101"/>
  <c r="B20" i="101" s="1"/>
  <c r="C44" i="58"/>
  <c r="C43" i="58" s="1"/>
  <c r="M121" i="82"/>
  <c r="H120" i="82"/>
  <c r="M120" i="82"/>
  <c r="R35" i="83"/>
  <c r="C21" i="83"/>
  <c r="M13" i="83"/>
  <c r="H21" i="83"/>
  <c r="H13" i="83"/>
  <c r="C22" i="83"/>
  <c r="C13" i="83"/>
  <c r="C26" i="82"/>
  <c r="BA26" i="82" s="1"/>
  <c r="C132" i="57"/>
  <c r="H119" i="82"/>
  <c r="M119" i="82"/>
  <c r="C39" i="57"/>
  <c r="C69" i="58"/>
  <c r="C62" i="58" s="1"/>
  <c r="H122" i="82"/>
  <c r="M122" i="82" s="1"/>
  <c r="H117" i="82"/>
  <c r="M117" i="82" s="1"/>
  <c r="H118" i="82"/>
  <c r="M118" i="82" s="1"/>
  <c r="C111" i="82"/>
  <c r="C125" i="82" s="1"/>
  <c r="D67" i="82" s="1"/>
  <c r="E13" i="100"/>
  <c r="F14" i="100"/>
  <c r="F12" i="100"/>
  <c r="G12" i="100"/>
  <c r="F11" i="100"/>
  <c r="AQ111" i="82"/>
  <c r="D86" i="82" s="1"/>
  <c r="BB86" i="82" s="1"/>
  <c r="H115" i="82"/>
  <c r="M115" i="82"/>
  <c r="C57" i="36"/>
  <c r="H114" i="82"/>
  <c r="M114" i="82" s="1"/>
  <c r="B25" i="39"/>
  <c r="BA98" i="82"/>
  <c r="BA93" i="82"/>
  <c r="BA91" i="82"/>
  <c r="BA49" i="82"/>
  <c r="BA50" i="82"/>
  <c r="BA51" i="82"/>
  <c r="BA52" i="82"/>
  <c r="BA53" i="82"/>
  <c r="BA54" i="82"/>
  <c r="BA55" i="82"/>
  <c r="BA56" i="82"/>
  <c r="BA57" i="82"/>
  <c r="BA58" i="82"/>
  <c r="BA60" i="82"/>
  <c r="BA61" i="82"/>
  <c r="BA62" i="82"/>
  <c r="BA63" i="82"/>
  <c r="BA64" i="82"/>
  <c r="BA65" i="82"/>
  <c r="BA66" i="82"/>
  <c r="BA68" i="82"/>
  <c r="BA69" i="82"/>
  <c r="BA70" i="82"/>
  <c r="BA71" i="82"/>
  <c r="BA72" i="82"/>
  <c r="BA73" i="82"/>
  <c r="BA74" i="82"/>
  <c r="BA75" i="82"/>
  <c r="BA76" i="82"/>
  <c r="BA77" i="82"/>
  <c r="BA78" i="82"/>
  <c r="BA82" i="82"/>
  <c r="BF81" i="82" s="1"/>
  <c r="BA83" i="82"/>
  <c r="BA88" i="82"/>
  <c r="BA89" i="82"/>
  <c r="BA30" i="82"/>
  <c r="BA35" i="82"/>
  <c r="BA36" i="82"/>
  <c r="BA39" i="82"/>
  <c r="BA41" i="82"/>
  <c r="BA42" i="82"/>
  <c r="BA43" i="82"/>
  <c r="BA45" i="82"/>
  <c r="BA46" i="82"/>
  <c r="BA47" i="82"/>
  <c r="BA48" i="82"/>
  <c r="BA24" i="82"/>
  <c r="BA16" i="82"/>
  <c r="BA17" i="82"/>
  <c r="BA18" i="82"/>
  <c r="BA20" i="82"/>
  <c r="BA21" i="82"/>
  <c r="BA22" i="82"/>
  <c r="BA11" i="82"/>
  <c r="BA12" i="82"/>
  <c r="BA13" i="82"/>
  <c r="BA14" i="82"/>
  <c r="BA10" i="82"/>
  <c r="V8" i="83"/>
  <c r="V12" i="83"/>
  <c r="V15" i="83"/>
  <c r="V18" i="83"/>
  <c r="V19" i="83"/>
  <c r="V22" i="83"/>
  <c r="V25" i="83"/>
  <c r="V26" i="83"/>
  <c r="V27" i="83"/>
  <c r="V29" i="83"/>
  <c r="V30" i="83"/>
  <c r="V33" i="83"/>
  <c r="V34" i="83"/>
  <c r="V38" i="83"/>
  <c r="V39" i="83"/>
  <c r="V42" i="83"/>
  <c r="V43" i="83"/>
  <c r="V44" i="83"/>
  <c r="V45" i="83"/>
  <c r="V46" i="83"/>
  <c r="V47" i="83"/>
  <c r="V48" i="83"/>
  <c r="V49" i="83"/>
  <c r="V51" i="83"/>
  <c r="V52" i="83"/>
  <c r="V53" i="83"/>
  <c r="V56" i="83"/>
  <c r="V58" i="83"/>
  <c r="V61" i="83"/>
  <c r="V64" i="83"/>
  <c r="V65" i="83"/>
  <c r="V66" i="83"/>
  <c r="V67" i="83"/>
  <c r="V68" i="83"/>
  <c r="V72" i="83"/>
  <c r="V73" i="83"/>
  <c r="V76" i="83"/>
  <c r="V77" i="83"/>
  <c r="V79" i="83"/>
  <c r="V81" i="83"/>
  <c r="V82" i="83"/>
  <c r="D13" i="81" s="1"/>
  <c r="B39" i="99" s="1"/>
  <c r="V83" i="83"/>
  <c r="V84" i="83"/>
  <c r="D37" i="81" s="1"/>
  <c r="F39" i="99" s="1"/>
  <c r="F33" i="99" s="1"/>
  <c r="R83" i="83"/>
  <c r="R80" i="83"/>
  <c r="D40" i="81"/>
  <c r="C72" i="57"/>
  <c r="D27" i="52"/>
  <c r="B14" i="39"/>
  <c r="B13" i="39"/>
  <c r="B11" i="39"/>
  <c r="B59" i="39"/>
  <c r="C27" i="57"/>
  <c r="G12" i="57"/>
  <c r="G11" i="57" s="1"/>
  <c r="G10" i="57" s="1"/>
  <c r="F12" i="57"/>
  <c r="F11" i="57"/>
  <c r="E12" i="57"/>
  <c r="E11" i="57"/>
  <c r="C52" i="57"/>
  <c r="E48" i="57"/>
  <c r="F48" i="57"/>
  <c r="G48" i="57"/>
  <c r="C48" i="57"/>
  <c r="C11" i="57"/>
  <c r="C10" i="57"/>
  <c r="G36" i="57"/>
  <c r="F36" i="57"/>
  <c r="E36" i="57"/>
  <c r="G35" i="57"/>
  <c r="G34" i="57" s="1"/>
  <c r="G33" i="57" s="1"/>
  <c r="F35" i="57"/>
  <c r="E35" i="57"/>
  <c r="G30" i="57"/>
  <c r="G29" i="57"/>
  <c r="F30" i="57"/>
  <c r="F29" i="57"/>
  <c r="E30" i="57"/>
  <c r="E29" i="57"/>
  <c r="E25" i="57" s="1"/>
  <c r="E23" i="57" s="1"/>
  <c r="G28" i="57"/>
  <c r="G27" i="57"/>
  <c r="F28" i="57"/>
  <c r="F27" i="57"/>
  <c r="E28" i="57"/>
  <c r="E27" i="57"/>
  <c r="G26" i="57"/>
  <c r="G25" i="57"/>
  <c r="G23" i="57" s="1"/>
  <c r="F26" i="57"/>
  <c r="E26" i="57"/>
  <c r="C34" i="57"/>
  <c r="C33" i="57" s="1"/>
  <c r="B12" i="39" s="1"/>
  <c r="C29" i="57"/>
  <c r="C25" i="57"/>
  <c r="C23" i="57" s="1"/>
  <c r="E43" i="57"/>
  <c r="F43" i="57"/>
  <c r="F42" i="57" s="1"/>
  <c r="G43" i="57"/>
  <c r="C43" i="57"/>
  <c r="C57" i="57"/>
  <c r="G122" i="57"/>
  <c r="G67" i="36" s="1"/>
  <c r="F122" i="57"/>
  <c r="G78" i="58"/>
  <c r="G77" i="58"/>
  <c r="G76" i="58"/>
  <c r="G75" i="58"/>
  <c r="G73" i="58" s="1"/>
  <c r="M25" i="80"/>
  <c r="M13" i="80" s="1"/>
  <c r="G62" i="58"/>
  <c r="G61" i="58"/>
  <c r="G60" i="58"/>
  <c r="G57" i="58"/>
  <c r="G56" i="58"/>
  <c r="G44" i="58"/>
  <c r="G43" i="58"/>
  <c r="G42" i="58"/>
  <c r="G40" i="58"/>
  <c r="G33" i="58"/>
  <c r="K26" i="99"/>
  <c r="K13" i="99" s="1"/>
  <c r="K47" i="99" s="1"/>
  <c r="G29" i="58"/>
  <c r="G24" i="58"/>
  <c r="G49" i="36" s="1"/>
  <c r="G20" i="58"/>
  <c r="G18" i="58" s="1"/>
  <c r="G16" i="58"/>
  <c r="G13" i="58"/>
  <c r="F78" i="58"/>
  <c r="F77" i="58" s="1"/>
  <c r="F76" i="58"/>
  <c r="F75" i="58"/>
  <c r="F62" i="58"/>
  <c r="F61" i="58"/>
  <c r="F60" i="58"/>
  <c r="F57" i="58"/>
  <c r="F56" i="58"/>
  <c r="F44" i="58"/>
  <c r="F43" i="58"/>
  <c r="F42" i="58"/>
  <c r="F40" i="58"/>
  <c r="F33" i="58"/>
  <c r="K24" i="99"/>
  <c r="K11" i="99" s="1"/>
  <c r="K45" i="99" s="1"/>
  <c r="F29" i="58"/>
  <c r="F28" i="58"/>
  <c r="F24" i="58"/>
  <c r="F49" i="36"/>
  <c r="F20" i="58"/>
  <c r="F18" i="58"/>
  <c r="F16" i="58"/>
  <c r="F13" i="58"/>
  <c r="F72" i="39"/>
  <c r="F70" i="39"/>
  <c r="E72" i="39"/>
  <c r="E70" i="39"/>
  <c r="F40" i="39"/>
  <c r="F26" i="39"/>
  <c r="F25" i="39" s="1"/>
  <c r="F16" i="39"/>
  <c r="F15" i="39"/>
  <c r="F14" i="39"/>
  <c r="F13" i="39"/>
  <c r="F12" i="39"/>
  <c r="E40" i="39"/>
  <c r="E26" i="39"/>
  <c r="E25" i="39" s="1"/>
  <c r="E16" i="39"/>
  <c r="E15" i="39"/>
  <c r="E14" i="39"/>
  <c r="E13" i="39"/>
  <c r="E12" i="39"/>
  <c r="G91" i="82"/>
  <c r="BE91" i="82" s="1"/>
  <c r="F91" i="82"/>
  <c r="BD91" i="82" s="1"/>
  <c r="F87" i="82"/>
  <c r="BD87" i="82" s="1"/>
  <c r="F85" i="82"/>
  <c r="AK84" i="82"/>
  <c r="AJ84" i="82"/>
  <c r="AF85" i="82"/>
  <c r="AF84" i="82" s="1"/>
  <c r="AE85" i="82"/>
  <c r="AE84" i="82"/>
  <c r="AA84" i="82"/>
  <c r="AA81" i="82"/>
  <c r="Z84" i="82"/>
  <c r="Z81" i="82"/>
  <c r="V84" i="82"/>
  <c r="V81" i="82"/>
  <c r="V77" i="82"/>
  <c r="BE77" i="82"/>
  <c r="U84" i="82"/>
  <c r="U81" i="82"/>
  <c r="U77" i="82"/>
  <c r="BD77" i="82"/>
  <c r="Q85" i="82"/>
  <c r="Q84" i="82"/>
  <c r="Q81" i="82"/>
  <c r="P85" i="82"/>
  <c r="P84" i="82"/>
  <c r="P81" i="82"/>
  <c r="L85" i="82"/>
  <c r="L84" i="82" s="1"/>
  <c r="L81" i="82"/>
  <c r="L76" i="82"/>
  <c r="L40" i="82"/>
  <c r="K85" i="82"/>
  <c r="K81" i="82"/>
  <c r="K76" i="82"/>
  <c r="G87" i="82"/>
  <c r="BE87" i="82" s="1"/>
  <c r="G85" i="82"/>
  <c r="BE85" i="82" s="1"/>
  <c r="G81" i="82"/>
  <c r="G80" i="82"/>
  <c r="BE80" i="82"/>
  <c r="G78" i="82"/>
  <c r="BE78" i="82"/>
  <c r="G76" i="82"/>
  <c r="BE76" i="82"/>
  <c r="G72" i="82"/>
  <c r="BE72" i="82"/>
  <c r="G71" i="82"/>
  <c r="BE71" i="82"/>
  <c r="F81" i="82"/>
  <c r="F80" i="82"/>
  <c r="BD80" i="82" s="1"/>
  <c r="F78" i="82"/>
  <c r="BD78" i="82" s="1"/>
  <c r="F76" i="82"/>
  <c r="BD76" i="82" s="1"/>
  <c r="F72" i="82"/>
  <c r="BD72" i="82" s="1"/>
  <c r="F71" i="82"/>
  <c r="BD71" i="82"/>
  <c r="G62" i="82"/>
  <c r="BE62" i="82"/>
  <c r="F62" i="82"/>
  <c r="BD62" i="82"/>
  <c r="AZ40" i="82"/>
  <c r="AZ38" i="82"/>
  <c r="AZ37" i="82" s="1"/>
  <c r="AZ28" i="82"/>
  <c r="AY40" i="82"/>
  <c r="AY38" i="82"/>
  <c r="AY37" i="82" s="1"/>
  <c r="AY28" i="82"/>
  <c r="AU40" i="82"/>
  <c r="AU37" i="82"/>
  <c r="AT40" i="82"/>
  <c r="AT37" i="82"/>
  <c r="AP59" i="82"/>
  <c r="BE59" i="82"/>
  <c r="AO59" i="82"/>
  <c r="BD59" i="82"/>
  <c r="AA57" i="82"/>
  <c r="AA44" i="82"/>
  <c r="BE44" i="82" s="1"/>
  <c r="AA39" i="82"/>
  <c r="AA38" i="82"/>
  <c r="AA37" i="82"/>
  <c r="AA28" i="82"/>
  <c r="Z57" i="82"/>
  <c r="Z44" i="82"/>
  <c r="BD44" i="82" s="1"/>
  <c r="Z40" i="82"/>
  <c r="Z39" i="82"/>
  <c r="Z38" i="82"/>
  <c r="Z28" i="82"/>
  <c r="V56" i="82"/>
  <c r="BE56" i="82" s="1"/>
  <c r="V53" i="82"/>
  <c r="BE53" i="82" s="1"/>
  <c r="V39" i="82"/>
  <c r="V37" i="82" s="1"/>
  <c r="V34" i="82"/>
  <c r="V29" i="82"/>
  <c r="BE29" i="82"/>
  <c r="U56" i="82"/>
  <c r="BD56" i="82" s="1"/>
  <c r="U53" i="82"/>
  <c r="BD53" i="82" s="1"/>
  <c r="U39" i="82"/>
  <c r="BD39" i="82" s="1"/>
  <c r="U34" i="82"/>
  <c r="U29" i="82"/>
  <c r="Q43" i="82"/>
  <c r="P43" i="82"/>
  <c r="P40" i="82"/>
  <c r="L37" i="82"/>
  <c r="L28" i="82"/>
  <c r="K37" i="82"/>
  <c r="K28" i="82"/>
  <c r="G57" i="82"/>
  <c r="BE57" i="82"/>
  <c r="G50" i="82"/>
  <c r="BE50" i="82"/>
  <c r="G43" i="82"/>
  <c r="BE43" i="82"/>
  <c r="G38" i="82"/>
  <c r="G34" i="82"/>
  <c r="BE34" i="82"/>
  <c r="G33" i="82"/>
  <c r="BE33" i="82"/>
  <c r="G32" i="82"/>
  <c r="BE32" i="82"/>
  <c r="G31" i="82"/>
  <c r="BE31" i="82" s="1"/>
  <c r="G30" i="82"/>
  <c r="BE30" i="82" s="1"/>
  <c r="F57" i="82"/>
  <c r="BD57" i="82" s="1"/>
  <c r="F50" i="82"/>
  <c r="BD50" i="82" s="1"/>
  <c r="F43" i="82"/>
  <c r="BD43" i="82"/>
  <c r="F38" i="82"/>
  <c r="F34" i="82"/>
  <c r="BD34" i="82" s="1"/>
  <c r="F33" i="82"/>
  <c r="BD33" i="82" s="1"/>
  <c r="F32" i="82"/>
  <c r="BD32" i="82" s="1"/>
  <c r="F31" i="82"/>
  <c r="BD31" i="82" s="1"/>
  <c r="F30" i="82"/>
  <c r="BD30" i="82" s="1"/>
  <c r="AZ24" i="82"/>
  <c r="AZ15" i="82"/>
  <c r="AZ12" i="82"/>
  <c r="AZ10" i="82"/>
  <c r="AZ9" i="82"/>
  <c r="AZ23" i="82" s="1"/>
  <c r="AY24" i="82"/>
  <c r="AY27" i="82" s="1"/>
  <c r="AY15" i="82"/>
  <c r="AY12" i="82"/>
  <c r="AY10" i="82"/>
  <c r="AF24" i="82"/>
  <c r="AF15" i="82"/>
  <c r="AF12" i="82"/>
  <c r="AF10" i="82"/>
  <c r="AE24" i="82"/>
  <c r="AE27" i="82"/>
  <c r="AE15" i="82"/>
  <c r="AE12" i="82"/>
  <c r="AE10" i="82"/>
  <c r="AA24" i="82"/>
  <c r="AA27" i="82" s="1"/>
  <c r="AA15" i="82"/>
  <c r="AA12" i="82"/>
  <c r="AA10" i="82"/>
  <c r="AA9" i="82" s="1"/>
  <c r="AA23" i="82" s="1"/>
  <c r="Z24" i="82"/>
  <c r="Z27" i="82"/>
  <c r="Z15" i="82"/>
  <c r="Z12" i="82"/>
  <c r="Z10" i="82"/>
  <c r="L24" i="82"/>
  <c r="L27" i="82" s="1"/>
  <c r="L15" i="82"/>
  <c r="L14" i="82"/>
  <c r="BE14" i="82"/>
  <c r="L12" i="82"/>
  <c r="L11" i="82"/>
  <c r="BE11" i="82" s="1"/>
  <c r="L10" i="82"/>
  <c r="BE10" i="82" s="1"/>
  <c r="K24" i="82"/>
  <c r="K27" i="82" s="1"/>
  <c r="K15" i="82"/>
  <c r="K14" i="82"/>
  <c r="BD14" i="82"/>
  <c r="K12" i="82"/>
  <c r="BD12" i="82"/>
  <c r="K11" i="82"/>
  <c r="BD11" i="82"/>
  <c r="K10" i="82"/>
  <c r="BD10" i="82"/>
  <c r="G26" i="82"/>
  <c r="BE26" i="82"/>
  <c r="G24" i="82"/>
  <c r="G27" i="82"/>
  <c r="G19" i="82"/>
  <c r="BE19" i="82"/>
  <c r="G17" i="82"/>
  <c r="BE17" i="82"/>
  <c r="G16" i="82"/>
  <c r="BE16" i="82"/>
  <c r="F26" i="82"/>
  <c r="BD26" i="82"/>
  <c r="F24" i="82"/>
  <c r="F19" i="82"/>
  <c r="F17" i="82"/>
  <c r="BD17" i="82" s="1"/>
  <c r="F16" i="82"/>
  <c r="BD16" i="82" s="1"/>
  <c r="G99" i="57"/>
  <c r="G98" i="57" s="1"/>
  <c r="G92" i="57"/>
  <c r="G45" i="36" s="1"/>
  <c r="G91" i="57"/>
  <c r="G86" i="57"/>
  <c r="G84" i="57"/>
  <c r="G80" i="57" s="1"/>
  <c r="G28" i="36" s="1"/>
  <c r="G77" i="57"/>
  <c r="G75" i="57"/>
  <c r="G76" i="57"/>
  <c r="G71" i="57"/>
  <c r="G58" i="57"/>
  <c r="G57" i="57"/>
  <c r="G55" i="57"/>
  <c r="G52" i="57"/>
  <c r="G40" i="57"/>
  <c r="F48" i="39" s="1"/>
  <c r="F47" i="39" s="1"/>
  <c r="F44" i="39" s="1"/>
  <c r="F43" i="39" s="1"/>
  <c r="F42" i="39" s="1"/>
  <c r="F25" i="80" s="1"/>
  <c r="J25" i="80" s="1"/>
  <c r="G22" i="57"/>
  <c r="F11" i="39" s="1"/>
  <c r="F10" i="39"/>
  <c r="F9" i="39" s="1"/>
  <c r="F8" i="39"/>
  <c r="G21" i="57"/>
  <c r="F99" i="57"/>
  <c r="F98" i="57" s="1"/>
  <c r="F92" i="57"/>
  <c r="F45" i="36" s="1"/>
  <c r="F91" i="57"/>
  <c r="F86" i="57"/>
  <c r="F84" i="57"/>
  <c r="F77" i="57"/>
  <c r="F76" i="57"/>
  <c r="F75" i="57" s="1"/>
  <c r="F71" i="57"/>
  <c r="F58" i="57"/>
  <c r="F57" i="57"/>
  <c r="F55" i="57"/>
  <c r="F52" i="57"/>
  <c r="F40" i="57"/>
  <c r="E48" i="39" s="1"/>
  <c r="E47" i="39"/>
  <c r="F22" i="57"/>
  <c r="E11" i="39"/>
  <c r="F21" i="57"/>
  <c r="U84" i="83"/>
  <c r="U83" i="83"/>
  <c r="U82" i="83"/>
  <c r="U81" i="83"/>
  <c r="Q62" i="83"/>
  <c r="Q59" i="83"/>
  <c r="P62" i="83"/>
  <c r="P59" i="83"/>
  <c r="L62" i="83"/>
  <c r="L59" i="83"/>
  <c r="L54" i="83"/>
  <c r="L40" i="83"/>
  <c r="K62" i="83"/>
  <c r="K59" i="83"/>
  <c r="K54" i="83"/>
  <c r="G75" i="83"/>
  <c r="G70" i="83"/>
  <c r="V70" i="83"/>
  <c r="G69" i="83"/>
  <c r="V69" i="83"/>
  <c r="G63" i="83"/>
  <c r="G60" i="83"/>
  <c r="G59" i="83" s="1"/>
  <c r="V59" i="83"/>
  <c r="G57" i="83"/>
  <c r="V57" i="83"/>
  <c r="G55" i="83"/>
  <c r="V55" i="83"/>
  <c r="G54" i="83"/>
  <c r="G50" i="83"/>
  <c r="V50" i="83" s="1"/>
  <c r="F75" i="83"/>
  <c r="F70" i="83"/>
  <c r="F69" i="83"/>
  <c r="F62" i="83" s="1"/>
  <c r="U62" i="83" s="1"/>
  <c r="F63" i="83"/>
  <c r="F60" i="83"/>
  <c r="F57" i="83"/>
  <c r="U57" i="83"/>
  <c r="F55" i="83"/>
  <c r="F54" i="83"/>
  <c r="F50" i="83"/>
  <c r="U50" i="83"/>
  <c r="Q40" i="83"/>
  <c r="Q32" i="83"/>
  <c r="P40" i="83"/>
  <c r="P32" i="83"/>
  <c r="G41" i="83"/>
  <c r="V41" i="83"/>
  <c r="G37" i="83"/>
  <c r="V37" i="83"/>
  <c r="G36" i="83"/>
  <c r="V36" i="83"/>
  <c r="G31" i="83"/>
  <c r="V31" i="83"/>
  <c r="G28" i="83"/>
  <c r="V28" i="83"/>
  <c r="F41" i="83"/>
  <c r="U41" i="83"/>
  <c r="F37" i="83"/>
  <c r="F36" i="83"/>
  <c r="F32" i="83"/>
  <c r="U32" i="83" s="1"/>
  <c r="F31" i="83"/>
  <c r="F28" i="83"/>
  <c r="L21" i="83"/>
  <c r="K21" i="83"/>
  <c r="G21" i="83"/>
  <c r="F21" i="83"/>
  <c r="F23" i="83" s="1"/>
  <c r="Q14" i="83"/>
  <c r="Q13" i="83"/>
  <c r="P14" i="83"/>
  <c r="P20" i="83"/>
  <c r="P13" i="83"/>
  <c r="L17" i="83"/>
  <c r="L14" i="83"/>
  <c r="L13" i="83"/>
  <c r="L10" i="83"/>
  <c r="L20" i="83" s="1"/>
  <c r="K17" i="83"/>
  <c r="K14" i="83"/>
  <c r="K13" i="83"/>
  <c r="K10" i="83"/>
  <c r="G17" i="83"/>
  <c r="V17" i="83" s="1"/>
  <c r="G16" i="83"/>
  <c r="V16" i="83" s="1"/>
  <c r="G14" i="83"/>
  <c r="G13" i="83"/>
  <c r="V13" i="83" s="1"/>
  <c r="G11" i="83"/>
  <c r="V11" i="83" s="1"/>
  <c r="G10" i="83"/>
  <c r="F17" i="83"/>
  <c r="F16" i="83"/>
  <c r="U16" i="83" s="1"/>
  <c r="F14" i="83"/>
  <c r="F13" i="83"/>
  <c r="F11" i="83"/>
  <c r="U11" i="83" s="1"/>
  <c r="F10" i="83"/>
  <c r="U10" i="83"/>
  <c r="F127" i="96"/>
  <c r="F134" i="96"/>
  <c r="F110" i="96"/>
  <c r="E122" i="57"/>
  <c r="I16" i="80"/>
  <c r="I10" i="80" s="1"/>
  <c r="I43" i="80" s="1"/>
  <c r="E76" i="58"/>
  <c r="E61" i="58"/>
  <c r="E60" i="58"/>
  <c r="E42" i="58"/>
  <c r="E40" i="58"/>
  <c r="C13" i="58"/>
  <c r="E13" i="58"/>
  <c r="E75" i="58"/>
  <c r="F123" i="96"/>
  <c r="D26" i="39"/>
  <c r="D25" i="39"/>
  <c r="A31" i="80"/>
  <c r="E31" i="80"/>
  <c r="G31" i="80"/>
  <c r="H31" i="80"/>
  <c r="I31" i="80"/>
  <c r="L31" i="80"/>
  <c r="M31" i="80"/>
  <c r="P31" i="80"/>
  <c r="A32" i="80"/>
  <c r="E32" i="80"/>
  <c r="G32" i="80"/>
  <c r="H32" i="80"/>
  <c r="I32" i="80"/>
  <c r="L32" i="80"/>
  <c r="M32" i="80"/>
  <c r="M46" i="80"/>
  <c r="P32" i="80"/>
  <c r="P28" i="80"/>
  <c r="P29" i="80"/>
  <c r="P30" i="80"/>
  <c r="L28" i="80"/>
  <c r="M28" i="80"/>
  <c r="L29" i="80"/>
  <c r="M29" i="80"/>
  <c r="L30" i="80"/>
  <c r="M30" i="80"/>
  <c r="L27" i="80"/>
  <c r="M27" i="80"/>
  <c r="E28" i="80"/>
  <c r="G28" i="80"/>
  <c r="H28" i="80"/>
  <c r="I28" i="80"/>
  <c r="E29" i="80"/>
  <c r="G29" i="80"/>
  <c r="H29" i="80"/>
  <c r="I29" i="80"/>
  <c r="E30" i="80"/>
  <c r="G30" i="80"/>
  <c r="H30" i="80"/>
  <c r="I30" i="80"/>
  <c r="E27" i="80"/>
  <c r="G27" i="80"/>
  <c r="H27" i="80"/>
  <c r="I27" i="80"/>
  <c r="K37" i="80"/>
  <c r="K31" i="80" s="1"/>
  <c r="F37" i="80"/>
  <c r="F31" i="80"/>
  <c r="F45" i="80"/>
  <c r="C37" i="80"/>
  <c r="C31" i="80" s="1"/>
  <c r="D37" i="80"/>
  <c r="D31" i="80"/>
  <c r="B37" i="80"/>
  <c r="B31" i="80" s="1"/>
  <c r="P9" i="80"/>
  <c r="P10" i="80"/>
  <c r="P43" i="80" s="1"/>
  <c r="P11" i="80"/>
  <c r="P12" i="80"/>
  <c r="P45" i="80" s="1"/>
  <c r="P13" i="80"/>
  <c r="P46" i="80"/>
  <c r="P8" i="80"/>
  <c r="K12" i="80"/>
  <c r="L12" i="80"/>
  <c r="L45" i="80"/>
  <c r="M12" i="80"/>
  <c r="M45" i="80" s="1"/>
  <c r="I12" i="80"/>
  <c r="I45" i="80"/>
  <c r="G12" i="80"/>
  <c r="B12" i="80"/>
  <c r="B45" i="80" s="1"/>
  <c r="C12" i="80"/>
  <c r="D12" i="80"/>
  <c r="E12" i="80"/>
  <c r="E45" i="80" s="1"/>
  <c r="F12" i="80"/>
  <c r="H12" i="80"/>
  <c r="H45" i="80"/>
  <c r="J24" i="80"/>
  <c r="A42" i="80"/>
  <c r="A43" i="80"/>
  <c r="A44" i="80"/>
  <c r="A45" i="80"/>
  <c r="A46" i="80"/>
  <c r="A41" i="80"/>
  <c r="A40" i="80"/>
  <c r="A37" i="80"/>
  <c r="A28" i="80"/>
  <c r="A29" i="80"/>
  <c r="A30" i="80"/>
  <c r="A27" i="80"/>
  <c r="A26" i="80"/>
  <c r="A21" i="80"/>
  <c r="A22" i="80"/>
  <c r="A23" i="80"/>
  <c r="A24" i="80"/>
  <c r="A20" i="80"/>
  <c r="A15" i="80"/>
  <c r="A16" i="80"/>
  <c r="A17" i="80"/>
  <c r="A18" i="80"/>
  <c r="A19" i="80"/>
  <c r="A14" i="80"/>
  <c r="A9" i="80"/>
  <c r="A10" i="80"/>
  <c r="A11" i="80"/>
  <c r="A12" i="80"/>
  <c r="A13" i="80"/>
  <c r="A8" i="80"/>
  <c r="B38" i="99"/>
  <c r="C38" i="99"/>
  <c r="E38" i="99"/>
  <c r="E32" i="99"/>
  <c r="F38" i="99"/>
  <c r="F32" i="99" s="1"/>
  <c r="C10" i="99"/>
  <c r="C11" i="99"/>
  <c r="B12" i="99"/>
  <c r="C12" i="99"/>
  <c r="D12" i="99"/>
  <c r="E12" i="99"/>
  <c r="F12" i="99"/>
  <c r="H12" i="99"/>
  <c r="H46" i="99" s="1"/>
  <c r="I12" i="99"/>
  <c r="I46" i="99"/>
  <c r="J12" i="99"/>
  <c r="J46" i="99" s="1"/>
  <c r="K12" i="99"/>
  <c r="K46" i="99"/>
  <c r="C13" i="99"/>
  <c r="E19" i="99"/>
  <c r="E13" i="99"/>
  <c r="E17" i="99"/>
  <c r="E11" i="99" s="1"/>
  <c r="E16" i="99"/>
  <c r="E10" i="99"/>
  <c r="E15" i="99"/>
  <c r="E9" i="99" s="1"/>
  <c r="E14" i="99"/>
  <c r="E8" i="99"/>
  <c r="D19" i="99"/>
  <c r="D13" i="99" s="1"/>
  <c r="D47" i="99" s="1"/>
  <c r="D17" i="99"/>
  <c r="D11" i="99"/>
  <c r="D16" i="99"/>
  <c r="D10" i="99" s="1"/>
  <c r="A40" i="99"/>
  <c r="A39" i="80" s="1"/>
  <c r="A39" i="99"/>
  <c r="A38" i="80"/>
  <c r="C32" i="99"/>
  <c r="A37" i="99"/>
  <c r="A36" i="80" s="1"/>
  <c r="A36" i="99"/>
  <c r="A35" i="80"/>
  <c r="A35" i="99"/>
  <c r="A34" i="80" s="1"/>
  <c r="A34" i="99"/>
  <c r="A33" i="80"/>
  <c r="D33" i="99"/>
  <c r="D32" i="99"/>
  <c r="D31" i="99"/>
  <c r="D30" i="99"/>
  <c r="D29" i="99"/>
  <c r="D28" i="99"/>
  <c r="L27" i="99"/>
  <c r="M27" i="99"/>
  <c r="G27" i="99"/>
  <c r="G26" i="99"/>
  <c r="A26" i="99"/>
  <c r="A25" i="80"/>
  <c r="G25" i="99"/>
  <c r="G24" i="99"/>
  <c r="G23" i="99"/>
  <c r="G22" i="99"/>
  <c r="G21" i="99"/>
  <c r="L20" i="99"/>
  <c r="M20" i="99"/>
  <c r="G20" i="99"/>
  <c r="C9" i="99"/>
  <c r="C8" i="99"/>
  <c r="D82" i="81"/>
  <c r="E82" i="81" s="1"/>
  <c r="E131" i="81"/>
  <c r="F131" i="81"/>
  <c r="F124" i="81"/>
  <c r="E117" i="81"/>
  <c r="F117" i="81" s="1"/>
  <c r="E103" i="81"/>
  <c r="F103" i="81"/>
  <c r="E96" i="81"/>
  <c r="B65" i="81"/>
  <c r="B66" i="81"/>
  <c r="B67" i="81"/>
  <c r="B68" i="81"/>
  <c r="B96" i="81" s="1"/>
  <c r="B103" i="81" s="1"/>
  <c r="B110" i="81" s="1"/>
  <c r="B117" i="81" s="1"/>
  <c r="B124" i="81" s="1"/>
  <c r="B131" i="81" s="1"/>
  <c r="B138" i="81" s="1"/>
  <c r="B145" i="81" s="1"/>
  <c r="B69" i="81"/>
  <c r="B97" i="81"/>
  <c r="B104" i="81"/>
  <c r="B111" i="81" s="1"/>
  <c r="B118" i="81" s="1"/>
  <c r="B125" i="81" s="1"/>
  <c r="B132" i="81" s="1"/>
  <c r="B139" i="81" s="1"/>
  <c r="B146" i="81" s="1"/>
  <c r="B64" i="81"/>
  <c r="B78" i="81"/>
  <c r="D28" i="81"/>
  <c r="E28" i="81" s="1"/>
  <c r="D35" i="81"/>
  <c r="F37" i="99" s="1"/>
  <c r="F31" i="99" s="1"/>
  <c r="B17" i="81"/>
  <c r="B25" i="81"/>
  <c r="B33" i="81" s="1"/>
  <c r="B41" i="81" s="1"/>
  <c r="B49" i="81" s="1"/>
  <c r="B57" i="81" s="1"/>
  <c r="B18" i="81"/>
  <c r="B26" i="81" s="1"/>
  <c r="B34" i="81" s="1"/>
  <c r="B42" i="81" s="1"/>
  <c r="B50" i="81" s="1"/>
  <c r="B58" i="81" s="1"/>
  <c r="B19" i="81"/>
  <c r="B20" i="81"/>
  <c r="B28" i="81" s="1"/>
  <c r="B36" i="81" s="1"/>
  <c r="B44" i="81" s="1"/>
  <c r="B52" i="81" s="1"/>
  <c r="B60" i="81" s="1"/>
  <c r="B21" i="81"/>
  <c r="B29" i="81"/>
  <c r="B37" i="81"/>
  <c r="B45" i="81" s="1"/>
  <c r="B53" i="81" s="1"/>
  <c r="B61" i="81" s="1"/>
  <c r="E60" i="83"/>
  <c r="E57" i="83"/>
  <c r="T57" i="83" s="1"/>
  <c r="E55" i="83"/>
  <c r="E54" i="83"/>
  <c r="E50" i="83"/>
  <c r="T50" i="83" s="1"/>
  <c r="E31" i="83"/>
  <c r="E28" i="83"/>
  <c r="E91" i="82"/>
  <c r="BC91" i="82" s="1"/>
  <c r="AD85" i="82"/>
  <c r="AD84" i="82"/>
  <c r="J85" i="82"/>
  <c r="J84" i="82" s="1"/>
  <c r="E85" i="82"/>
  <c r="J76" i="82"/>
  <c r="J40" i="82" s="1"/>
  <c r="E76" i="82"/>
  <c r="E78" i="82"/>
  <c r="BC78" i="82" s="1"/>
  <c r="E72" i="82"/>
  <c r="BC72" i="82"/>
  <c r="E71" i="82"/>
  <c r="BC71" i="82" s="1"/>
  <c r="T56" i="82"/>
  <c r="BC56" i="82"/>
  <c r="T53" i="82"/>
  <c r="BC53" i="82" s="1"/>
  <c r="Y57" i="82"/>
  <c r="E57" i="82"/>
  <c r="BC57" i="82"/>
  <c r="O43" i="82"/>
  <c r="E43" i="82"/>
  <c r="Y39" i="82"/>
  <c r="T39" i="82"/>
  <c r="BC39" i="82" s="1"/>
  <c r="AX38" i="82"/>
  <c r="AX37" i="82"/>
  <c r="Y38" i="82"/>
  <c r="E32" i="82"/>
  <c r="BC32" i="82" s="1"/>
  <c r="E30" i="82"/>
  <c r="BC30" i="82"/>
  <c r="AX24" i="82"/>
  <c r="AX27" i="82" s="1"/>
  <c r="AD24" i="82"/>
  <c r="AD27" i="82"/>
  <c r="Y24" i="82"/>
  <c r="Y27" i="82" s="1"/>
  <c r="J24" i="82"/>
  <c r="J27" i="82"/>
  <c r="E26" i="82"/>
  <c r="BC26" i="82" s="1"/>
  <c r="E24" i="82"/>
  <c r="BC24" i="82" s="1"/>
  <c r="E19" i="82"/>
  <c r="BC19" i="82" s="1"/>
  <c r="E17" i="82"/>
  <c r="BC17" i="82"/>
  <c r="E16" i="82"/>
  <c r="J11" i="82"/>
  <c r="BC11" i="82" s="1"/>
  <c r="AX10" i="82"/>
  <c r="J10" i="82"/>
  <c r="F113" i="96"/>
  <c r="F19" i="96"/>
  <c r="F13" i="96"/>
  <c r="F119" i="96"/>
  <c r="D12" i="39"/>
  <c r="D13" i="39"/>
  <c r="D14" i="39"/>
  <c r="E22" i="57"/>
  <c r="D11" i="39"/>
  <c r="E63" i="83"/>
  <c r="E69" i="83"/>
  <c r="E36" i="83"/>
  <c r="E41" i="83"/>
  <c r="T41" i="83" s="1"/>
  <c r="F77" i="96"/>
  <c r="F73" i="96"/>
  <c r="E10" i="83"/>
  <c r="J10" i="83"/>
  <c r="J20" i="83" s="1"/>
  <c r="J17" i="83"/>
  <c r="E17" i="83"/>
  <c r="J14" i="83"/>
  <c r="E14" i="83"/>
  <c r="J13" i="83"/>
  <c r="E13" i="83"/>
  <c r="E16" i="83"/>
  <c r="T16" i="83" s="1"/>
  <c r="E11" i="83"/>
  <c r="T11" i="83"/>
  <c r="D16" i="39"/>
  <c r="D15" i="39"/>
  <c r="F101" i="96"/>
  <c r="F100" i="96"/>
  <c r="F99" i="96"/>
  <c r="F98" i="96"/>
  <c r="F106" i="96"/>
  <c r="F105" i="96"/>
  <c r="F104" i="96"/>
  <c r="F97" i="96"/>
  <c r="F102" i="96"/>
  <c r="F70" i="96"/>
  <c r="AD10" i="82"/>
  <c r="J14" i="82"/>
  <c r="BC14" i="82"/>
  <c r="O85" i="82"/>
  <c r="O84" i="82" s="1"/>
  <c r="T77" i="82"/>
  <c r="BC77" i="82"/>
  <c r="E80" i="82"/>
  <c r="BC80" i="82" s="1"/>
  <c r="E62" i="82"/>
  <c r="BC62" i="82" s="1"/>
  <c r="E50" i="82"/>
  <c r="BC50" i="82"/>
  <c r="AN59" i="82"/>
  <c r="E38" i="82"/>
  <c r="T34" i="82"/>
  <c r="AX12" i="82"/>
  <c r="AX9" i="82" s="1"/>
  <c r="AX23" i="82" s="1"/>
  <c r="AD12" i="82"/>
  <c r="J12" i="82"/>
  <c r="Y12" i="82"/>
  <c r="BC12" i="82" s="1"/>
  <c r="Y10" i="82"/>
  <c r="BC10" i="82" s="1"/>
  <c r="E84" i="57"/>
  <c r="E76" i="57"/>
  <c r="E77" i="57"/>
  <c r="F132" i="96"/>
  <c r="F133" i="96"/>
  <c r="F79" i="96"/>
  <c r="E58" i="57"/>
  <c r="E57" i="57" s="1"/>
  <c r="F18" i="96"/>
  <c r="F17" i="96"/>
  <c r="F16" i="96"/>
  <c r="F15" i="96"/>
  <c r="O14" i="83"/>
  <c r="O13" i="83"/>
  <c r="O20" i="83"/>
  <c r="E40" i="57"/>
  <c r="E21" i="57"/>
  <c r="F10" i="96"/>
  <c r="F20" i="96"/>
  <c r="F137" i="96"/>
  <c r="E44" i="58"/>
  <c r="E43" i="58"/>
  <c r="O2" i="56"/>
  <c r="G2" i="97"/>
  <c r="I2" i="52"/>
  <c r="D49" i="96"/>
  <c r="E79" i="36"/>
  <c r="F79" i="36"/>
  <c r="G79" i="36"/>
  <c r="D73" i="36"/>
  <c r="E73" i="36"/>
  <c r="F73" i="36"/>
  <c r="G73" i="36"/>
  <c r="E125" i="57"/>
  <c r="E124" i="57"/>
  <c r="F125" i="57"/>
  <c r="F124" i="57" s="1"/>
  <c r="G125" i="57"/>
  <c r="G124" i="57"/>
  <c r="I14" i="80"/>
  <c r="I8" i="80" s="1"/>
  <c r="I41" i="80" s="1"/>
  <c r="T84" i="83"/>
  <c r="D34" i="81" s="1"/>
  <c r="F16" i="99" s="1"/>
  <c r="F10" i="99" s="1"/>
  <c r="D33" i="81"/>
  <c r="T83" i="83"/>
  <c r="T82" i="83"/>
  <c r="T81" i="83"/>
  <c r="R81" i="83"/>
  <c r="S77" i="83"/>
  <c r="T77" i="83"/>
  <c r="U77" i="83"/>
  <c r="S79" i="83"/>
  <c r="T79" i="83"/>
  <c r="U79" i="83"/>
  <c r="R73" i="83"/>
  <c r="D127" i="81"/>
  <c r="E127" i="81" s="1"/>
  <c r="S73" i="83"/>
  <c r="D128" i="81"/>
  <c r="F34" i="80"/>
  <c r="F28" i="80" s="1"/>
  <c r="T73" i="83"/>
  <c r="D129" i="81"/>
  <c r="F35" i="80"/>
  <c r="F29" i="80" s="1"/>
  <c r="U73" i="83"/>
  <c r="D130" i="81"/>
  <c r="F36" i="80"/>
  <c r="F30" i="80" s="1"/>
  <c r="U72" i="83"/>
  <c r="T72" i="83"/>
  <c r="S72" i="83"/>
  <c r="R72" i="83"/>
  <c r="R61" i="83"/>
  <c r="S61" i="83"/>
  <c r="T61" i="83"/>
  <c r="U61" i="83"/>
  <c r="R63" i="83"/>
  <c r="S63" i="83"/>
  <c r="U63" i="83"/>
  <c r="R64" i="83"/>
  <c r="S64" i="83"/>
  <c r="T64" i="83"/>
  <c r="U64" i="83"/>
  <c r="R65" i="83"/>
  <c r="S65" i="83"/>
  <c r="T65" i="83"/>
  <c r="U65" i="83"/>
  <c r="R66" i="83"/>
  <c r="S66" i="83"/>
  <c r="T66" i="83"/>
  <c r="U66" i="83"/>
  <c r="R67" i="83"/>
  <c r="S67" i="83"/>
  <c r="T67" i="83"/>
  <c r="U67" i="83"/>
  <c r="R68" i="83"/>
  <c r="S68" i="83"/>
  <c r="T68" i="83"/>
  <c r="U68" i="83"/>
  <c r="R69" i="83"/>
  <c r="S69" i="83"/>
  <c r="U69" i="83"/>
  <c r="R70" i="83"/>
  <c r="T60" i="83"/>
  <c r="S60" i="83"/>
  <c r="R60" i="83"/>
  <c r="R48" i="83"/>
  <c r="S48" i="83"/>
  <c r="T48" i="83"/>
  <c r="U48" i="83"/>
  <c r="R49" i="83"/>
  <c r="S49" i="83"/>
  <c r="T49" i="83"/>
  <c r="U49" i="83"/>
  <c r="R50" i="83"/>
  <c r="S50" i="83"/>
  <c r="R51" i="83"/>
  <c r="S51" i="83"/>
  <c r="T51" i="83"/>
  <c r="U51" i="83"/>
  <c r="R52" i="83"/>
  <c r="S52" i="83"/>
  <c r="T52" i="83"/>
  <c r="U52" i="83"/>
  <c r="R53" i="83"/>
  <c r="S53" i="83"/>
  <c r="T53" i="83"/>
  <c r="U53" i="83"/>
  <c r="R55" i="83"/>
  <c r="R56" i="83"/>
  <c r="S56" i="83"/>
  <c r="T56" i="83"/>
  <c r="U56" i="83"/>
  <c r="R57" i="83"/>
  <c r="S57" i="83"/>
  <c r="R58" i="83"/>
  <c r="S58" i="83"/>
  <c r="T58" i="83"/>
  <c r="U58" i="83"/>
  <c r="U37" i="83"/>
  <c r="R38" i="83"/>
  <c r="S38" i="83"/>
  <c r="T38" i="83"/>
  <c r="U38" i="83"/>
  <c r="R39" i="83"/>
  <c r="S39" i="83"/>
  <c r="T39" i="83"/>
  <c r="U39" i="83"/>
  <c r="R41" i="83"/>
  <c r="S41" i="83"/>
  <c r="R42" i="83"/>
  <c r="S42" i="83"/>
  <c r="T42" i="83"/>
  <c r="U42" i="83"/>
  <c r="R43" i="83"/>
  <c r="S43" i="83"/>
  <c r="T43" i="83"/>
  <c r="U43" i="83"/>
  <c r="R44" i="83"/>
  <c r="S44" i="83"/>
  <c r="T44" i="83"/>
  <c r="U44" i="83"/>
  <c r="R45" i="83"/>
  <c r="S45" i="83"/>
  <c r="T45" i="83"/>
  <c r="U45" i="83"/>
  <c r="R46" i="83"/>
  <c r="S46" i="83"/>
  <c r="T46" i="83"/>
  <c r="U46" i="83"/>
  <c r="R47" i="83"/>
  <c r="S47" i="83"/>
  <c r="T47" i="83"/>
  <c r="U47" i="83"/>
  <c r="R33" i="83"/>
  <c r="S33" i="83"/>
  <c r="T33" i="83"/>
  <c r="U33" i="83"/>
  <c r="R34" i="83"/>
  <c r="S34" i="83"/>
  <c r="T34" i="83"/>
  <c r="U34" i="83"/>
  <c r="R36" i="83"/>
  <c r="S36" i="83"/>
  <c r="U36" i="83"/>
  <c r="R26" i="83"/>
  <c r="S26" i="83"/>
  <c r="T26" i="83"/>
  <c r="U26" i="83"/>
  <c r="R27" i="83"/>
  <c r="S27" i="83"/>
  <c r="T27" i="83"/>
  <c r="U27" i="83"/>
  <c r="R28" i="83"/>
  <c r="S28" i="83"/>
  <c r="T28" i="83"/>
  <c r="U28" i="83"/>
  <c r="R29" i="83"/>
  <c r="S29" i="83"/>
  <c r="T29" i="83"/>
  <c r="U29" i="83"/>
  <c r="R30" i="83"/>
  <c r="S30" i="83"/>
  <c r="T30" i="83"/>
  <c r="U30" i="83"/>
  <c r="R31" i="83"/>
  <c r="S31" i="83"/>
  <c r="U31" i="83"/>
  <c r="U25" i="83"/>
  <c r="T25" i="83"/>
  <c r="S25" i="83"/>
  <c r="R25" i="83"/>
  <c r="S22" i="83"/>
  <c r="T22" i="83"/>
  <c r="U22" i="83"/>
  <c r="U21" i="83"/>
  <c r="U23" i="83" s="1"/>
  <c r="F115" i="57" s="1"/>
  <c r="R19" i="83"/>
  <c r="S19" i="83"/>
  <c r="T19" i="83"/>
  <c r="U19" i="83"/>
  <c r="R11" i="83"/>
  <c r="S11" i="83"/>
  <c r="R12" i="83"/>
  <c r="S12" i="83"/>
  <c r="T12" i="83"/>
  <c r="U12" i="83"/>
  <c r="R15" i="83"/>
  <c r="S15" i="83"/>
  <c r="T15" i="83"/>
  <c r="U15" i="83"/>
  <c r="R17" i="83"/>
  <c r="S17" i="83"/>
  <c r="U17" i="83"/>
  <c r="R18" i="83"/>
  <c r="S18" i="83"/>
  <c r="T18" i="83"/>
  <c r="U18" i="83"/>
  <c r="S10" i="83"/>
  <c r="R10" i="83"/>
  <c r="S8" i="83"/>
  <c r="T8" i="83"/>
  <c r="U8" i="83"/>
  <c r="P75" i="83"/>
  <c r="P24" i="83"/>
  <c r="P71" i="83"/>
  <c r="P23" i="83"/>
  <c r="O75" i="83"/>
  <c r="O62" i="83"/>
  <c r="O59" i="83"/>
  <c r="O40" i="83"/>
  <c r="O32" i="83"/>
  <c r="O24" i="83"/>
  <c r="O23" i="83"/>
  <c r="N75" i="83"/>
  <c r="E57" i="58"/>
  <c r="E56" i="58" s="1"/>
  <c r="C56" i="58"/>
  <c r="I8" i="83"/>
  <c r="N8" i="83" s="1"/>
  <c r="J8" i="83"/>
  <c r="O8" i="83"/>
  <c r="K8" i="83"/>
  <c r="P8" i="83" s="1"/>
  <c r="K75" i="83"/>
  <c r="K32" i="83"/>
  <c r="K24" i="83"/>
  <c r="K23" i="83"/>
  <c r="J75" i="83"/>
  <c r="J62" i="83"/>
  <c r="J59" i="83"/>
  <c r="J54" i="83"/>
  <c r="T54" i="83" s="1"/>
  <c r="J32" i="83"/>
  <c r="J24" i="83"/>
  <c r="J21" i="83"/>
  <c r="J23" i="83" s="1"/>
  <c r="I75" i="83"/>
  <c r="S75" i="83"/>
  <c r="D114" i="81" s="1"/>
  <c r="S14" i="83"/>
  <c r="E75" i="83"/>
  <c r="E70" i="83"/>
  <c r="T70" i="83" s="1"/>
  <c r="E59" i="83"/>
  <c r="E37" i="83"/>
  <c r="T37" i="83"/>
  <c r="D75" i="83"/>
  <c r="S70" i="83"/>
  <c r="S55" i="83"/>
  <c r="E21" i="83"/>
  <c r="T21" i="83" s="1"/>
  <c r="T23" i="83" s="1"/>
  <c r="E115" i="57" s="1"/>
  <c r="S16" i="83"/>
  <c r="C121" i="81"/>
  <c r="F121" i="81" s="1"/>
  <c r="C122" i="81"/>
  <c r="C125" i="81"/>
  <c r="E19" i="80"/>
  <c r="E13" i="80" s="1"/>
  <c r="E46" i="80" s="1"/>
  <c r="BB46" i="82"/>
  <c r="BC46" i="82"/>
  <c r="BD46" i="82"/>
  <c r="BE46" i="82"/>
  <c r="BA25" i="82"/>
  <c r="BB8" i="82"/>
  <c r="BC8" i="82"/>
  <c r="BD8" i="82"/>
  <c r="BE8" i="82"/>
  <c r="BA8" i="82"/>
  <c r="AX15" i="82"/>
  <c r="AW8" i="82"/>
  <c r="AX8" i="82"/>
  <c r="AY8" i="82"/>
  <c r="AZ8" i="82"/>
  <c r="AV8" i="82"/>
  <c r="AV28" i="82"/>
  <c r="AV27" i="82"/>
  <c r="AV15" i="82"/>
  <c r="AR81" i="82"/>
  <c r="AS81" i="82"/>
  <c r="AT81" i="82"/>
  <c r="AR84" i="82"/>
  <c r="AS84" i="82"/>
  <c r="AT84" i="82"/>
  <c r="AR40" i="82"/>
  <c r="AS40" i="82"/>
  <c r="AR37" i="82"/>
  <c r="AS37" i="82"/>
  <c r="AR27" i="82"/>
  <c r="AS27" i="82"/>
  <c r="AT27" i="82"/>
  <c r="AR28" i="82"/>
  <c r="AS28" i="82"/>
  <c r="AS92" i="82" s="1"/>
  <c r="AT28" i="82"/>
  <c r="AR9" i="82"/>
  <c r="AR23" i="82" s="1"/>
  <c r="AS9" i="82"/>
  <c r="AT9" i="82"/>
  <c r="AR15" i="82"/>
  <c r="AS15" i="82"/>
  <c r="AT15" i="82"/>
  <c r="AT23" i="82" s="1"/>
  <c r="AR8" i="82"/>
  <c r="AS8" i="82"/>
  <c r="AT8" i="82"/>
  <c r="AU8" i="82"/>
  <c r="AQ8" i="82"/>
  <c r="AM81" i="82"/>
  <c r="AN81" i="82"/>
  <c r="AO81" i="82"/>
  <c r="AM84" i="82"/>
  <c r="AN84" i="82"/>
  <c r="AO84" i="82"/>
  <c r="AM40" i="82"/>
  <c r="AM92" i="82"/>
  <c r="AM37" i="82"/>
  <c r="AN37" i="82"/>
  <c r="AO37" i="82"/>
  <c r="AM27" i="82"/>
  <c r="AN27" i="82"/>
  <c r="AO27" i="82"/>
  <c r="AM28" i="82"/>
  <c r="AN28" i="82"/>
  <c r="AO28" i="82"/>
  <c r="AM9" i="82"/>
  <c r="AN9" i="82"/>
  <c r="AO9" i="82"/>
  <c r="AO23" i="82" s="1"/>
  <c r="AP9" i="82"/>
  <c r="AM15" i="82"/>
  <c r="AN15" i="82"/>
  <c r="AO15" i="82"/>
  <c r="AP15" i="82"/>
  <c r="AP23" i="82" s="1"/>
  <c r="AM8" i="82"/>
  <c r="AN8" i="82"/>
  <c r="AO8" i="82"/>
  <c r="AP8" i="82"/>
  <c r="AL8" i="82"/>
  <c r="AI84" i="82"/>
  <c r="AI81" i="82"/>
  <c r="AI37" i="82"/>
  <c r="AI40" i="82"/>
  <c r="AI27" i="82"/>
  <c r="AI28" i="82"/>
  <c r="AI9" i="82"/>
  <c r="AI23" i="82" s="1"/>
  <c r="AI15" i="82"/>
  <c r="AH8" i="82"/>
  <c r="AI8" i="82"/>
  <c r="AJ8" i="82"/>
  <c r="AK8" i="82"/>
  <c r="AG8" i="82"/>
  <c r="AJ9" i="82"/>
  <c r="AJ23" i="82" s="1"/>
  <c r="AJ15" i="82"/>
  <c r="AJ27" i="82"/>
  <c r="AJ28" i="82"/>
  <c r="AJ37" i="82"/>
  <c r="AJ92" i="82" s="1"/>
  <c r="AJ40" i="82"/>
  <c r="AJ81" i="82"/>
  <c r="AC8" i="82"/>
  <c r="AD8" i="82"/>
  <c r="AE8" i="82"/>
  <c r="AF8" i="82"/>
  <c r="AB8" i="82"/>
  <c r="X8" i="82"/>
  <c r="Y8" i="82"/>
  <c r="Z8" i="82"/>
  <c r="AA8" i="82"/>
  <c r="W8" i="82"/>
  <c r="T84" i="82"/>
  <c r="S8" i="82"/>
  <c r="T8" i="82"/>
  <c r="U8" i="82"/>
  <c r="V8" i="82"/>
  <c r="R8" i="82"/>
  <c r="N8" i="82"/>
  <c r="O8" i="82"/>
  <c r="P8" i="82"/>
  <c r="Q8" i="82"/>
  <c r="M8" i="82"/>
  <c r="BA87" i="82"/>
  <c r="C38" i="82"/>
  <c r="C37" i="82" s="1"/>
  <c r="E34" i="82"/>
  <c r="BC34" i="82"/>
  <c r="E33" i="82"/>
  <c r="BC33" i="82"/>
  <c r="E31" i="82"/>
  <c r="BC31" i="82"/>
  <c r="C34" i="82"/>
  <c r="BA34" i="82"/>
  <c r="C33" i="82"/>
  <c r="BA33" i="82"/>
  <c r="C32" i="82"/>
  <c r="BA32" i="82"/>
  <c r="C31" i="82"/>
  <c r="BA31" i="82"/>
  <c r="J81" i="82"/>
  <c r="J37" i="82"/>
  <c r="J28" i="82"/>
  <c r="I84" i="82"/>
  <c r="H84" i="82"/>
  <c r="H92" i="82"/>
  <c r="I81" i="82"/>
  <c r="H81" i="82"/>
  <c r="I40" i="82"/>
  <c r="I92" i="82"/>
  <c r="H40" i="82"/>
  <c r="H37" i="82"/>
  <c r="H28" i="82"/>
  <c r="H27" i="82"/>
  <c r="J15" i="82"/>
  <c r="I8" i="82"/>
  <c r="J8" i="82"/>
  <c r="K8" i="82"/>
  <c r="L8" i="82"/>
  <c r="H8" i="82"/>
  <c r="H15" i="82"/>
  <c r="H9" i="82"/>
  <c r="G9" i="82"/>
  <c r="F9" i="82"/>
  <c r="E9" i="82"/>
  <c r="C19" i="82"/>
  <c r="BA19" i="82" s="1"/>
  <c r="C9" i="82"/>
  <c r="D72" i="39"/>
  <c r="D70" i="39"/>
  <c r="D40" i="39"/>
  <c r="E78" i="58"/>
  <c r="E77" i="58" s="1"/>
  <c r="E62" i="58"/>
  <c r="E33" i="58"/>
  <c r="E29" i="58"/>
  <c r="E24" i="58"/>
  <c r="E49" i="36"/>
  <c r="E20" i="58"/>
  <c r="E18" i="58"/>
  <c r="E16" i="58"/>
  <c r="E91" i="57"/>
  <c r="E86" i="57"/>
  <c r="E99" i="57"/>
  <c r="E98" i="57" s="1"/>
  <c r="E92" i="57"/>
  <c r="E45" i="36" s="1"/>
  <c r="E71" i="57"/>
  <c r="E55" i="57"/>
  <c r="E52" i="57"/>
  <c r="F7" i="39"/>
  <c r="C7" i="39"/>
  <c r="D7" i="39"/>
  <c r="E7" i="39"/>
  <c r="G6" i="58"/>
  <c r="D6" i="58"/>
  <c r="E6" i="58"/>
  <c r="F6" i="58"/>
  <c r="G6" i="57"/>
  <c r="D6" i="57"/>
  <c r="E6" i="57"/>
  <c r="F6" i="57"/>
  <c r="F94" i="96"/>
  <c r="D79" i="97"/>
  <c r="C70" i="39"/>
  <c r="AF42" i="82"/>
  <c r="BE42" i="82" s="1"/>
  <c r="G23" i="83"/>
  <c r="F9" i="96"/>
  <c r="F11" i="96"/>
  <c r="F84" i="96"/>
  <c r="F86" i="96"/>
  <c r="F112" i="96"/>
  <c r="F125" i="96"/>
  <c r="F142" i="96"/>
  <c r="E36" i="81"/>
  <c r="AW9" i="82"/>
  <c r="AW23" i="82"/>
  <c r="AX28" i="82"/>
  <c r="AX40" i="82"/>
  <c r="AW81" i="82"/>
  <c r="AX81" i="82"/>
  <c r="AY81" i="82"/>
  <c r="AZ81" i="82"/>
  <c r="AW84" i="82"/>
  <c r="AX84" i="82"/>
  <c r="AY84" i="82"/>
  <c r="AZ84" i="82"/>
  <c r="AU9" i="82"/>
  <c r="AU23" i="82"/>
  <c r="AU15" i="82"/>
  <c r="AU27" i="82"/>
  <c r="AU28" i="82"/>
  <c r="AU81" i="82"/>
  <c r="AU84" i="82"/>
  <c r="AP27" i="82"/>
  <c r="AP28" i="82"/>
  <c r="AP37" i="82"/>
  <c r="AP81" i="82"/>
  <c r="AP84" i="82"/>
  <c r="AH27" i="82"/>
  <c r="AK27" i="82"/>
  <c r="AH28" i="82"/>
  <c r="AK28" i="82"/>
  <c r="AH37" i="82"/>
  <c r="AK37" i="82"/>
  <c r="AH40" i="82"/>
  <c r="AK40" i="82"/>
  <c r="AH81" i="82"/>
  <c r="AK81" i="82"/>
  <c r="BE81" i="82"/>
  <c r="AH84" i="82"/>
  <c r="AD15" i="82"/>
  <c r="AD28" i="82"/>
  <c r="AE28" i="82"/>
  <c r="AE92" i="82" s="1"/>
  <c r="AF28" i="82"/>
  <c r="AD37" i="82"/>
  <c r="AE37" i="82"/>
  <c r="AF37" i="82"/>
  <c r="AD40" i="82"/>
  <c r="AE40" i="82"/>
  <c r="AC81" i="82"/>
  <c r="AD81" i="82"/>
  <c r="AD92" i="82"/>
  <c r="AE81" i="82"/>
  <c r="BD81" i="82"/>
  <c r="AF81" i="82"/>
  <c r="AC84" i="82"/>
  <c r="Y15" i="82"/>
  <c r="Y28" i="82"/>
  <c r="X38" i="82"/>
  <c r="X37" i="82"/>
  <c r="X40" i="82"/>
  <c r="Y44" i="82"/>
  <c r="BC44" i="82"/>
  <c r="Y40" i="82"/>
  <c r="X81" i="82"/>
  <c r="X92" i="82" s="1"/>
  <c r="Y81" i="82"/>
  <c r="X84" i="82"/>
  <c r="Y84" i="82"/>
  <c r="S29" i="82"/>
  <c r="S28" i="82"/>
  <c r="T29" i="82"/>
  <c r="BC29" i="82"/>
  <c r="S37" i="82"/>
  <c r="S40" i="82"/>
  <c r="S81" i="82"/>
  <c r="T81" i="82"/>
  <c r="N81" i="82"/>
  <c r="O81" i="82"/>
  <c r="N85" i="82"/>
  <c r="Q20" i="83"/>
  <c r="Q78" i="83" s="1"/>
  <c r="Q23" i="83"/>
  <c r="Q24" i="83"/>
  <c r="Q71" i="83"/>
  <c r="C69" i="98"/>
  <c r="C68" i="98"/>
  <c r="Q75" i="83"/>
  <c r="L24" i="83"/>
  <c r="L32" i="83"/>
  <c r="L71" i="83"/>
  <c r="L75" i="83"/>
  <c r="V75" i="83"/>
  <c r="D118" i="81" s="1"/>
  <c r="E118" i="81"/>
  <c r="D79" i="36"/>
  <c r="D78" i="58"/>
  <c r="D77" i="58" s="1"/>
  <c r="C25" i="39"/>
  <c r="F122" i="96"/>
  <c r="F121" i="96"/>
  <c r="F118" i="96"/>
  <c r="F117" i="96"/>
  <c r="F45" i="96"/>
  <c r="F72" i="96"/>
  <c r="F116" i="96"/>
  <c r="C7" i="52"/>
  <c r="C13" i="52" s="1"/>
  <c r="C24" i="52"/>
  <c r="G24" i="52"/>
  <c r="J24" i="52"/>
  <c r="H24" i="52"/>
  <c r="E24" i="52"/>
  <c r="N20" i="53"/>
  <c r="R21" i="83"/>
  <c r="M109" i="82"/>
  <c r="C39" i="58"/>
  <c r="C38" i="58" s="1"/>
  <c r="K20" i="80" s="1"/>
  <c r="H110" i="82"/>
  <c r="M110" i="82"/>
  <c r="M108" i="82"/>
  <c r="H107" i="82"/>
  <c r="M107" i="82" s="1"/>
  <c r="N12" i="56"/>
  <c r="M85" i="82"/>
  <c r="H106" i="82"/>
  <c r="M106" i="82" s="1"/>
  <c r="R16" i="83"/>
  <c r="D16" i="53"/>
  <c r="C60" i="58"/>
  <c r="C59" i="58" s="1"/>
  <c r="C24" i="83"/>
  <c r="M20" i="83"/>
  <c r="C20" i="83"/>
  <c r="D32" i="81"/>
  <c r="F14" i="99"/>
  <c r="F8" i="99" s="1"/>
  <c r="F34" i="99"/>
  <c r="F28" i="99" s="1"/>
  <c r="AL59" i="82"/>
  <c r="E87" i="82"/>
  <c r="BC87" i="82"/>
  <c r="R82" i="83"/>
  <c r="B51" i="39"/>
  <c r="B50" i="39" s="1"/>
  <c r="B48" i="39"/>
  <c r="B47" i="39" s="1"/>
  <c r="D10" i="95"/>
  <c r="G10" i="95"/>
  <c r="J10" i="95"/>
  <c r="M10" i="95"/>
  <c r="N10" i="95"/>
  <c r="O10" i="95"/>
  <c r="D11" i="95"/>
  <c r="G11" i="95"/>
  <c r="J11" i="95"/>
  <c r="M11" i="95"/>
  <c r="N11" i="95"/>
  <c r="O11" i="95"/>
  <c r="D12" i="95"/>
  <c r="G12" i="95"/>
  <c r="J12" i="95"/>
  <c r="M12" i="95"/>
  <c r="N12" i="95"/>
  <c r="O12" i="95"/>
  <c r="D13" i="95"/>
  <c r="G13" i="95"/>
  <c r="J13" i="95"/>
  <c r="M13" i="95"/>
  <c r="N13" i="95"/>
  <c r="O13" i="95"/>
  <c r="D14" i="95"/>
  <c r="G14" i="95"/>
  <c r="J14" i="95"/>
  <c r="M14" i="95"/>
  <c r="P14" i="95"/>
  <c r="N14" i="95"/>
  <c r="O14" i="95"/>
  <c r="B15" i="95"/>
  <c r="C15" i="95"/>
  <c r="E15" i="95"/>
  <c r="F15" i="95"/>
  <c r="H15" i="95"/>
  <c r="I15" i="95"/>
  <c r="K15" i="95"/>
  <c r="L15" i="95"/>
  <c r="D16" i="95"/>
  <c r="G16" i="95"/>
  <c r="J16" i="95"/>
  <c r="M16" i="95"/>
  <c r="N16" i="95"/>
  <c r="O16" i="95"/>
  <c r="B17" i="95"/>
  <c r="B27" i="95" s="1"/>
  <c r="C17" i="95"/>
  <c r="C27" i="95" s="1"/>
  <c r="G17" i="95"/>
  <c r="H17" i="95"/>
  <c r="H27" i="95"/>
  <c r="I17" i="95"/>
  <c r="O17" i="95"/>
  <c r="M17" i="95"/>
  <c r="D18" i="95"/>
  <c r="G18" i="95"/>
  <c r="J18" i="95"/>
  <c r="M18" i="95"/>
  <c r="N18" i="95"/>
  <c r="O18" i="95"/>
  <c r="D19" i="95"/>
  <c r="G19" i="95"/>
  <c r="J19" i="95"/>
  <c r="M19" i="95"/>
  <c r="N19" i="95"/>
  <c r="O19" i="95"/>
  <c r="D20" i="95"/>
  <c r="G20" i="95"/>
  <c r="J20" i="95"/>
  <c r="P20" i="95"/>
  <c r="M20" i="95"/>
  <c r="N20" i="95"/>
  <c r="O20" i="95"/>
  <c r="D21" i="95"/>
  <c r="F21" i="95"/>
  <c r="O21" i="95"/>
  <c r="J21" i="95"/>
  <c r="M21" i="95"/>
  <c r="N21" i="95"/>
  <c r="D22" i="95"/>
  <c r="F22" i="95"/>
  <c r="G22" i="95"/>
  <c r="I22" i="95"/>
  <c r="J22" i="95"/>
  <c r="M22" i="95"/>
  <c r="N22" i="95"/>
  <c r="D23" i="95"/>
  <c r="G23" i="95"/>
  <c r="J23" i="95"/>
  <c r="M23" i="95"/>
  <c r="P23" i="95" s="1"/>
  <c r="N23" i="95"/>
  <c r="O23" i="95"/>
  <c r="D24" i="95"/>
  <c r="G24" i="95"/>
  <c r="J24" i="95"/>
  <c r="M24" i="95"/>
  <c r="N24" i="95"/>
  <c r="O24" i="95"/>
  <c r="D25" i="95"/>
  <c r="G25" i="95"/>
  <c r="J25" i="95"/>
  <c r="M25" i="95"/>
  <c r="N25" i="95"/>
  <c r="O25" i="95"/>
  <c r="D26" i="95"/>
  <c r="F26" i="95"/>
  <c r="G26" i="95" s="1"/>
  <c r="I26" i="95"/>
  <c r="J26" i="95"/>
  <c r="P26" i="95" s="1"/>
  <c r="M26" i="95"/>
  <c r="N26" i="95"/>
  <c r="E27" i="95"/>
  <c r="E36" i="95"/>
  <c r="K27" i="95"/>
  <c r="L27" i="95"/>
  <c r="L36" i="95" s="1"/>
  <c r="D28" i="95"/>
  <c r="P28" i="95"/>
  <c r="N28" i="95"/>
  <c r="O28" i="95"/>
  <c r="P31" i="95"/>
  <c r="B35" i="95"/>
  <c r="C35" i="95" s="1"/>
  <c r="C36" i="95" s="1"/>
  <c r="E35" i="95"/>
  <c r="F35" i="95"/>
  <c r="H35" i="95"/>
  <c r="I35" i="95"/>
  <c r="K35" i="95"/>
  <c r="L35" i="95"/>
  <c r="P35" i="95"/>
  <c r="N35" i="95" s="1"/>
  <c r="O35" i="95" s="1"/>
  <c r="D5" i="98"/>
  <c r="E5" i="98"/>
  <c r="F5" i="98"/>
  <c r="C12" i="98"/>
  <c r="D12" i="98"/>
  <c r="G12" i="98"/>
  <c r="E13" i="98"/>
  <c r="E12" i="98" s="1"/>
  <c r="F13" i="98"/>
  <c r="F12" i="98"/>
  <c r="F11" i="98" s="1"/>
  <c r="C15" i="98"/>
  <c r="D15" i="98"/>
  <c r="E15" i="98"/>
  <c r="E11" i="98" s="1"/>
  <c r="E6" i="98" s="1"/>
  <c r="E38" i="98" s="1"/>
  <c r="F15" i="98"/>
  <c r="G15" i="98"/>
  <c r="G11" i="98" s="1"/>
  <c r="H15" i="98"/>
  <c r="H11" i="98" s="1"/>
  <c r="M15" i="98"/>
  <c r="O15" i="98"/>
  <c r="M16" i="98"/>
  <c r="O16" i="98"/>
  <c r="C18" i="98"/>
  <c r="E18" i="98"/>
  <c r="G18" i="98"/>
  <c r="H18" i="98"/>
  <c r="D20" i="98"/>
  <c r="P12" i="98" s="1"/>
  <c r="F20" i="98"/>
  <c r="F18" i="98" s="1"/>
  <c r="D24" i="98"/>
  <c r="C26" i="98"/>
  <c r="C24" i="98" s="1"/>
  <c r="E26" i="98"/>
  <c r="E24" i="98" s="1"/>
  <c r="F26" i="98"/>
  <c r="F24" i="98" s="1"/>
  <c r="F6" i="98" s="1"/>
  <c r="F38" i="98" s="1"/>
  <c r="G26" i="98"/>
  <c r="G24" i="98"/>
  <c r="G6" i="98" s="1"/>
  <c r="G38" i="98" s="1"/>
  <c r="H26" i="98"/>
  <c r="H24" i="98"/>
  <c r="C29" i="98"/>
  <c r="E29" i="98"/>
  <c r="F29" i="98"/>
  <c r="G29" i="98"/>
  <c r="H29" i="98"/>
  <c r="D31" i="98"/>
  <c r="D32" i="98"/>
  <c r="C34" i="98"/>
  <c r="D34" i="98"/>
  <c r="E34" i="98"/>
  <c r="F34" i="98"/>
  <c r="G34" i="98"/>
  <c r="H34" i="98"/>
  <c r="C42" i="98"/>
  <c r="D42" i="98"/>
  <c r="E42" i="98"/>
  <c r="F42" i="98"/>
  <c r="G42" i="98"/>
  <c r="H42" i="98"/>
  <c r="C47" i="98"/>
  <c r="D47" i="98"/>
  <c r="D41" i="98"/>
  <c r="I40" i="98" s="1"/>
  <c r="G47" i="98"/>
  <c r="H47" i="98"/>
  <c r="E48" i="98"/>
  <c r="F48" i="98"/>
  <c r="F49" i="98"/>
  <c r="I49" i="98"/>
  <c r="E51" i="98"/>
  <c r="F51" i="98"/>
  <c r="I58" i="98"/>
  <c r="I59" i="98"/>
  <c r="H68" i="98"/>
  <c r="P68" i="98"/>
  <c r="D78" i="98"/>
  <c r="G78" i="98"/>
  <c r="H78" i="98"/>
  <c r="H77" i="98"/>
  <c r="E79" i="98"/>
  <c r="E78" i="98"/>
  <c r="F79" i="98"/>
  <c r="F78" i="98"/>
  <c r="F77" i="98" s="1"/>
  <c r="I79" i="98"/>
  <c r="I80" i="98"/>
  <c r="I81" i="98"/>
  <c r="I82" i="98"/>
  <c r="D83" i="98"/>
  <c r="Q84" i="98"/>
  <c r="R84" i="98"/>
  <c r="C85" i="98"/>
  <c r="D85" i="98"/>
  <c r="G85" i="98"/>
  <c r="H85" i="98"/>
  <c r="E87" i="98"/>
  <c r="E85" i="98"/>
  <c r="F87" i="98"/>
  <c r="F85" i="98"/>
  <c r="D93" i="98"/>
  <c r="C94" i="98"/>
  <c r="C93" i="98"/>
  <c r="E94" i="98"/>
  <c r="E93" i="98" s="1"/>
  <c r="F94" i="98"/>
  <c r="F93" i="98"/>
  <c r="G94" i="98"/>
  <c r="G93" i="98" s="1"/>
  <c r="H94" i="98"/>
  <c r="H93" i="98"/>
  <c r="C96" i="98"/>
  <c r="D96" i="98"/>
  <c r="G96" i="98"/>
  <c r="H96" i="98"/>
  <c r="E98" i="98"/>
  <c r="E96" i="98" s="1"/>
  <c r="F98" i="98"/>
  <c r="F96" i="98"/>
  <c r="D105" i="98"/>
  <c r="D103" i="98" s="1"/>
  <c r="D102" i="98" s="1"/>
  <c r="C12" i="56"/>
  <c r="E12" i="56"/>
  <c r="G12" i="56" s="1"/>
  <c r="F12" i="56"/>
  <c r="H12" i="56"/>
  <c r="I12" i="56"/>
  <c r="J12" i="56"/>
  <c r="K13" i="56" s="1"/>
  <c r="K12" i="56"/>
  <c r="E7" i="97"/>
  <c r="F7" i="97"/>
  <c r="G7" i="97"/>
  <c r="E55" i="97"/>
  <c r="F55" i="97"/>
  <c r="G55" i="97"/>
  <c r="G54" i="97" s="1"/>
  <c r="G53" i="97" s="1"/>
  <c r="G62" i="97" s="1"/>
  <c r="C57" i="97"/>
  <c r="C58" i="97"/>
  <c r="D58" i="97"/>
  <c r="E58" i="97"/>
  <c r="E54" i="97"/>
  <c r="E53" i="97" s="1"/>
  <c r="E62" i="97" s="1"/>
  <c r="F58" i="97"/>
  <c r="F54" i="97" s="1"/>
  <c r="F53" i="97" s="1"/>
  <c r="F62" i="97" s="1"/>
  <c r="F85" i="97" s="1"/>
  <c r="G58" i="97"/>
  <c r="E59" i="97"/>
  <c r="F59" i="97"/>
  <c r="G59" i="97"/>
  <c r="E64" i="97"/>
  <c r="F64" i="97"/>
  <c r="G64" i="97"/>
  <c r="E69" i="97"/>
  <c r="F72" i="97"/>
  <c r="F69" i="97"/>
  <c r="F63" i="97"/>
  <c r="G72" i="97"/>
  <c r="G69" i="97" s="1"/>
  <c r="D73" i="97"/>
  <c r="E76" i="97"/>
  <c r="E75" i="97" s="1"/>
  <c r="F76" i="97"/>
  <c r="F75" i="97"/>
  <c r="G76" i="97"/>
  <c r="G75" i="97" s="1"/>
  <c r="C77" i="97"/>
  <c r="C76" i="97"/>
  <c r="C75" i="97"/>
  <c r="N8" i="53"/>
  <c r="H16" i="53"/>
  <c r="K16" i="53"/>
  <c r="N10" i="53"/>
  <c r="M16" i="53"/>
  <c r="M24" i="53"/>
  <c r="N12" i="53"/>
  <c r="N13" i="53"/>
  <c r="N14" i="53"/>
  <c r="N18" i="53"/>
  <c r="C23" i="53"/>
  <c r="D23" i="53"/>
  <c r="D24" i="53" s="1"/>
  <c r="E23" i="53"/>
  <c r="F23" i="53"/>
  <c r="G23" i="53"/>
  <c r="J23" i="53"/>
  <c r="J24" i="53" s="1"/>
  <c r="L23" i="53"/>
  <c r="N19" i="53"/>
  <c r="N21" i="53"/>
  <c r="I23" i="53"/>
  <c r="B6" i="93"/>
  <c r="B8" i="93"/>
  <c r="B11" i="93"/>
  <c r="D10" i="91"/>
  <c r="D8" i="91" s="1"/>
  <c r="E10" i="91"/>
  <c r="E8" i="91"/>
  <c r="D22" i="91"/>
  <c r="E22" i="91"/>
  <c r="D25" i="91"/>
  <c r="E25" i="91"/>
  <c r="E20" i="91"/>
  <c r="E18" i="91" s="1"/>
  <c r="D26" i="91"/>
  <c r="E26" i="91"/>
  <c r="D35" i="91"/>
  <c r="D27" i="91"/>
  <c r="E35" i="91"/>
  <c r="E27" i="91" s="1"/>
  <c r="D45" i="91"/>
  <c r="E45" i="91"/>
  <c r="D63" i="91"/>
  <c r="E63" i="91"/>
  <c r="D92" i="91"/>
  <c r="E92" i="91"/>
  <c r="E97" i="91"/>
  <c r="E98" i="91"/>
  <c r="E99" i="91"/>
  <c r="E112" i="91"/>
  <c r="C9" i="90"/>
  <c r="D9" i="90"/>
  <c r="E9" i="90"/>
  <c r="C14" i="90"/>
  <c r="C25" i="90"/>
  <c r="D14" i="90"/>
  <c r="E14" i="90"/>
  <c r="C18" i="90"/>
  <c r="D18" i="90"/>
  <c r="E18" i="90"/>
  <c r="C22" i="90"/>
  <c r="D22" i="90"/>
  <c r="E22" i="90"/>
  <c r="E25" i="90" s="1"/>
  <c r="E34" i="90" s="1"/>
  <c r="C29" i="90"/>
  <c r="D29" i="90"/>
  <c r="E29" i="90"/>
  <c r="C32" i="90"/>
  <c r="C33" i="90" s="1"/>
  <c r="D32" i="90"/>
  <c r="E32" i="90"/>
  <c r="E33" i="90"/>
  <c r="E9" i="94"/>
  <c r="E19" i="94" s="1"/>
  <c r="E13" i="94"/>
  <c r="E18" i="94"/>
  <c r="D19" i="94"/>
  <c r="F19" i="94"/>
  <c r="E21" i="94"/>
  <c r="E22" i="94"/>
  <c r="D22" i="94"/>
  <c r="F22" i="94"/>
  <c r="D24" i="94"/>
  <c r="E24" i="94"/>
  <c r="E29" i="94"/>
  <c r="F24" i="94"/>
  <c r="E26" i="94"/>
  <c r="D28" i="94"/>
  <c r="D29" i="94"/>
  <c r="E28" i="94"/>
  <c r="F28" i="94"/>
  <c r="F29" i="94"/>
  <c r="D95" i="91"/>
  <c r="E95" i="91" s="1"/>
  <c r="E42" i="94"/>
  <c r="E45" i="94"/>
  <c r="E50" i="94" s="1"/>
  <c r="E49" i="94"/>
  <c r="D50" i="94"/>
  <c r="F50" i="94"/>
  <c r="D96" i="91"/>
  <c r="E96" i="91"/>
  <c r="D52" i="94"/>
  <c r="E52" i="94"/>
  <c r="F52" i="94"/>
  <c r="D54" i="94"/>
  <c r="E54" i="94"/>
  <c r="F54" i="94"/>
  <c r="F58" i="94"/>
  <c r="D57" i="94"/>
  <c r="E57" i="94"/>
  <c r="F57" i="94"/>
  <c r="E61" i="94"/>
  <c r="F61" i="94"/>
  <c r="D101" i="91" s="1"/>
  <c r="E101" i="91" s="1"/>
  <c r="D67" i="94"/>
  <c r="E67" i="94"/>
  <c r="F67" i="94"/>
  <c r="D71" i="94"/>
  <c r="E71" i="94"/>
  <c r="E78" i="94"/>
  <c r="F71" i="94"/>
  <c r="D73" i="94"/>
  <c r="E73" i="94"/>
  <c r="F73" i="94"/>
  <c r="F78" i="94" s="1"/>
  <c r="F82" i="94" s="1"/>
  <c r="E77" i="94"/>
  <c r="D81" i="94"/>
  <c r="E81" i="94"/>
  <c r="F81" i="94"/>
  <c r="E6" i="88"/>
  <c r="F9" i="88"/>
  <c r="G9" i="88"/>
  <c r="E7" i="88"/>
  <c r="C8" i="88"/>
  <c r="C12" i="88" s="1"/>
  <c r="D8" i="88"/>
  <c r="D12" i="88"/>
  <c r="E9" i="88"/>
  <c r="E10" i="88"/>
  <c r="E11" i="88" s="1"/>
  <c r="E12" i="88" s="1"/>
  <c r="C11" i="88"/>
  <c r="D11" i="88"/>
  <c r="E14" i="88"/>
  <c r="B7" i="52"/>
  <c r="M23" i="52"/>
  <c r="F24" i="52"/>
  <c r="I24" i="52"/>
  <c r="L8" i="83"/>
  <c r="Q8" i="83"/>
  <c r="H8" i="83"/>
  <c r="M8" i="83"/>
  <c r="R8" i="83"/>
  <c r="H14" i="83"/>
  <c r="M23" i="83"/>
  <c r="M24" i="83"/>
  <c r="H24" i="83"/>
  <c r="R24" i="83" s="1"/>
  <c r="H32" i="83"/>
  <c r="M32" i="83"/>
  <c r="C37" i="83"/>
  <c r="C40" i="83"/>
  <c r="M40" i="83"/>
  <c r="H54" i="83"/>
  <c r="R54" i="83"/>
  <c r="C59" i="83"/>
  <c r="H59" i="83"/>
  <c r="R59" i="83" s="1"/>
  <c r="M59" i="83"/>
  <c r="C62" i="83"/>
  <c r="H62" i="83"/>
  <c r="M62" i="83"/>
  <c r="C75" i="83"/>
  <c r="H75" i="83"/>
  <c r="M75" i="83"/>
  <c r="R77" i="83"/>
  <c r="D69" i="98" s="1"/>
  <c r="D68" i="98" s="1"/>
  <c r="R79" i="83"/>
  <c r="M9" i="82"/>
  <c r="N9" i="82"/>
  <c r="O9" i="82"/>
  <c r="P9" i="82"/>
  <c r="Q9" i="82"/>
  <c r="Q23" i="82"/>
  <c r="R9" i="82"/>
  <c r="S9" i="82"/>
  <c r="T9" i="82"/>
  <c r="T23" i="82"/>
  <c r="U9" i="82"/>
  <c r="V9" i="82"/>
  <c r="W9" i="82"/>
  <c r="AB9" i="82"/>
  <c r="AB23" i="82"/>
  <c r="AG9" i="82"/>
  <c r="AG23" i="82" s="1"/>
  <c r="AH9" i="82"/>
  <c r="AK9" i="82"/>
  <c r="AL9" i="82"/>
  <c r="AQ9" i="82"/>
  <c r="AQ23" i="82"/>
  <c r="AV9" i="82"/>
  <c r="AV23" i="82" s="1"/>
  <c r="M15" i="82"/>
  <c r="N15" i="82"/>
  <c r="N23" i="82"/>
  <c r="O15" i="82"/>
  <c r="P15" i="82"/>
  <c r="P23" i="82" s="1"/>
  <c r="Q15" i="82"/>
  <c r="R15" i="82"/>
  <c r="S15" i="82"/>
  <c r="S23" i="82"/>
  <c r="T15" i="82"/>
  <c r="U15" i="82"/>
  <c r="U23" i="82"/>
  <c r="V15" i="82"/>
  <c r="W15" i="82"/>
  <c r="AB15" i="82"/>
  <c r="AG15" i="82"/>
  <c r="AH15" i="82"/>
  <c r="AK15" i="82"/>
  <c r="AL15" i="82"/>
  <c r="AL23" i="82"/>
  <c r="AQ15" i="82"/>
  <c r="W27" i="82"/>
  <c r="AB27" i="82"/>
  <c r="M27" i="82"/>
  <c r="N27" i="82"/>
  <c r="O27" i="82"/>
  <c r="P27" i="82"/>
  <c r="Q27" i="82"/>
  <c r="R27" i="82"/>
  <c r="S27" i="82"/>
  <c r="T27" i="82"/>
  <c r="U27" i="82"/>
  <c r="V27" i="82"/>
  <c r="AG27" i="82"/>
  <c r="AL27" i="82"/>
  <c r="AQ27" i="82"/>
  <c r="M28" i="82"/>
  <c r="N28" i="82"/>
  <c r="O28" i="82"/>
  <c r="P28" i="82"/>
  <c r="Q28" i="82"/>
  <c r="W28" i="82"/>
  <c r="AB28" i="82"/>
  <c r="AB92" i="82" s="1"/>
  <c r="AB95" i="82" s="1"/>
  <c r="AB97" i="82" s="1"/>
  <c r="AG28" i="82"/>
  <c r="AL28" i="82"/>
  <c r="R29" i="82"/>
  <c r="BA29" i="82"/>
  <c r="BF28" i="82"/>
  <c r="AQ28" i="82"/>
  <c r="M37" i="82"/>
  <c r="N37" i="82"/>
  <c r="O37" i="82"/>
  <c r="P37" i="82"/>
  <c r="Q37" i="82"/>
  <c r="R37" i="82"/>
  <c r="AB37" i="82"/>
  <c r="AG37" i="82"/>
  <c r="AL37" i="82"/>
  <c r="AQ37" i="82"/>
  <c r="AV37" i="82"/>
  <c r="AV92" i="82" s="1"/>
  <c r="AV95" i="82" s="1"/>
  <c r="AV97" i="82" s="1"/>
  <c r="W38" i="82"/>
  <c r="M40" i="82"/>
  <c r="R40" i="82"/>
  <c r="AB40" i="82"/>
  <c r="AG40" i="82"/>
  <c r="AQ40" i="82"/>
  <c r="AV40" i="82"/>
  <c r="W44" i="82"/>
  <c r="C81" i="82"/>
  <c r="E81" i="82"/>
  <c r="M81" i="82"/>
  <c r="R81" i="82"/>
  <c r="W81" i="82"/>
  <c r="AB81" i="82"/>
  <c r="AG81" i="82"/>
  <c r="AL81" i="82"/>
  <c r="AQ81" i="82"/>
  <c r="AV81" i="82"/>
  <c r="AQ84" i="82"/>
  <c r="R84" i="82"/>
  <c r="W84" i="82"/>
  <c r="AB84" i="82"/>
  <c r="AG84" i="82"/>
  <c r="AL84" i="82"/>
  <c r="AV84" i="82"/>
  <c r="H112" i="82"/>
  <c r="M112" i="82"/>
  <c r="H113" i="82"/>
  <c r="M113" i="82"/>
  <c r="M12" i="56"/>
  <c r="H116" i="82"/>
  <c r="M116" i="82"/>
  <c r="B16" i="81"/>
  <c r="B24" i="81" s="1"/>
  <c r="B32" i="81" s="1"/>
  <c r="B40" i="81" s="1"/>
  <c r="B48" i="81" s="1"/>
  <c r="B56" i="81" s="1"/>
  <c r="E17" i="81"/>
  <c r="E18" i="81"/>
  <c r="B27" i="81"/>
  <c r="B35" i="81"/>
  <c r="B43" i="81"/>
  <c r="B51" i="81"/>
  <c r="B59" i="81" s="1"/>
  <c r="E19" i="81"/>
  <c r="E20" i="81"/>
  <c r="F20" i="81"/>
  <c r="E21" i="81"/>
  <c r="B84" i="81"/>
  <c r="B92" i="81"/>
  <c r="B99" i="81"/>
  <c r="B106" i="81" s="1"/>
  <c r="B113" i="81" s="1"/>
  <c r="B120" i="81" s="1"/>
  <c r="B127" i="81" s="1"/>
  <c r="B134" i="81" s="1"/>
  <c r="B141" i="81" s="1"/>
  <c r="N14" i="80"/>
  <c r="N15" i="80"/>
  <c r="N16" i="80"/>
  <c r="N17" i="80"/>
  <c r="N18" i="80"/>
  <c r="P27" i="80"/>
  <c r="P41" i="80" s="1"/>
  <c r="B7" i="39"/>
  <c r="B70" i="39"/>
  <c r="C6" i="58"/>
  <c r="C16" i="58"/>
  <c r="C18" i="58"/>
  <c r="C39" i="36"/>
  <c r="D39" i="97"/>
  <c r="C24" i="58"/>
  <c r="C49" i="36" s="1"/>
  <c r="C31" i="58"/>
  <c r="C32" i="58"/>
  <c r="C101" i="57"/>
  <c r="C61" i="97"/>
  <c r="C59" i="97"/>
  <c r="C33" i="58"/>
  <c r="K21" i="99"/>
  <c r="K8" i="99" s="1"/>
  <c r="K42" i="99" s="1"/>
  <c r="C73" i="97"/>
  <c r="C72" i="97"/>
  <c r="C74" i="97"/>
  <c r="C78" i="58"/>
  <c r="C77" i="58"/>
  <c r="C6" i="57"/>
  <c r="C71" i="57"/>
  <c r="C67" i="57"/>
  <c r="C21" i="36"/>
  <c r="D21" i="97"/>
  <c r="C75" i="57"/>
  <c r="C80" i="57"/>
  <c r="C28" i="36"/>
  <c r="D28" i="97"/>
  <c r="C92" i="57"/>
  <c r="D14" i="99" s="1"/>
  <c r="D8" i="99" s="1"/>
  <c r="C45" i="36"/>
  <c r="D45" i="97"/>
  <c r="B99" i="57"/>
  <c r="B100" i="57"/>
  <c r="C104" i="57"/>
  <c r="C67" i="97"/>
  <c r="C125" i="57"/>
  <c r="C124" i="57" s="1"/>
  <c r="D125" i="57"/>
  <c r="D124" i="57"/>
  <c r="E77" i="36"/>
  <c r="E76" i="36" s="1"/>
  <c r="F56" i="36"/>
  <c r="G56" i="36"/>
  <c r="E57" i="36"/>
  <c r="E55" i="36"/>
  <c r="F57" i="36"/>
  <c r="G57" i="36"/>
  <c r="J19" i="99"/>
  <c r="J13" i="99"/>
  <c r="J47" i="99" s="1"/>
  <c r="C58" i="36"/>
  <c r="D58" i="36"/>
  <c r="E58" i="36"/>
  <c r="F58" i="36"/>
  <c r="G58" i="36"/>
  <c r="C73" i="36"/>
  <c r="C77" i="36"/>
  <c r="D77" i="36"/>
  <c r="D76" i="36" s="1"/>
  <c r="D75" i="36" s="1"/>
  <c r="F77" i="36"/>
  <c r="F76" i="36" s="1"/>
  <c r="F75" i="36" s="1"/>
  <c r="G77" i="36"/>
  <c r="G76" i="36"/>
  <c r="C79" i="36"/>
  <c r="E8" i="96"/>
  <c r="F12" i="96"/>
  <c r="F14" i="96"/>
  <c r="F21" i="96"/>
  <c r="F23" i="96"/>
  <c r="F24" i="96"/>
  <c r="F25" i="96"/>
  <c r="F27" i="96"/>
  <c r="F28" i="96"/>
  <c r="F29" i="96"/>
  <c r="D30" i="96"/>
  <c r="E30" i="96"/>
  <c r="F31" i="96"/>
  <c r="F32" i="96"/>
  <c r="F30" i="96"/>
  <c r="F33" i="96"/>
  <c r="F34" i="96"/>
  <c r="F35" i="96"/>
  <c r="D36" i="96"/>
  <c r="E36" i="96"/>
  <c r="F37" i="96"/>
  <c r="F38" i="96"/>
  <c r="F39" i="96"/>
  <c r="D40" i="96"/>
  <c r="E40" i="96"/>
  <c r="F41" i="96"/>
  <c r="F40" i="96" s="1"/>
  <c r="F42" i="96"/>
  <c r="F43" i="96"/>
  <c r="F44" i="96"/>
  <c r="E49" i="96"/>
  <c r="F50" i="96"/>
  <c r="F49" i="96"/>
  <c r="D56" i="96"/>
  <c r="E56" i="96"/>
  <c r="F57" i="96"/>
  <c r="F56" i="96" s="1"/>
  <c r="D60" i="96"/>
  <c r="D59" i="96"/>
  <c r="D58" i="96" s="1"/>
  <c r="E60" i="96"/>
  <c r="E59" i="96"/>
  <c r="E58" i="96"/>
  <c r="F61" i="96"/>
  <c r="F60" i="96"/>
  <c r="F59" i="96"/>
  <c r="F63" i="96"/>
  <c r="D64" i="96"/>
  <c r="E64" i="96"/>
  <c r="F65" i="96"/>
  <c r="F64" i="96" s="1"/>
  <c r="F69" i="96"/>
  <c r="F74" i="96"/>
  <c r="F75" i="96"/>
  <c r="F76" i="96"/>
  <c r="F87" i="96"/>
  <c r="F88" i="96"/>
  <c r="F89" i="96"/>
  <c r="F90" i="96"/>
  <c r="F95" i="96"/>
  <c r="F96" i="96"/>
  <c r="F107" i="96"/>
  <c r="F109" i="96"/>
  <c r="F114" i="96"/>
  <c r="F120" i="96"/>
  <c r="F126" i="96"/>
  <c r="F129" i="96"/>
  <c r="F131" i="96"/>
  <c r="F139" i="96"/>
  <c r="F140" i="96"/>
  <c r="F141" i="96"/>
  <c r="F143" i="96"/>
  <c r="F144" i="96"/>
  <c r="F145" i="96"/>
  <c r="F146" i="96"/>
  <c r="D147" i="96"/>
  <c r="D130" i="96"/>
  <c r="E147" i="96"/>
  <c r="F148" i="96"/>
  <c r="F147" i="96" s="1"/>
  <c r="F149" i="96"/>
  <c r="F151" i="96"/>
  <c r="D152" i="96"/>
  <c r="E152" i="96"/>
  <c r="F153" i="96"/>
  <c r="F152" i="96"/>
  <c r="C65" i="97"/>
  <c r="C64" i="97" s="1"/>
  <c r="F28" i="98"/>
  <c r="D77" i="98"/>
  <c r="C45" i="97"/>
  <c r="E56" i="36"/>
  <c r="H41" i="98"/>
  <c r="H40" i="98"/>
  <c r="H39" i="98"/>
  <c r="H108" i="98" s="1"/>
  <c r="E16" i="53"/>
  <c r="E24" i="53"/>
  <c r="C49" i="97"/>
  <c r="C71" i="97"/>
  <c r="G28" i="98"/>
  <c r="O26" i="95"/>
  <c r="O27" i="95" s="1"/>
  <c r="O29" i="95" s="1"/>
  <c r="P33" i="95" s="1"/>
  <c r="B29" i="95"/>
  <c r="L16" i="53"/>
  <c r="L24" i="53"/>
  <c r="C28" i="98"/>
  <c r="K36" i="95"/>
  <c r="C21" i="97"/>
  <c r="D56" i="36"/>
  <c r="O22" i="95"/>
  <c r="E58" i="94"/>
  <c r="J16" i="53"/>
  <c r="J17" i="95"/>
  <c r="J33" i="95" s="1"/>
  <c r="C56" i="97"/>
  <c r="C55" i="97" s="1"/>
  <c r="C54" i="97" s="1"/>
  <c r="K24" i="52"/>
  <c r="M22" i="52"/>
  <c r="M24" i="52" s="1"/>
  <c r="N11" i="53"/>
  <c r="I83" i="98"/>
  <c r="P40" i="98"/>
  <c r="T40" i="98" s="1"/>
  <c r="I27" i="95"/>
  <c r="I36" i="95"/>
  <c r="B36" i="95"/>
  <c r="N36" i="95" s="1"/>
  <c r="D24" i="52"/>
  <c r="N17" i="95"/>
  <c r="N27" i="95"/>
  <c r="D33" i="90"/>
  <c r="D11" i="98"/>
  <c r="P22" i="95"/>
  <c r="O15" i="95"/>
  <c r="E29" i="95"/>
  <c r="E23" i="91"/>
  <c r="M15" i="95"/>
  <c r="M33" i="95"/>
  <c r="D17" i="95"/>
  <c r="D27" i="95" s="1"/>
  <c r="B23" i="53"/>
  <c r="L29" i="95"/>
  <c r="P11" i="95"/>
  <c r="C28" i="97"/>
  <c r="C39" i="97"/>
  <c r="D8" i="96"/>
  <c r="F26" i="96"/>
  <c r="M27" i="95"/>
  <c r="M36" i="95"/>
  <c r="D78" i="94"/>
  <c r="D82" i="94"/>
  <c r="D100" i="91"/>
  <c r="E100" i="91"/>
  <c r="C34" i="90"/>
  <c r="F16" i="53"/>
  <c r="G21" i="95"/>
  <c r="P21" i="95"/>
  <c r="C41" i="98"/>
  <c r="C40" i="98" s="1"/>
  <c r="C39" i="98" s="1"/>
  <c r="C108" i="98" s="1"/>
  <c r="N24" i="80"/>
  <c r="N15" i="95"/>
  <c r="N29" i="95" s="1"/>
  <c r="P30" i="95" s="1"/>
  <c r="P32" i="95" s="1"/>
  <c r="J15" i="95"/>
  <c r="P10" i="95"/>
  <c r="P15" i="95" s="1"/>
  <c r="G77" i="98"/>
  <c r="G41" i="98"/>
  <c r="F27" i="95"/>
  <c r="P13" i="95"/>
  <c r="I16" i="53"/>
  <c r="I24" i="53" s="1"/>
  <c r="G16" i="53"/>
  <c r="D30" i="98"/>
  <c r="D29" i="98"/>
  <c r="D28" i="98" s="1"/>
  <c r="K29" i="95"/>
  <c r="M30" i="95"/>
  <c r="M32" i="95"/>
  <c r="D15" i="95"/>
  <c r="C82" i="98"/>
  <c r="E47" i="98"/>
  <c r="E41" i="98"/>
  <c r="E8" i="88"/>
  <c r="F10" i="88"/>
  <c r="G10" i="88" s="1"/>
  <c r="B12" i="92"/>
  <c r="C14" i="92" s="1"/>
  <c r="H29" i="95"/>
  <c r="J30" i="95" s="1"/>
  <c r="J32" i="95" s="1"/>
  <c r="H36" i="95"/>
  <c r="F145" i="81"/>
  <c r="E28" i="98"/>
  <c r="H23" i="53"/>
  <c r="P12" i="95"/>
  <c r="C15" i="97"/>
  <c r="M29" i="95"/>
  <c r="C16" i="53"/>
  <c r="C24" i="53" s="1"/>
  <c r="N40" i="82"/>
  <c r="E138" i="96"/>
  <c r="F138" i="96" s="1"/>
  <c r="F124" i="96"/>
  <c r="C70" i="97"/>
  <c r="C69" i="97"/>
  <c r="C8" i="97"/>
  <c r="C7" i="97"/>
  <c r="N19" i="80"/>
  <c r="S84" i="82"/>
  <c r="S92" i="82"/>
  <c r="E44" i="81"/>
  <c r="E52" i="81"/>
  <c r="F52" i="81" s="1"/>
  <c r="H23" i="83"/>
  <c r="C66" i="97"/>
  <c r="E110" i="81"/>
  <c r="F36" i="81"/>
  <c r="N9" i="53"/>
  <c r="T63" i="83"/>
  <c r="T17" i="83"/>
  <c r="D46" i="99"/>
  <c r="L25" i="99"/>
  <c r="L18" i="99"/>
  <c r="G18" i="99"/>
  <c r="F96" i="81"/>
  <c r="D68" i="81"/>
  <c r="E68" i="81"/>
  <c r="G52" i="81"/>
  <c r="J18" i="80"/>
  <c r="C82" i="81"/>
  <c r="F82" i="81"/>
  <c r="F138" i="81"/>
  <c r="B82" i="81"/>
  <c r="B80" i="81"/>
  <c r="B94" i="81"/>
  <c r="B101" i="81"/>
  <c r="B108" i="81"/>
  <c r="B115" i="81" s="1"/>
  <c r="B122" i="81" s="1"/>
  <c r="B129" i="81" s="1"/>
  <c r="B136" i="81"/>
  <c r="B143" i="81" s="1"/>
  <c r="B72" i="81"/>
  <c r="B86" i="81"/>
  <c r="C67" i="36"/>
  <c r="E67" i="36"/>
  <c r="U70" i="83"/>
  <c r="N37" i="80"/>
  <c r="E32" i="81"/>
  <c r="F15" i="99"/>
  <c r="F9" i="99"/>
  <c r="B75" i="81"/>
  <c r="B89" i="81"/>
  <c r="B83" i="81"/>
  <c r="F67" i="36"/>
  <c r="I17" i="80"/>
  <c r="I11" i="80"/>
  <c r="I44" i="80"/>
  <c r="G39" i="57"/>
  <c r="E128" i="81"/>
  <c r="E37" i="81"/>
  <c r="S59" i="83"/>
  <c r="T10" i="83"/>
  <c r="T20" i="83" s="1"/>
  <c r="G40" i="83"/>
  <c r="V40" i="83"/>
  <c r="V60" i="83"/>
  <c r="F40" i="83"/>
  <c r="F19" i="99"/>
  <c r="F13" i="99"/>
  <c r="T75" i="83"/>
  <c r="D115" i="81"/>
  <c r="K35" i="80" s="1"/>
  <c r="K29" i="80" s="1"/>
  <c r="U75" i="83"/>
  <c r="D116" i="81"/>
  <c r="E116" i="81"/>
  <c r="U55" i="83"/>
  <c r="D132" i="81"/>
  <c r="F38" i="80"/>
  <c r="F32" i="80"/>
  <c r="G24" i="83"/>
  <c r="V63" i="83"/>
  <c r="O71" i="83"/>
  <c r="O74" i="83"/>
  <c r="G32" i="83"/>
  <c r="V32" i="83"/>
  <c r="V54" i="83"/>
  <c r="F36" i="99"/>
  <c r="F30" i="99" s="1"/>
  <c r="K40" i="83"/>
  <c r="U54" i="83"/>
  <c r="F33" i="80"/>
  <c r="F27" i="80" s="1"/>
  <c r="F17" i="99"/>
  <c r="F11" i="99"/>
  <c r="E20" i="83"/>
  <c r="T13" i="83"/>
  <c r="D102" i="81"/>
  <c r="C36" i="80"/>
  <c r="C30" i="80" s="1"/>
  <c r="R13" i="83"/>
  <c r="S37" i="83"/>
  <c r="T69" i="83"/>
  <c r="E62" i="83"/>
  <c r="T62" i="83"/>
  <c r="U14" i="83"/>
  <c r="F20" i="83"/>
  <c r="G20" i="83"/>
  <c r="F59" i="83"/>
  <c r="U59" i="83"/>
  <c r="U60" i="83"/>
  <c r="C23" i="83"/>
  <c r="R22" i="83"/>
  <c r="Q74" i="83"/>
  <c r="T55" i="83"/>
  <c r="E40" i="83"/>
  <c r="P78" i="83"/>
  <c r="F35" i="99"/>
  <c r="F29" i="99"/>
  <c r="F43" i="99" s="1"/>
  <c r="E33" i="81"/>
  <c r="K20" i="83"/>
  <c r="U13" i="83"/>
  <c r="U20" i="83" s="1"/>
  <c r="H40" i="83"/>
  <c r="S32" i="83"/>
  <c r="E102" i="81"/>
  <c r="V24" i="83"/>
  <c r="G69" i="98"/>
  <c r="G68" i="98"/>
  <c r="G40" i="98"/>
  <c r="G39" i="98"/>
  <c r="G108" i="98" s="1"/>
  <c r="F69" i="98"/>
  <c r="F68" i="98"/>
  <c r="R75" i="83"/>
  <c r="D113" i="81" s="1"/>
  <c r="E113" i="81" s="1"/>
  <c r="R14" i="83"/>
  <c r="R20" i="83" s="1"/>
  <c r="D92" i="81" s="1"/>
  <c r="B33" i="80" s="1"/>
  <c r="H20" i="83"/>
  <c r="F47" i="98"/>
  <c r="F41" i="98"/>
  <c r="F40" i="98" s="1"/>
  <c r="F39" i="98" s="1"/>
  <c r="F108" i="98" s="1"/>
  <c r="F109" i="98" s="1"/>
  <c r="H28" i="98"/>
  <c r="G27" i="95"/>
  <c r="G36" i="95"/>
  <c r="D25" i="90"/>
  <c r="D34" i="90" s="1"/>
  <c r="T36" i="83"/>
  <c r="E32" i="83"/>
  <c r="T32" i="83"/>
  <c r="M71" i="83"/>
  <c r="M78" i="83" s="1"/>
  <c r="I29" i="95"/>
  <c r="C29" i="95"/>
  <c r="D30" i="95"/>
  <c r="D32" i="95"/>
  <c r="G15" i="95"/>
  <c r="T31" i="83"/>
  <c r="E24" i="83"/>
  <c r="T59" i="83"/>
  <c r="T14" i="83"/>
  <c r="G62" i="83"/>
  <c r="V62" i="83"/>
  <c r="F24" i="83"/>
  <c r="V14" i="83"/>
  <c r="K34" i="80"/>
  <c r="E114" i="81"/>
  <c r="D33" i="95"/>
  <c r="G71" i="83"/>
  <c r="S40" i="98"/>
  <c r="E86" i="82"/>
  <c r="BC86" i="82"/>
  <c r="C27" i="82"/>
  <c r="BA27" i="82" s="1"/>
  <c r="C114" i="57" s="1"/>
  <c r="AP40" i="82"/>
  <c r="AF27" i="82"/>
  <c r="C15" i="82"/>
  <c r="C23" i="82" s="1"/>
  <c r="BA23" i="82" s="1"/>
  <c r="C111" i="57" s="1"/>
  <c r="R23" i="83"/>
  <c r="C115" i="57"/>
  <c r="Z37" i="82"/>
  <c r="Z92" i="82"/>
  <c r="Z95" i="82"/>
  <c r="Z97" i="82" s="1"/>
  <c r="K40" i="82"/>
  <c r="F37" i="82"/>
  <c r="D99" i="81"/>
  <c r="C33" i="80" s="1"/>
  <c r="K36" i="80"/>
  <c r="K30" i="80" s="1"/>
  <c r="N30" i="80" s="1"/>
  <c r="K71" i="83"/>
  <c r="O78" i="83"/>
  <c r="E69" i="98"/>
  <c r="E68" i="98"/>
  <c r="D101" i="81"/>
  <c r="C35" i="80"/>
  <c r="C29" i="80"/>
  <c r="P74" i="83"/>
  <c r="R37" i="83"/>
  <c r="C32" i="83"/>
  <c r="R32" i="83"/>
  <c r="E23" i="83"/>
  <c r="E78" i="83" s="1"/>
  <c r="J40" i="83"/>
  <c r="J71" i="83" s="1"/>
  <c r="J74" i="83" s="1"/>
  <c r="S21" i="83"/>
  <c r="K33" i="80"/>
  <c r="K78" i="83"/>
  <c r="K74" i="83"/>
  <c r="N36" i="80"/>
  <c r="C71" i="83"/>
  <c r="C78" i="83"/>
  <c r="E34" i="57"/>
  <c r="E33" i="57" s="1"/>
  <c r="F34" i="57"/>
  <c r="F33" i="57"/>
  <c r="E75" i="57"/>
  <c r="C99" i="57"/>
  <c r="C98" i="57"/>
  <c r="C56" i="36"/>
  <c r="D56" i="97"/>
  <c r="I19" i="80"/>
  <c r="I13" i="80"/>
  <c r="I46" i="80"/>
  <c r="V80" i="83"/>
  <c r="E15" i="80"/>
  <c r="E9" i="80"/>
  <c r="E42" i="80"/>
  <c r="R28" i="82"/>
  <c r="AS23" i="82"/>
  <c r="V40" i="82"/>
  <c r="AA40" i="82"/>
  <c r="AN23" i="82"/>
  <c r="J9" i="82"/>
  <c r="AZ27" i="82"/>
  <c r="AY92" i="82"/>
  <c r="Z9" i="82"/>
  <c r="Z23" i="82"/>
  <c r="R62" i="83"/>
  <c r="T40" i="83"/>
  <c r="C74" i="83"/>
  <c r="L23" i="83"/>
  <c r="V21" i="83"/>
  <c r="V23" i="83"/>
  <c r="G115" i="57" s="1"/>
  <c r="E71" i="83"/>
  <c r="T24" i="83"/>
  <c r="U40" i="83"/>
  <c r="D15" i="88"/>
  <c r="D13" i="88"/>
  <c r="E82" i="94"/>
  <c r="B6" i="92"/>
  <c r="B13" i="92" s="1"/>
  <c r="D62" i="94"/>
  <c r="K28" i="80"/>
  <c r="N28" i="80" s="1"/>
  <c r="N34" i="80"/>
  <c r="M74" i="83"/>
  <c r="C79" i="98"/>
  <c r="C78" i="98" s="1"/>
  <c r="C77" i="98" s="1"/>
  <c r="E77" i="98"/>
  <c r="D23" i="91"/>
  <c r="D20" i="91"/>
  <c r="D18" i="91"/>
  <c r="D17" i="91" s="1"/>
  <c r="H6" i="98"/>
  <c r="H38" i="98" s="1"/>
  <c r="D36" i="95"/>
  <c r="P18" i="95"/>
  <c r="P24" i="95"/>
  <c r="F13" i="100"/>
  <c r="G11" i="100"/>
  <c r="G13" i="100" s="1"/>
  <c r="V10" i="83"/>
  <c r="V20" i="83"/>
  <c r="E80" i="57"/>
  <c r="E28" i="36" s="1"/>
  <c r="J23" i="82"/>
  <c r="D29" i="95"/>
  <c r="E74" i="83"/>
  <c r="L78" i="83"/>
  <c r="L74" i="83"/>
  <c r="N84" i="82"/>
  <c r="N92" i="82" s="1"/>
  <c r="U37" i="82"/>
  <c r="G67" i="57"/>
  <c r="G21" i="36" s="1"/>
  <c r="U80" i="83"/>
  <c r="F10" i="57"/>
  <c r="F61" i="36"/>
  <c r="F59" i="36" s="1"/>
  <c r="C60" i="81" s="1"/>
  <c r="C29" i="58"/>
  <c r="G24" i="53"/>
  <c r="F82" i="97"/>
  <c r="M20" i="101"/>
  <c r="O20" i="101" s="1"/>
  <c r="G11" i="101"/>
  <c r="P11" i="101" s="1"/>
  <c r="R11" i="101" s="1"/>
  <c r="O16" i="101"/>
  <c r="G7" i="101"/>
  <c r="P7" i="101"/>
  <c r="R7" i="101" s="1"/>
  <c r="R26" i="101" s="1"/>
  <c r="O7" i="101"/>
  <c r="C20" i="101"/>
  <c r="D21" i="101"/>
  <c r="G15" i="101"/>
  <c r="P15" i="101" s="1"/>
  <c r="R15" i="101" s="1"/>
  <c r="R34" i="101"/>
  <c r="G17" i="101"/>
  <c r="P17" i="101" s="1"/>
  <c r="R17" i="101" s="1"/>
  <c r="E63" i="97"/>
  <c r="E82" i="97" s="1"/>
  <c r="B13" i="52"/>
  <c r="P25" i="101"/>
  <c r="E20" i="101"/>
  <c r="P14" i="101"/>
  <c r="R14" i="101" s="1"/>
  <c r="R33" i="101" s="1"/>
  <c r="O38" i="101"/>
  <c r="L38" i="101"/>
  <c r="P8" i="101"/>
  <c r="R8" i="101"/>
  <c r="R29" i="101"/>
  <c r="P13" i="101"/>
  <c r="R13" i="101"/>
  <c r="R32" i="101" s="1"/>
  <c r="P33" i="101"/>
  <c r="P18" i="101"/>
  <c r="R18" i="101" s="1"/>
  <c r="R37" i="101" s="1"/>
  <c r="G20" i="101"/>
  <c r="R30" i="101"/>
  <c r="L20" i="101"/>
  <c r="O6" i="101"/>
  <c r="P6" i="101" s="1"/>
  <c r="F20" i="101"/>
  <c r="O40" i="101" s="1"/>
  <c r="O39" i="101"/>
  <c r="P38" i="101"/>
  <c r="I27" i="82"/>
  <c r="BB27" i="82" s="1"/>
  <c r="D114" i="57" s="1"/>
  <c r="I9" i="82"/>
  <c r="BB9" i="82"/>
  <c r="BB10" i="82"/>
  <c r="D11" i="57"/>
  <c r="D10" i="57"/>
  <c r="S85" i="83"/>
  <c r="E84" i="82"/>
  <c r="BC84" i="82" s="1"/>
  <c r="BC81" i="82"/>
  <c r="BA9" i="82"/>
  <c r="BB81" i="82"/>
  <c r="BC38" i="82"/>
  <c r="BB37" i="82"/>
  <c r="D84" i="82"/>
  <c r="BB85" i="82"/>
  <c r="F15" i="82"/>
  <c r="BD19" i="82"/>
  <c r="U28" i="82"/>
  <c r="BD29" i="82"/>
  <c r="BD85" i="82"/>
  <c r="O40" i="82"/>
  <c r="BC43" i="82"/>
  <c r="BA81" i="82"/>
  <c r="BA85" i="82"/>
  <c r="M84" i="82"/>
  <c r="H23" i="82"/>
  <c r="AM23" i="82"/>
  <c r="AM95" i="82" s="1"/>
  <c r="AM97" i="82" s="1"/>
  <c r="AN40" i="82"/>
  <c r="AN92" i="82"/>
  <c r="BC59" i="82"/>
  <c r="AD9" i="82"/>
  <c r="AD23" i="82" s="1"/>
  <c r="AD95" i="82" s="1"/>
  <c r="AD97" i="82" s="1"/>
  <c r="BC85" i="82"/>
  <c r="BD38" i="82"/>
  <c r="BB29" i="82"/>
  <c r="BB38" i="82"/>
  <c r="AY9" i="82"/>
  <c r="AY23" i="82" s="1"/>
  <c r="AY95" i="82" s="1"/>
  <c r="AY97" i="82" s="1"/>
  <c r="BF9" i="82"/>
  <c r="O23" i="82"/>
  <c r="T28" i="82"/>
  <c r="E27" i="82"/>
  <c r="BC27" i="82" s="1"/>
  <c r="E114" i="57" s="1"/>
  <c r="E113" i="57" s="1"/>
  <c r="Y37" i="82"/>
  <c r="Y92" i="82" s="1"/>
  <c r="Y95" i="82" s="1"/>
  <c r="Y97" i="82" s="1"/>
  <c r="V28" i="82"/>
  <c r="BE24" i="82"/>
  <c r="BB44" i="82"/>
  <c r="BE39" i="82"/>
  <c r="BF15" i="82"/>
  <c r="F27" i="82"/>
  <c r="BD27" i="82"/>
  <c r="F114" i="57" s="1"/>
  <c r="F113" i="57" s="1"/>
  <c r="AH23" i="82"/>
  <c r="V23" i="82"/>
  <c r="AI92" i="82"/>
  <c r="E15" i="82"/>
  <c r="E23" i="82" s="1"/>
  <c r="T40" i="82"/>
  <c r="BC16" i="82"/>
  <c r="G39" i="36"/>
  <c r="G61" i="36"/>
  <c r="G59" i="36"/>
  <c r="C61" i="81" s="1"/>
  <c r="C84" i="97"/>
  <c r="BB67" i="82"/>
  <c r="D28" i="82"/>
  <c r="BB28" i="82"/>
  <c r="F125" i="81"/>
  <c r="F122" i="81"/>
  <c r="E16" i="80"/>
  <c r="E10" i="80"/>
  <c r="E43" i="80" s="1"/>
  <c r="K9" i="82"/>
  <c r="K23" i="82" s="1"/>
  <c r="L9" i="82"/>
  <c r="G37" i="82"/>
  <c r="BE37" i="82" s="1"/>
  <c r="C28" i="82"/>
  <c r="W37" i="82"/>
  <c r="BA38" i="82"/>
  <c r="BF37" i="82" s="1"/>
  <c r="AH92" i="82"/>
  <c r="AO40" i="82"/>
  <c r="AO92" i="82"/>
  <c r="AO95" i="82" s="1"/>
  <c r="AO97" i="82" s="1"/>
  <c r="BA86" i="82"/>
  <c r="C84" i="82"/>
  <c r="BA84" i="82" s="1"/>
  <c r="G15" i="82"/>
  <c r="BE15" i="82" s="1"/>
  <c r="E37" i="82"/>
  <c r="BC37" i="82" s="1"/>
  <c r="AX92" i="82"/>
  <c r="AX95" i="82"/>
  <c r="AX97" i="82" s="1"/>
  <c r="Q40" i="82"/>
  <c r="AU92" i="82"/>
  <c r="AU95" i="82"/>
  <c r="AU97" i="82" s="1"/>
  <c r="K84" i="82"/>
  <c r="K92" i="82" s="1"/>
  <c r="F28" i="82"/>
  <c r="BD28" i="82" s="1"/>
  <c r="Y9" i="82"/>
  <c r="Y23" i="82" s="1"/>
  <c r="E28" i="82"/>
  <c r="T37" i="82"/>
  <c r="U40" i="82"/>
  <c r="U92" i="82"/>
  <c r="U95" i="82" s="1"/>
  <c r="U97" i="82" s="1"/>
  <c r="C119" i="57"/>
  <c r="C120" i="81"/>
  <c r="E14" i="80" s="1"/>
  <c r="E8" i="80" s="1"/>
  <c r="BA44" i="82"/>
  <c r="W40" i="82"/>
  <c r="C123" i="81"/>
  <c r="E17" i="80"/>
  <c r="E11" i="80" s="1"/>
  <c r="E44" i="80" s="1"/>
  <c r="AE9" i="82"/>
  <c r="AE23" i="82"/>
  <c r="AE95" i="82" s="1"/>
  <c r="AE97" i="82" s="1"/>
  <c r="AF9" i="82"/>
  <c r="AF23" i="82"/>
  <c r="G28" i="82"/>
  <c r="BE28" i="82"/>
  <c r="G84" i="82"/>
  <c r="E67" i="82"/>
  <c r="F67" i="82" s="1"/>
  <c r="BD67" i="82" s="1"/>
  <c r="S23" i="83"/>
  <c r="D115" i="57" s="1"/>
  <c r="D113" i="57" s="1"/>
  <c r="I78" i="83"/>
  <c r="I74" i="83"/>
  <c r="S13" i="83"/>
  <c r="S20" i="83"/>
  <c r="D93" i="81" s="1"/>
  <c r="N35" i="80"/>
  <c r="E35" i="81"/>
  <c r="E34" i="81"/>
  <c r="E99" i="81"/>
  <c r="E132" i="81"/>
  <c r="K38" i="80"/>
  <c r="E101" i="81"/>
  <c r="E130" i="81"/>
  <c r="E129" i="81"/>
  <c r="C42" i="57"/>
  <c r="K23" i="53"/>
  <c r="D42" i="57"/>
  <c r="D11" i="81"/>
  <c r="D41" i="81"/>
  <c r="D45" i="81"/>
  <c r="D9" i="81"/>
  <c r="B35" i="99"/>
  <c r="B29" i="99" s="1"/>
  <c r="D10" i="81"/>
  <c r="E13" i="81"/>
  <c r="D57" i="36"/>
  <c r="J15" i="99"/>
  <c r="J9" i="99" s="1"/>
  <c r="J43" i="99" s="1"/>
  <c r="C55" i="36"/>
  <c r="C32" i="81" s="1"/>
  <c r="BE9" i="82"/>
  <c r="G23" i="82"/>
  <c r="BA67" i="82"/>
  <c r="C40" i="82"/>
  <c r="L23" i="82"/>
  <c r="E10" i="81"/>
  <c r="B36" i="99"/>
  <c r="B33" i="99"/>
  <c r="AR92" i="82"/>
  <c r="N78" i="83"/>
  <c r="N74" i="83"/>
  <c r="D24" i="83"/>
  <c r="S24" i="83" s="1"/>
  <c r="S62" i="83"/>
  <c r="D71" i="83"/>
  <c r="D74" i="83" s="1"/>
  <c r="E9" i="81"/>
  <c r="C34" i="81"/>
  <c r="F34" i="81" s="1"/>
  <c r="E54" i="36"/>
  <c r="E53" i="36" s="1"/>
  <c r="J16" i="99"/>
  <c r="L16" i="99" s="1"/>
  <c r="L10" i="99" s="1"/>
  <c r="L44" i="99" s="1"/>
  <c r="E73" i="58"/>
  <c r="M22" i="80" s="1"/>
  <c r="M10" i="80" s="1"/>
  <c r="M43" i="80" s="1"/>
  <c r="D61" i="97"/>
  <c r="D59" i="97"/>
  <c r="C28" i="58"/>
  <c r="H16" i="80"/>
  <c r="H10" i="80" s="1"/>
  <c r="H43" i="80" s="1"/>
  <c r="C61" i="36"/>
  <c r="C59" i="36"/>
  <c r="C57" i="81" s="1"/>
  <c r="F57" i="81" s="1"/>
  <c r="I22" i="99"/>
  <c r="I9" i="99"/>
  <c r="I43" i="99" s="1"/>
  <c r="C53" i="97"/>
  <c r="H17" i="80"/>
  <c r="H11" i="80" s="1"/>
  <c r="H44" i="80" s="1"/>
  <c r="E75" i="36"/>
  <c r="E12" i="58"/>
  <c r="E15" i="36" s="1"/>
  <c r="C18" i="81" s="1"/>
  <c r="F18" i="81" s="1"/>
  <c r="E39" i="58"/>
  <c r="F12" i="58"/>
  <c r="F15" i="36" s="1"/>
  <c r="G28" i="58"/>
  <c r="G39" i="58"/>
  <c r="G38" i="58" s="1"/>
  <c r="D37" i="58"/>
  <c r="D36" i="58" s="1"/>
  <c r="K21" i="80"/>
  <c r="K9" i="80" s="1"/>
  <c r="K42" i="80" s="1"/>
  <c r="L19" i="99"/>
  <c r="I23" i="99"/>
  <c r="I10" i="99" s="1"/>
  <c r="I44" i="99" s="1"/>
  <c r="H150" i="96"/>
  <c r="C74" i="36"/>
  <c r="C72" i="36" s="1"/>
  <c r="G12" i="58"/>
  <c r="G15" i="36" s="1"/>
  <c r="C21" i="81" s="1"/>
  <c r="F21" i="81" s="1"/>
  <c r="D28" i="58"/>
  <c r="I21" i="99"/>
  <c r="I8" i="99" s="1"/>
  <c r="I42" i="99" s="1"/>
  <c r="F39" i="58"/>
  <c r="F38" i="58"/>
  <c r="F73" i="58"/>
  <c r="M23" i="80"/>
  <c r="M11" i="80" s="1"/>
  <c r="M44" i="80" s="1"/>
  <c r="C12" i="58"/>
  <c r="N22" i="53"/>
  <c r="C37" i="58"/>
  <c r="C36" i="58" s="1"/>
  <c r="G55" i="36"/>
  <c r="D61" i="36"/>
  <c r="D59" i="36" s="1"/>
  <c r="C58" i="81" s="1"/>
  <c r="F58" i="81" s="1"/>
  <c r="E39" i="36"/>
  <c r="G74" i="36"/>
  <c r="C73" i="58"/>
  <c r="M20" i="80"/>
  <c r="M8" i="80" s="1"/>
  <c r="M41" i="80" s="1"/>
  <c r="E59" i="58"/>
  <c r="E71" i="36"/>
  <c r="F59" i="58"/>
  <c r="G59" i="58"/>
  <c r="L25" i="80" s="1"/>
  <c r="D62" i="58"/>
  <c r="D59" i="58" s="1"/>
  <c r="D73" i="58"/>
  <c r="C28" i="81"/>
  <c r="F28" i="81" s="1"/>
  <c r="F60" i="81"/>
  <c r="L22" i="80"/>
  <c r="L10" i="80" s="1"/>
  <c r="F39" i="36"/>
  <c r="I24" i="99"/>
  <c r="I11" i="99" s="1"/>
  <c r="I45" i="99"/>
  <c r="C113" i="81"/>
  <c r="F113" i="81" s="1"/>
  <c r="C71" i="36"/>
  <c r="D71" i="97" s="1"/>
  <c r="L20" i="80"/>
  <c r="L8" i="80" s="1"/>
  <c r="N8" i="80"/>
  <c r="E38" i="58"/>
  <c r="D49" i="97"/>
  <c r="D49" i="36"/>
  <c r="J17" i="99"/>
  <c r="J11" i="99" s="1"/>
  <c r="F55" i="36"/>
  <c r="C54" i="36"/>
  <c r="C53" i="36" s="1"/>
  <c r="H15" i="80"/>
  <c r="H9" i="80" s="1"/>
  <c r="H42" i="80" s="1"/>
  <c r="G84" i="36"/>
  <c r="E28" i="58"/>
  <c r="E61" i="36"/>
  <c r="E59" i="36"/>
  <c r="C59" i="81" s="1"/>
  <c r="F59" i="81"/>
  <c r="K23" i="99"/>
  <c r="K10" i="99"/>
  <c r="K44" i="99" s="1"/>
  <c r="H24" i="99"/>
  <c r="J14" i="99"/>
  <c r="L14" i="99"/>
  <c r="D57" i="97"/>
  <c r="D55" i="97"/>
  <c r="D54" i="97" s="1"/>
  <c r="D53" i="97" s="1"/>
  <c r="I26" i="99"/>
  <c r="I13" i="99"/>
  <c r="I47" i="99" s="1"/>
  <c r="K8" i="80"/>
  <c r="AZ92" i="82"/>
  <c r="AZ95" i="82" s="1"/>
  <c r="AA92" i="82"/>
  <c r="AA95" i="82"/>
  <c r="AA97" i="82" s="1"/>
  <c r="P95" i="82"/>
  <c r="P97" i="82" s="1"/>
  <c r="C92" i="82"/>
  <c r="V92" i="82"/>
  <c r="V95" i="82"/>
  <c r="V97" i="82" s="1"/>
  <c r="AJ95" i="82"/>
  <c r="AJ97" i="82" s="1"/>
  <c r="AT92" i="82"/>
  <c r="AT95" i="82" s="1"/>
  <c r="AT97" i="82" s="1"/>
  <c r="J92" i="82"/>
  <c r="J95" i="82"/>
  <c r="J97" i="82" s="1"/>
  <c r="S95" i="82"/>
  <c r="S97" i="82" s="1"/>
  <c r="AW92" i="82"/>
  <c r="P92" i="82"/>
  <c r="BA40" i="82"/>
  <c r="C100" i="81"/>
  <c r="C99" i="81"/>
  <c r="C14" i="80" s="1"/>
  <c r="C113" i="57"/>
  <c r="AK23" i="82"/>
  <c r="AI95" i="82"/>
  <c r="AI97" i="82"/>
  <c r="AR95" i="82"/>
  <c r="AR97" i="82"/>
  <c r="BE27" i="82"/>
  <c r="G114" i="57"/>
  <c r="C104" i="81" s="1"/>
  <c r="C19" i="80" s="1"/>
  <c r="C13" i="80" s="1"/>
  <c r="H95" i="82"/>
  <c r="H97" i="82" s="1"/>
  <c r="AQ92" i="82"/>
  <c r="AQ95" i="82" s="1"/>
  <c r="AQ97" i="82"/>
  <c r="BA28" i="82"/>
  <c r="BC15" i="82"/>
  <c r="BE84" i="82"/>
  <c r="BC9" i="82"/>
  <c r="AH95" i="82"/>
  <c r="AH97" i="82"/>
  <c r="BB84" i="82"/>
  <c r="W23" i="82"/>
  <c r="F23" i="82"/>
  <c r="BD15" i="82"/>
  <c r="BD37" i="82"/>
  <c r="AS95" i="82"/>
  <c r="AS97" i="82" s="1"/>
  <c r="F40" i="82"/>
  <c r="BD40" i="82" s="1"/>
  <c r="E40" i="82"/>
  <c r="BC28" i="82"/>
  <c r="I23" i="82"/>
  <c r="I95" i="82"/>
  <c r="I97" i="82" s="1"/>
  <c r="T92" i="82"/>
  <c r="T95" i="82" s="1"/>
  <c r="T97" i="82" s="1"/>
  <c r="BF84" i="82"/>
  <c r="M92" i="82"/>
  <c r="R23" i="82"/>
  <c r="AZ97" i="82"/>
  <c r="AN95" i="82"/>
  <c r="AN97" i="82"/>
  <c r="R92" i="82"/>
  <c r="BA15" i="82"/>
  <c r="BF23" i="82" s="1"/>
  <c r="AG118" i="82"/>
  <c r="AG92" i="82"/>
  <c r="AG95" i="82" s="1"/>
  <c r="AG97" i="82" s="1"/>
  <c r="M23" i="82"/>
  <c r="AL40" i="82"/>
  <c r="AL92" i="82" s="1"/>
  <c r="AL95" i="82"/>
  <c r="AL97" i="82" s="1"/>
  <c r="BA59" i="82"/>
  <c r="BF40" i="82" s="1"/>
  <c r="L92" i="82"/>
  <c r="BE12" i="82"/>
  <c r="X95" i="82"/>
  <c r="X97" i="82" s="1"/>
  <c r="AC23" i="82"/>
  <c r="AC95" i="82" s="1"/>
  <c r="AC97" i="82" s="1"/>
  <c r="AC40" i="82"/>
  <c r="AC92" i="82"/>
  <c r="D40" i="82"/>
  <c r="BB50" i="82"/>
  <c r="D15" i="82"/>
  <c r="BB15" i="82"/>
  <c r="E7" i="96"/>
  <c r="E66" i="96" s="1"/>
  <c r="M21" i="80"/>
  <c r="M9" i="80" s="1"/>
  <c r="M42" i="80"/>
  <c r="D78" i="83"/>
  <c r="S71" i="83"/>
  <c r="D118" i="57" s="1"/>
  <c r="D116" i="57" s="1"/>
  <c r="F74" i="36"/>
  <c r="C56" i="81"/>
  <c r="F56" i="81" s="1"/>
  <c r="H26" i="99"/>
  <c r="L26" i="99" s="1"/>
  <c r="M26" i="99" s="1"/>
  <c r="L13" i="80"/>
  <c r="L46" i="80" s="1"/>
  <c r="E74" i="36"/>
  <c r="G72" i="36"/>
  <c r="C116" i="81"/>
  <c r="F116" i="81" s="1"/>
  <c r="C19" i="81"/>
  <c r="F19" i="81" s="1"/>
  <c r="G96" i="82"/>
  <c r="BE96" i="82" s="1"/>
  <c r="K23" i="80"/>
  <c r="G7" i="58"/>
  <c r="G35" i="58" s="1"/>
  <c r="F37" i="58"/>
  <c r="F70" i="36" s="1"/>
  <c r="E7" i="58"/>
  <c r="E35" i="58" s="1"/>
  <c r="H23" i="99"/>
  <c r="L23" i="99" s="1"/>
  <c r="D83" i="58"/>
  <c r="G54" i="36"/>
  <c r="G53" i="36"/>
  <c r="C37" i="81"/>
  <c r="F37" i="81"/>
  <c r="C83" i="58"/>
  <c r="H21" i="99"/>
  <c r="C7" i="58"/>
  <c r="C35" i="58" s="1"/>
  <c r="C84" i="58" s="1"/>
  <c r="L23" i="80"/>
  <c r="L11" i="80" s="1"/>
  <c r="L44" i="80" s="1"/>
  <c r="F71" i="36"/>
  <c r="D74" i="97"/>
  <c r="D72" i="97" s="1"/>
  <c r="C96" i="82"/>
  <c r="BA96" i="82"/>
  <c r="C118" i="81"/>
  <c r="F118" i="81" s="1"/>
  <c r="C15" i="36"/>
  <c r="D15" i="97" s="1"/>
  <c r="F96" i="82"/>
  <c r="BD96" i="82" s="1"/>
  <c r="F54" i="36"/>
  <c r="F53" i="36" s="1"/>
  <c r="C35" i="81"/>
  <c r="F36" i="58"/>
  <c r="F83" i="58" s="1"/>
  <c r="H13" i="99"/>
  <c r="H47" i="99" s="1"/>
  <c r="H11" i="99"/>
  <c r="H45" i="99" s="1"/>
  <c r="L24" i="99"/>
  <c r="M24" i="99" s="1"/>
  <c r="J45" i="99"/>
  <c r="E37" i="58"/>
  <c r="C115" i="81"/>
  <c r="K22" i="80"/>
  <c r="F72" i="36"/>
  <c r="C68" i="81"/>
  <c r="R95" i="82"/>
  <c r="R97" i="82" s="1"/>
  <c r="BD23" i="82"/>
  <c r="F111" i="57" s="1"/>
  <c r="BB40" i="82"/>
  <c r="M95" i="82"/>
  <c r="M97" i="82"/>
  <c r="BE23" i="82"/>
  <c r="G111" i="57" s="1"/>
  <c r="D92" i="82"/>
  <c r="C16" i="81"/>
  <c r="F16" i="81" s="1"/>
  <c r="E72" i="36"/>
  <c r="H8" i="99"/>
  <c r="H42" i="99" s="1"/>
  <c r="E70" i="36"/>
  <c r="E69" i="36"/>
  <c r="E36" i="58"/>
  <c r="E83" i="58"/>
  <c r="M23" i="99"/>
  <c r="B37" i="99"/>
  <c r="E11" i="81"/>
  <c r="H122" i="57"/>
  <c r="H128" i="96"/>
  <c r="D67" i="36"/>
  <c r="J8" i="99"/>
  <c r="J42" i="99" s="1"/>
  <c r="C13" i="39"/>
  <c r="C10" i="39" s="1"/>
  <c r="C9" i="39" s="1"/>
  <c r="C8" i="39" s="1"/>
  <c r="G75" i="36"/>
  <c r="D48" i="39"/>
  <c r="D47" i="39"/>
  <c r="D44" i="39" s="1"/>
  <c r="D43" i="39" s="1"/>
  <c r="D42" i="39" s="1"/>
  <c r="F22" i="80" s="1"/>
  <c r="J22" i="80" s="1"/>
  <c r="E39" i="57"/>
  <c r="C44" i="39"/>
  <c r="C43" i="39" s="1"/>
  <c r="C42" i="39"/>
  <c r="L15" i="99"/>
  <c r="E45" i="81"/>
  <c r="C62" i="97"/>
  <c r="F29" i="52"/>
  <c r="E67" i="57"/>
  <c r="E21" i="36"/>
  <c r="H19" i="80"/>
  <c r="H13" i="80" s="1"/>
  <c r="D55" i="36"/>
  <c r="C33" i="81" s="1"/>
  <c r="F33" i="81" s="1"/>
  <c r="C39" i="99"/>
  <c r="U85" i="83"/>
  <c r="D43" i="81"/>
  <c r="V85" i="83"/>
  <c r="D8" i="81"/>
  <c r="R85" i="83"/>
  <c r="E41" i="81"/>
  <c r="F41" i="81"/>
  <c r="C35" i="99"/>
  <c r="D77" i="97"/>
  <c r="D76" i="97" s="1"/>
  <c r="D75" i="97"/>
  <c r="C76" i="36"/>
  <c r="T80" i="83"/>
  <c r="E10" i="57"/>
  <c r="F67" i="57"/>
  <c r="F21" i="36" s="1"/>
  <c r="E40" i="81"/>
  <c r="C34" i="99"/>
  <c r="C28" i="99"/>
  <c r="C42" i="99" s="1"/>
  <c r="D67" i="57"/>
  <c r="D21" i="36" s="1"/>
  <c r="D29" i="52"/>
  <c r="D30" i="52" s="1"/>
  <c r="D31" i="52"/>
  <c r="F39" i="57"/>
  <c r="B10" i="39"/>
  <c r="B9" i="39" s="1"/>
  <c r="B8" i="39"/>
  <c r="B76" i="39" s="1"/>
  <c r="D10" i="39"/>
  <c r="F21" i="80"/>
  <c r="J21" i="80" s="1"/>
  <c r="B44" i="39"/>
  <c r="B43" i="39"/>
  <c r="B42" i="39" s="1"/>
  <c r="F20" i="80"/>
  <c r="J20" i="80" s="1"/>
  <c r="F14" i="80"/>
  <c r="F8" i="80" s="1"/>
  <c r="F41" i="80" s="1"/>
  <c r="E44" i="39"/>
  <c r="E43" i="39"/>
  <c r="E42" i="39" s="1"/>
  <c r="F23" i="80" s="1"/>
  <c r="J23" i="80" s="1"/>
  <c r="F76" i="39"/>
  <c r="F19" i="80"/>
  <c r="C76" i="39"/>
  <c r="D94" i="82" s="1"/>
  <c r="BB94" i="82" s="1"/>
  <c r="D9" i="39"/>
  <c r="D8" i="39"/>
  <c r="N95" i="82"/>
  <c r="BB92" i="82"/>
  <c r="D117" i="57" s="1"/>
  <c r="C107" i="81" s="1"/>
  <c r="E8" i="81"/>
  <c r="B34" i="99"/>
  <c r="B28" i="99" s="1"/>
  <c r="C33" i="99"/>
  <c r="C47" i="99"/>
  <c r="H14" i="80"/>
  <c r="H8" i="80"/>
  <c r="H41" i="80" s="1"/>
  <c r="C75" i="36"/>
  <c r="F40" i="81"/>
  <c r="C29" i="99"/>
  <c r="C43" i="99"/>
  <c r="C37" i="99"/>
  <c r="C31" i="99"/>
  <c r="E43" i="81"/>
  <c r="C127" i="81"/>
  <c r="F127" i="81" s="1"/>
  <c r="F13" i="80"/>
  <c r="C132" i="81"/>
  <c r="F132" i="81" s="1"/>
  <c r="N97" i="82"/>
  <c r="F43" i="81"/>
  <c r="N23" i="53"/>
  <c r="K24" i="53"/>
  <c r="H24" i="53"/>
  <c r="F24" i="53"/>
  <c r="D15" i="99"/>
  <c r="D9" i="99" s="1"/>
  <c r="D43" i="99"/>
  <c r="D45" i="36"/>
  <c r="F36" i="96"/>
  <c r="F78" i="96"/>
  <c r="E130" i="96"/>
  <c r="D7" i="96"/>
  <c r="D66" i="96" s="1"/>
  <c r="D23" i="82"/>
  <c r="AW95" i="82"/>
  <c r="F99" i="81"/>
  <c r="G113" i="57"/>
  <c r="C15" i="80"/>
  <c r="C9" i="80" s="1"/>
  <c r="C102" i="81"/>
  <c r="C17" i="80" s="1"/>
  <c r="C11" i="80" s="1"/>
  <c r="C44" i="80" s="1"/>
  <c r="F120" i="81"/>
  <c r="F123" i="81"/>
  <c r="U40" i="98"/>
  <c r="C8" i="80"/>
  <c r="C41" i="80" s="1"/>
  <c r="C97" i="81"/>
  <c r="B19" i="80"/>
  <c r="B13" i="80" s="1"/>
  <c r="I41" i="98"/>
  <c r="C101" i="81"/>
  <c r="J37" i="80"/>
  <c r="J31" i="80"/>
  <c r="E46" i="99"/>
  <c r="G38" i="99"/>
  <c r="G32" i="99"/>
  <c r="F68" i="81"/>
  <c r="B32" i="99"/>
  <c r="B74" i="81"/>
  <c r="B88" i="81" s="1"/>
  <c r="B30" i="99"/>
  <c r="C27" i="80"/>
  <c r="B73" i="81"/>
  <c r="B87" i="81"/>
  <c r="B95" i="81"/>
  <c r="B102" i="81"/>
  <c r="B109" i="81" s="1"/>
  <c r="B116" i="81"/>
  <c r="B123" i="81" s="1"/>
  <c r="B130" i="81" s="1"/>
  <c r="B137" i="81" s="1"/>
  <c r="B144" i="81" s="1"/>
  <c r="B81" i="81"/>
  <c r="O37" i="80"/>
  <c r="F42" i="99"/>
  <c r="B93" i="81"/>
  <c r="B100" i="81"/>
  <c r="B107" i="81" s="1"/>
  <c r="B114" i="81" s="1"/>
  <c r="B121" i="81" s="1"/>
  <c r="B128" i="81" s="1"/>
  <c r="B135" i="81" s="1"/>
  <c r="B142" i="81" s="1"/>
  <c r="B79" i="81"/>
  <c r="B71" i="81"/>
  <c r="B85" i="81" s="1"/>
  <c r="F32" i="81"/>
  <c r="C24" i="81"/>
  <c r="N38" i="80"/>
  <c r="K32" i="80"/>
  <c r="F45" i="81"/>
  <c r="H82" i="81"/>
  <c r="F110" i="81"/>
  <c r="G82" i="81"/>
  <c r="B31" i="99"/>
  <c r="F74" i="81"/>
  <c r="F88" i="81" s="1"/>
  <c r="F44" i="81"/>
  <c r="C45" i="80"/>
  <c r="N31" i="80"/>
  <c r="O31" i="80" s="1"/>
  <c r="E41" i="80"/>
  <c r="P42" i="80"/>
  <c r="F46" i="80"/>
  <c r="N32" i="80"/>
  <c r="G45" i="80"/>
  <c r="N29" i="80"/>
  <c r="D45" i="80"/>
  <c r="K45" i="80"/>
  <c r="P44" i="80"/>
  <c r="L43" i="80"/>
  <c r="O24" i="80"/>
  <c r="N12" i="80"/>
  <c r="N45" i="80" s="1"/>
  <c r="J12" i="80"/>
  <c r="O12" i="80" s="1"/>
  <c r="O45" i="80" s="1"/>
  <c r="O18" i="80"/>
  <c r="H46" i="80"/>
  <c r="L41" i="80"/>
  <c r="D42" i="99"/>
  <c r="F46" i="99"/>
  <c r="D44" i="99"/>
  <c r="D45" i="99"/>
  <c r="C45" i="99"/>
  <c r="C46" i="99"/>
  <c r="G12" i="99"/>
  <c r="L13" i="99"/>
  <c r="L47" i="99"/>
  <c r="F44" i="99"/>
  <c r="B46" i="99"/>
  <c r="F45" i="99"/>
  <c r="F47" i="99"/>
  <c r="M18" i="99"/>
  <c r="D72" i="36"/>
  <c r="C142" i="81" s="1"/>
  <c r="F142" i="81" s="1"/>
  <c r="D15" i="36"/>
  <c r="H22" i="99"/>
  <c r="L22" i="99" s="1"/>
  <c r="D7" i="58"/>
  <c r="D35" i="58"/>
  <c r="D84" i="58" s="1"/>
  <c r="AW97" i="82"/>
  <c r="F102" i="81"/>
  <c r="C16" i="80"/>
  <c r="F101" i="81"/>
  <c r="M32" i="99"/>
  <c r="G46" i="99"/>
  <c r="M38" i="99"/>
  <c r="J45" i="80"/>
  <c r="H9" i="99"/>
  <c r="H43" i="99" s="1"/>
  <c r="C17" i="81"/>
  <c r="C10" i="80"/>
  <c r="C43" i="80" s="1"/>
  <c r="F17" i="81"/>
  <c r="F130" i="96"/>
  <c r="F58" i="96"/>
  <c r="D68" i="96"/>
  <c r="D67" i="96" s="1"/>
  <c r="D154" i="96" s="1"/>
  <c r="B34" i="80"/>
  <c r="B27" i="80"/>
  <c r="E92" i="81"/>
  <c r="I9" i="80"/>
  <c r="I42" i="80" s="1"/>
  <c r="B28" i="80"/>
  <c r="D156" i="96" l="1"/>
  <c r="M22" i="99"/>
  <c r="L9" i="99"/>
  <c r="O22" i="80"/>
  <c r="D87" i="39"/>
  <c r="D76" i="39"/>
  <c r="C25" i="81"/>
  <c r="BB23" i="82"/>
  <c r="D111" i="57" s="1"/>
  <c r="D95" i="82"/>
  <c r="B87" i="39"/>
  <c r="F15" i="80"/>
  <c r="F9" i="80" s="1"/>
  <c r="F42" i="80" s="1"/>
  <c r="C87" i="39"/>
  <c r="D15" i="80"/>
  <c r="D9" i="80" s="1"/>
  <c r="C128" i="81"/>
  <c r="F128" i="81" s="1"/>
  <c r="D121" i="57"/>
  <c r="D120" i="57" s="1"/>
  <c r="C121" i="57"/>
  <c r="C120" i="57" s="1"/>
  <c r="C94" i="82"/>
  <c r="N22" i="80"/>
  <c r="K10" i="80"/>
  <c r="BC40" i="82"/>
  <c r="E92" i="82"/>
  <c r="C95" i="81"/>
  <c r="F110" i="57"/>
  <c r="K11" i="80"/>
  <c r="N23" i="80"/>
  <c r="O23" i="80" s="1"/>
  <c r="F16" i="80"/>
  <c r="F10" i="80" s="1"/>
  <c r="F43" i="80" s="1"/>
  <c r="D54" i="36"/>
  <c r="D53" i="36" s="1"/>
  <c r="T85" i="83"/>
  <c r="D42" i="81"/>
  <c r="C27" i="81"/>
  <c r="F35" i="81"/>
  <c r="E84" i="58"/>
  <c r="C110" i="57"/>
  <c r="C92" i="81"/>
  <c r="D107" i="81"/>
  <c r="S74" i="83"/>
  <c r="H10" i="99"/>
  <c r="H44" i="99" s="1"/>
  <c r="F69" i="36"/>
  <c r="G37" i="58"/>
  <c r="K25" i="80"/>
  <c r="K95" i="82"/>
  <c r="K97" i="82" s="1"/>
  <c r="D96" i="82"/>
  <c r="BB96" i="82" s="1"/>
  <c r="C114" i="81"/>
  <c r="F114" i="81" s="1"/>
  <c r="L21" i="80"/>
  <c r="D71" i="36"/>
  <c r="E93" i="81"/>
  <c r="F61" i="81"/>
  <c r="C29" i="81"/>
  <c r="P20" i="101"/>
  <c r="R20" i="101" s="1"/>
  <c r="R39" i="101" s="1"/>
  <c r="R6" i="101"/>
  <c r="R25" i="101" s="1"/>
  <c r="G121" i="57"/>
  <c r="G120" i="57" s="1"/>
  <c r="G94" i="82"/>
  <c r="BE94" i="82" s="1"/>
  <c r="F115" i="81"/>
  <c r="L17" i="99"/>
  <c r="W95" i="82"/>
  <c r="W97" i="82" s="1"/>
  <c r="L95" i="82"/>
  <c r="L97" i="82" s="1"/>
  <c r="BC23" i="82"/>
  <c r="E111" i="57" s="1"/>
  <c r="C70" i="36"/>
  <c r="J10" i="99"/>
  <c r="J44" i="99" s="1"/>
  <c r="G71" i="36"/>
  <c r="D70" i="36"/>
  <c r="F7" i="58"/>
  <c r="F35" i="58" s="1"/>
  <c r="F84" i="58" s="1"/>
  <c r="B15" i="53"/>
  <c r="BC67" i="82"/>
  <c r="W92" i="82"/>
  <c r="BA92" i="82" s="1"/>
  <c r="H109" i="98"/>
  <c r="E115" i="81"/>
  <c r="V71" i="83"/>
  <c r="G78" i="83"/>
  <c r="G74" i="83"/>
  <c r="G29" i="95"/>
  <c r="G33" i="95"/>
  <c r="F112" i="57"/>
  <c r="D95" i="81"/>
  <c r="G109" i="98"/>
  <c r="C26" i="81"/>
  <c r="D100" i="81"/>
  <c r="D79" i="81" s="1"/>
  <c r="E79" i="81" s="1"/>
  <c r="D112" i="57"/>
  <c r="BD9" i="82"/>
  <c r="L39" i="101"/>
  <c r="L40" i="101"/>
  <c r="P40" i="101" s="1"/>
  <c r="D104" i="81"/>
  <c r="G112" i="57"/>
  <c r="G110" i="57" s="1"/>
  <c r="D97" i="81"/>
  <c r="N33" i="80"/>
  <c r="K27" i="80"/>
  <c r="N27" i="80" s="1"/>
  <c r="F71" i="83"/>
  <c r="U71" i="83" s="1"/>
  <c r="U24" i="83"/>
  <c r="M25" i="99"/>
  <c r="L12" i="99"/>
  <c r="P17" i="95"/>
  <c r="J27" i="95"/>
  <c r="E15" i="88"/>
  <c r="E13" i="88"/>
  <c r="C13" i="88"/>
  <c r="C15" i="88"/>
  <c r="D7" i="91"/>
  <c r="D102" i="91" s="1"/>
  <c r="L21" i="99"/>
  <c r="E96" i="82"/>
  <c r="BC96" i="82" s="1"/>
  <c r="N20" i="80"/>
  <c r="O20" i="80" s="1"/>
  <c r="C84" i="36"/>
  <c r="G67" i="82"/>
  <c r="V74" i="83"/>
  <c r="C112" i="57"/>
  <c r="C141" i="81"/>
  <c r="F141" i="81" s="1"/>
  <c r="D67" i="97"/>
  <c r="D84" i="97" s="1"/>
  <c r="E40" i="98"/>
  <c r="E39" i="98" s="1"/>
  <c r="E108" i="98" s="1"/>
  <c r="E109" i="98" s="1"/>
  <c r="F36" i="95"/>
  <c r="F29" i="95"/>
  <c r="G30" i="95" s="1"/>
  <c r="G32" i="95" s="1"/>
  <c r="P34" i="95" s="1"/>
  <c r="O92" i="82"/>
  <c r="O95" i="82" s="1"/>
  <c r="O97" i="82" s="1"/>
  <c r="E62" i="94"/>
  <c r="E17" i="91"/>
  <c r="E7" i="91" s="1"/>
  <c r="E102" i="91" s="1"/>
  <c r="G63" i="97"/>
  <c r="G82" i="97" s="1"/>
  <c r="G85" i="97" s="1"/>
  <c r="E85" i="97"/>
  <c r="O36" i="95"/>
  <c r="T71" i="83"/>
  <c r="J78" i="83"/>
  <c r="R40" i="83"/>
  <c r="H71" i="83"/>
  <c r="F78" i="83"/>
  <c r="F74" i="83"/>
  <c r="E112" i="57"/>
  <c r="D94" i="81"/>
  <c r="C144" i="81"/>
  <c r="F144" i="81" s="1"/>
  <c r="C63" i="97"/>
  <c r="C82" i="97" s="1"/>
  <c r="C83" i="97" s="1"/>
  <c r="Q92" i="82"/>
  <c r="BA37" i="82"/>
  <c r="BF92" i="82" s="1"/>
  <c r="D40" i="98"/>
  <c r="D39" i="98" s="1"/>
  <c r="D108" i="98" s="1"/>
  <c r="P19" i="95"/>
  <c r="P16" i="95"/>
  <c r="AP92" i="82"/>
  <c r="AP95" i="82" s="1"/>
  <c r="AP97" i="82" s="1"/>
  <c r="F62" i="94"/>
  <c r="C143" i="81"/>
  <c r="F143" i="81" s="1"/>
  <c r="Q95" i="82"/>
  <c r="Q97" i="82" s="1"/>
  <c r="F8" i="96"/>
  <c r="F7" i="96" s="1"/>
  <c r="F66" i="96" s="1"/>
  <c r="D18" i="98"/>
  <c r="D6" i="98" s="1"/>
  <c r="D38" i="98" s="1"/>
  <c r="D109" i="98" s="1"/>
  <c r="C11" i="98"/>
  <c r="C6" i="98" s="1"/>
  <c r="C38" i="98" s="1"/>
  <c r="C109" i="98" s="1"/>
  <c r="P25" i="95"/>
  <c r="E42" i="57"/>
  <c r="E9" i="57" s="1"/>
  <c r="E8" i="57" s="1"/>
  <c r="C9" i="57"/>
  <c r="C8" i="57" s="1"/>
  <c r="P16" i="101"/>
  <c r="R16" i="101" s="1"/>
  <c r="R35" i="101" s="1"/>
  <c r="E67" i="96"/>
  <c r="E154" i="96" s="1"/>
  <c r="BC76" i="82"/>
  <c r="F80" i="57"/>
  <c r="F28" i="36" s="1"/>
  <c r="BD24" i="82"/>
  <c r="F84" i="82"/>
  <c r="AF40" i="82"/>
  <c r="AF92" i="82" s="1"/>
  <c r="AF95" i="82" s="1"/>
  <c r="AF97" i="82" s="1"/>
  <c r="E10" i="39"/>
  <c r="E9" i="39" s="1"/>
  <c r="E8" i="39" s="1"/>
  <c r="BE38" i="82"/>
  <c r="G42" i="57"/>
  <c r="G9" i="57" s="1"/>
  <c r="G8" i="57" s="1"/>
  <c r="F25" i="57"/>
  <c r="F23" i="57" s="1"/>
  <c r="F9" i="57" s="1"/>
  <c r="F8" i="57" s="1"/>
  <c r="P12" i="101"/>
  <c r="R12" i="101" s="1"/>
  <c r="R31" i="101" s="1"/>
  <c r="D25" i="57"/>
  <c r="D23" i="57" s="1"/>
  <c r="D9" i="57" s="1"/>
  <c r="D8" i="57" s="1"/>
  <c r="AK92" i="82"/>
  <c r="AK95" i="82" s="1"/>
  <c r="AK97" i="82" s="1"/>
  <c r="C146" i="81"/>
  <c r="F146" i="81" s="1"/>
  <c r="P27" i="101"/>
  <c r="P36" i="101"/>
  <c r="R36" i="101" s="1"/>
  <c r="H111" i="82"/>
  <c r="F71" i="96"/>
  <c r="F68" i="96" s="1"/>
  <c r="F67" i="96" s="1"/>
  <c r="F154" i="96" s="1"/>
  <c r="E157" i="96" l="1"/>
  <c r="E156" i="96"/>
  <c r="E110" i="57"/>
  <c r="C94" i="81"/>
  <c r="G70" i="36"/>
  <c r="G69" i="36" s="1"/>
  <c r="G36" i="58"/>
  <c r="G83" i="58" s="1"/>
  <c r="G84" i="58" s="1"/>
  <c r="B17" i="80"/>
  <c r="N10" i="80"/>
  <c r="N43" i="80" s="1"/>
  <c r="K43" i="80"/>
  <c r="P39" i="101"/>
  <c r="E76" i="39"/>
  <c r="E87" i="39"/>
  <c r="F17" i="80"/>
  <c r="F11" i="80" s="1"/>
  <c r="F44" i="80" s="1"/>
  <c r="B35" i="80"/>
  <c r="E94" i="81"/>
  <c r="H74" i="83"/>
  <c r="R71" i="83"/>
  <c r="H78" i="83"/>
  <c r="J29" i="95"/>
  <c r="J36" i="95"/>
  <c r="P36" i="95" s="1"/>
  <c r="E97" i="81"/>
  <c r="B38" i="80"/>
  <c r="C117" i="57"/>
  <c r="D69" i="36"/>
  <c r="D66" i="36"/>
  <c r="S78" i="83"/>
  <c r="S86" i="83" s="1"/>
  <c r="D49" i="81" s="1"/>
  <c r="C36" i="99"/>
  <c r="E42" i="81"/>
  <c r="K41" i="80"/>
  <c r="BB95" i="82"/>
  <c r="D65" i="36" s="1"/>
  <c r="D64" i="36" s="1"/>
  <c r="D63" i="36" s="1"/>
  <c r="D82" i="36" s="1"/>
  <c r="D97" i="82"/>
  <c r="BB97" i="82" s="1"/>
  <c r="E118" i="57"/>
  <c r="D108" i="81"/>
  <c r="E100" i="81"/>
  <c r="F100" i="81" s="1"/>
  <c r="C34" i="80"/>
  <c r="E95" i="81"/>
  <c r="B36" i="80"/>
  <c r="D81" i="81"/>
  <c r="E81" i="81" s="1"/>
  <c r="D70" i="97"/>
  <c r="D69" i="97" s="1"/>
  <c r="C69" i="36"/>
  <c r="F8" i="36"/>
  <c r="F7" i="36" s="1"/>
  <c r="F62" i="36" s="1"/>
  <c r="F7" i="57"/>
  <c r="C7" i="57"/>
  <c r="C8" i="36"/>
  <c r="G66" i="36"/>
  <c r="V78" i="83"/>
  <c r="V86" i="83" s="1"/>
  <c r="P27" i="95"/>
  <c r="F118" i="57"/>
  <c r="D109" i="81"/>
  <c r="G118" i="57"/>
  <c r="D111" i="81"/>
  <c r="T74" i="83"/>
  <c r="D34" i="80"/>
  <c r="D28" i="80" s="1"/>
  <c r="E107" i="81"/>
  <c r="F107" i="81" s="1"/>
  <c r="N11" i="80"/>
  <c r="N44" i="80" s="1"/>
  <c r="K44" i="80"/>
  <c r="E95" i="82"/>
  <c r="BC92" i="82"/>
  <c r="E117" i="57" s="1"/>
  <c r="BA94" i="82"/>
  <c r="BF95" i="82" s="1"/>
  <c r="C95" i="82"/>
  <c r="C93" i="81"/>
  <c r="D110" i="57"/>
  <c r="D109" i="57" s="1"/>
  <c r="D129" i="57" s="1"/>
  <c r="C129" i="81"/>
  <c r="F129" i="81" s="1"/>
  <c r="E94" i="82"/>
  <c r="BC94" i="82" s="1"/>
  <c r="E121" i="57"/>
  <c r="E120" i="57" s="1"/>
  <c r="L43" i="99"/>
  <c r="D8" i="36"/>
  <c r="D7" i="36" s="1"/>
  <c r="D62" i="36" s="1"/>
  <c r="D7" i="57"/>
  <c r="BD84" i="82"/>
  <c r="F92" i="82"/>
  <c r="P29" i="95"/>
  <c r="M111" i="82"/>
  <c r="H125" i="82"/>
  <c r="G8" i="36"/>
  <c r="G7" i="36" s="1"/>
  <c r="G62" i="36" s="1"/>
  <c r="G7" i="57"/>
  <c r="E8" i="36"/>
  <c r="E7" i="36" s="1"/>
  <c r="E62" i="36" s="1"/>
  <c r="E7" i="57"/>
  <c r="F156" i="96"/>
  <c r="G66" i="96"/>
  <c r="G154" i="96"/>
  <c r="BE67" i="82"/>
  <c r="G40" i="82"/>
  <c r="L8" i="99"/>
  <c r="M21" i="99"/>
  <c r="L46" i="99"/>
  <c r="M46" i="99" s="1"/>
  <c r="M12" i="99"/>
  <c r="N41" i="80"/>
  <c r="C38" i="80"/>
  <c r="C32" i="80" s="1"/>
  <c r="C46" i="80" s="1"/>
  <c r="E104" i="81"/>
  <c r="F104" i="81" s="1"/>
  <c r="U74" i="83"/>
  <c r="N15" i="53"/>
  <c r="N16" i="53" s="1"/>
  <c r="N24" i="53" s="1"/>
  <c r="N25" i="53" s="1"/>
  <c r="B16" i="53"/>
  <c r="B24" i="53" s="1"/>
  <c r="B25" i="53" s="1"/>
  <c r="C25" i="53" s="1"/>
  <c r="D25" i="53" s="1"/>
  <c r="E25" i="53" s="1"/>
  <c r="F25" i="53" s="1"/>
  <c r="G25" i="53" s="1"/>
  <c r="H25" i="53" s="1"/>
  <c r="I25" i="53" s="1"/>
  <c r="J25" i="53" s="1"/>
  <c r="K25" i="53" s="1"/>
  <c r="L25" i="53" s="1"/>
  <c r="M25" i="53" s="1"/>
  <c r="R27" i="101"/>
  <c r="L11" i="99"/>
  <c r="R38" i="101"/>
  <c r="L9" i="80"/>
  <c r="N21" i="80"/>
  <c r="O21" i="80" s="1"/>
  <c r="K13" i="80"/>
  <c r="N25" i="80"/>
  <c r="O25" i="80" s="1"/>
  <c r="F92" i="81"/>
  <c r="B14" i="80"/>
  <c r="D42" i="80"/>
  <c r="B11" i="80" l="1"/>
  <c r="G108" i="57"/>
  <c r="C13" i="81"/>
  <c r="D85" i="36"/>
  <c r="D88" i="36"/>
  <c r="BA95" i="82"/>
  <c r="C65" i="36" s="1"/>
  <c r="C97" i="82"/>
  <c r="BA97" i="82" s="1"/>
  <c r="T78" i="83"/>
  <c r="T86" i="83" s="1"/>
  <c r="D50" i="81" s="1"/>
  <c r="E66" i="36"/>
  <c r="D36" i="80"/>
  <c r="D30" i="80" s="1"/>
  <c r="E109" i="81"/>
  <c r="B30" i="80"/>
  <c r="D35" i="80"/>
  <c r="D29" i="80" s="1"/>
  <c r="E108" i="81"/>
  <c r="D25" i="81"/>
  <c r="E35" i="99"/>
  <c r="E49" i="81"/>
  <c r="BF97" i="82"/>
  <c r="B32" i="80"/>
  <c r="B46" i="80" s="1"/>
  <c r="H80" i="81"/>
  <c r="L45" i="99"/>
  <c r="F93" i="81"/>
  <c r="B15" i="80"/>
  <c r="V89" i="83"/>
  <c r="D53" i="81"/>
  <c r="V88" i="83"/>
  <c r="F94" i="81"/>
  <c r="B16" i="80"/>
  <c r="L42" i="80"/>
  <c r="N9" i="80"/>
  <c r="N42" i="80" s="1"/>
  <c r="U78" i="83"/>
  <c r="U86" i="83" s="1"/>
  <c r="F66" i="36"/>
  <c r="L42" i="99"/>
  <c r="H79" i="81"/>
  <c r="G92" i="82"/>
  <c r="BE40" i="82"/>
  <c r="D7" i="92"/>
  <c r="BD92" i="82"/>
  <c r="F117" i="57" s="1"/>
  <c r="F95" i="82"/>
  <c r="E111" i="81"/>
  <c r="D38" i="80"/>
  <c r="D32" i="80" s="1"/>
  <c r="D8" i="97"/>
  <c r="D7" i="97" s="1"/>
  <c r="D62" i="97" s="1"/>
  <c r="C7" i="36"/>
  <c r="H81" i="81"/>
  <c r="F42" i="81"/>
  <c r="D83" i="81"/>
  <c r="E83" i="81" s="1"/>
  <c r="D80" i="81"/>
  <c r="E80" i="81" s="1"/>
  <c r="F94" i="82"/>
  <c r="BD94" i="82" s="1"/>
  <c r="F121" i="57"/>
  <c r="F120" i="57" s="1"/>
  <c r="C130" i="81"/>
  <c r="F130" i="81" s="1"/>
  <c r="F95" i="81"/>
  <c r="D130" i="57"/>
  <c r="D133" i="57" s="1"/>
  <c r="C9" i="81"/>
  <c r="D108" i="57"/>
  <c r="BC95" i="82"/>
  <c r="E65" i="36" s="1"/>
  <c r="E64" i="36" s="1"/>
  <c r="E63" i="36" s="1"/>
  <c r="E82" i="36" s="1"/>
  <c r="E85" i="36" s="1"/>
  <c r="E97" i="82"/>
  <c r="BC97" i="82" s="1"/>
  <c r="F108" i="57"/>
  <c r="C11" i="81"/>
  <c r="B8" i="80"/>
  <c r="N13" i="80"/>
  <c r="N46" i="80" s="1"/>
  <c r="K46" i="80"/>
  <c r="E108" i="57"/>
  <c r="C10" i="81"/>
  <c r="M126" i="82"/>
  <c r="M125" i="82"/>
  <c r="C131" i="57" s="1"/>
  <c r="C108" i="81"/>
  <c r="E116" i="57"/>
  <c r="E130" i="57" s="1"/>
  <c r="C108" i="57"/>
  <c r="C8" i="81"/>
  <c r="C28" i="80"/>
  <c r="C42" i="80" s="1"/>
  <c r="J34" i="80"/>
  <c r="C30" i="99"/>
  <c r="C44" i="99" s="1"/>
  <c r="C106" i="81"/>
  <c r="H83" i="81"/>
  <c r="F97" i="81"/>
  <c r="D106" i="81"/>
  <c r="R74" i="83"/>
  <c r="C118" i="57"/>
  <c r="C116" i="57" s="1"/>
  <c r="B29" i="80"/>
  <c r="J35" i="80"/>
  <c r="C109" i="57" l="1"/>
  <c r="C129" i="57" s="1"/>
  <c r="C130" i="57"/>
  <c r="C133" i="57" s="1"/>
  <c r="E106" i="81"/>
  <c r="H78" i="81" s="1"/>
  <c r="D33" i="80"/>
  <c r="D78" i="81"/>
  <c r="E78" i="81" s="1"/>
  <c r="F11" i="81"/>
  <c r="C67" i="81"/>
  <c r="B17" i="99"/>
  <c r="B9" i="80"/>
  <c r="D65" i="81"/>
  <c r="E65" i="81" s="1"/>
  <c r="G49" i="81" s="1"/>
  <c r="E25" i="81"/>
  <c r="F25" i="81" s="1"/>
  <c r="D65" i="97"/>
  <c r="C69" i="81"/>
  <c r="F13" i="81"/>
  <c r="B19" i="99"/>
  <c r="F8" i="81"/>
  <c r="B14" i="99"/>
  <c r="C64" i="81"/>
  <c r="F108" i="81"/>
  <c r="D16" i="80"/>
  <c r="D10" i="80" s="1"/>
  <c r="D43" i="80" s="1"/>
  <c r="B16" i="99"/>
  <c r="F10" i="81"/>
  <c r="C66" i="81"/>
  <c r="G95" i="82"/>
  <c r="BE92" i="82"/>
  <c r="G117" i="57" s="1"/>
  <c r="D29" i="81"/>
  <c r="E39" i="99"/>
  <c r="E53" i="81"/>
  <c r="E109" i="57"/>
  <c r="E129" i="57" s="1"/>
  <c r="B15" i="99"/>
  <c r="F9" i="81"/>
  <c r="C65" i="81"/>
  <c r="C62" i="36"/>
  <c r="F97" i="82"/>
  <c r="BD97" i="82" s="1"/>
  <c r="BD95" i="82"/>
  <c r="F65" i="36" s="1"/>
  <c r="F64" i="36" s="1"/>
  <c r="F63" i="36" s="1"/>
  <c r="F82" i="36" s="1"/>
  <c r="B7" i="92"/>
  <c r="B8" i="92" s="1"/>
  <c r="U88" i="83"/>
  <c r="D51" i="81"/>
  <c r="U89" i="83"/>
  <c r="B10" i="80"/>
  <c r="G15" i="80"/>
  <c r="G9" i="80" s="1"/>
  <c r="G42" i="80" s="1"/>
  <c r="F49" i="81"/>
  <c r="F71" i="81"/>
  <c r="E36" i="99"/>
  <c r="E50" i="81"/>
  <c r="D26" i="81"/>
  <c r="E88" i="36"/>
  <c r="O35" i="80"/>
  <c r="J29" i="80"/>
  <c r="O29" i="80" s="1"/>
  <c r="D14" i="80"/>
  <c r="F106" i="81"/>
  <c r="C66" i="36"/>
  <c r="D66" i="97" s="1"/>
  <c r="R78" i="83"/>
  <c r="R86" i="83" s="1"/>
  <c r="D48" i="81" s="1"/>
  <c r="O34" i="80"/>
  <c r="J28" i="80"/>
  <c r="O28" i="80" s="1"/>
  <c r="B41" i="80"/>
  <c r="C109" i="81"/>
  <c r="F116" i="57"/>
  <c r="J38" i="80"/>
  <c r="G35" i="99"/>
  <c r="E29" i="99"/>
  <c r="E43" i="99" s="1"/>
  <c r="J36" i="80"/>
  <c r="B44" i="80"/>
  <c r="M35" i="99" l="1"/>
  <c r="G29" i="99"/>
  <c r="M29" i="99" s="1"/>
  <c r="G17" i="99"/>
  <c r="B11" i="99"/>
  <c r="B45" i="99" s="1"/>
  <c r="J32" i="80"/>
  <c r="O32" i="80" s="1"/>
  <c r="O38" i="80"/>
  <c r="F109" i="81"/>
  <c r="D17" i="80"/>
  <c r="F50" i="81"/>
  <c r="F72" i="81"/>
  <c r="G16" i="80"/>
  <c r="G10" i="80" s="1"/>
  <c r="G43" i="80" s="1"/>
  <c r="E37" i="99"/>
  <c r="E51" i="81"/>
  <c r="D27" i="81"/>
  <c r="F88" i="36"/>
  <c r="F85" i="36"/>
  <c r="F65" i="81"/>
  <c r="F76" i="81" s="1"/>
  <c r="E29" i="81"/>
  <c r="F29" i="81" s="1"/>
  <c r="D69" i="81"/>
  <c r="E69" i="81" s="1"/>
  <c r="G53" i="81" s="1"/>
  <c r="C64" i="36"/>
  <c r="C63" i="36" s="1"/>
  <c r="C82" i="36" s="1"/>
  <c r="H82" i="36" s="1"/>
  <c r="H154" i="96" s="1"/>
  <c r="J15" i="80"/>
  <c r="O15" i="80" s="1"/>
  <c r="F109" i="57"/>
  <c r="F129" i="57" s="1"/>
  <c r="F130" i="57"/>
  <c r="D8" i="80"/>
  <c r="C88" i="36"/>
  <c r="C85" i="36"/>
  <c r="C83" i="36"/>
  <c r="H62" i="36"/>
  <c r="H66" i="96" s="1"/>
  <c r="E33" i="99"/>
  <c r="E47" i="99" s="1"/>
  <c r="G39" i="99"/>
  <c r="J30" i="80"/>
  <c r="O30" i="80" s="1"/>
  <c r="O36" i="80"/>
  <c r="B43" i="80"/>
  <c r="J10" i="80"/>
  <c r="B13" i="99"/>
  <c r="B47" i="99" s="1"/>
  <c r="G19" i="99"/>
  <c r="D64" i="97"/>
  <c r="D63" i="97" s="1"/>
  <c r="D82" i="97" s="1"/>
  <c r="B42" i="80"/>
  <c r="J9" i="80"/>
  <c r="E34" i="99"/>
  <c r="D24" i="81"/>
  <c r="E48" i="81"/>
  <c r="E26" i="81"/>
  <c r="F26" i="81" s="1"/>
  <c r="D66" i="81"/>
  <c r="E66" i="81" s="1"/>
  <c r="G50" i="81" s="1"/>
  <c r="BE95" i="82"/>
  <c r="G65" i="36" s="1"/>
  <c r="G64" i="36" s="1"/>
  <c r="G63" i="36" s="1"/>
  <c r="G82" i="36" s="1"/>
  <c r="G97" i="82"/>
  <c r="BE97" i="82" s="1"/>
  <c r="F69" i="81"/>
  <c r="D27" i="80"/>
  <c r="J33" i="80"/>
  <c r="E30" i="99"/>
  <c r="E44" i="99" s="1"/>
  <c r="G36" i="99"/>
  <c r="M48" i="99"/>
  <c r="F85" i="81"/>
  <c r="O47" i="80" s="1"/>
  <c r="C135" i="81"/>
  <c r="J16" i="80"/>
  <c r="O16" i="80" s="1"/>
  <c r="C86" i="36"/>
  <c r="B9" i="99"/>
  <c r="B43" i="99" s="1"/>
  <c r="G15" i="99"/>
  <c r="F53" i="81"/>
  <c r="G19" i="80"/>
  <c r="G13" i="80" s="1"/>
  <c r="G46" i="80" s="1"/>
  <c r="F75" i="81"/>
  <c r="C111" i="81"/>
  <c r="G116" i="57"/>
  <c r="G16" i="99"/>
  <c r="B10" i="99"/>
  <c r="B44" i="99" s="1"/>
  <c r="G14" i="99"/>
  <c r="B8" i="99"/>
  <c r="B42" i="99" s="1"/>
  <c r="F89" i="81" l="1"/>
  <c r="C139" i="81"/>
  <c r="F139" i="81" s="1"/>
  <c r="F70" i="81"/>
  <c r="G14" i="80"/>
  <c r="F48" i="81"/>
  <c r="E27" i="81"/>
  <c r="F27" i="81" s="1"/>
  <c r="D67" i="81"/>
  <c r="E67" i="81" s="1"/>
  <c r="G11" i="99"/>
  <c r="M17" i="99"/>
  <c r="G10" i="99"/>
  <c r="M16" i="99"/>
  <c r="D9" i="92"/>
  <c r="D10" i="92" s="1"/>
  <c r="D14" i="92" s="1"/>
  <c r="B9" i="92"/>
  <c r="B10" i="92" s="1"/>
  <c r="G88" i="36"/>
  <c r="G85" i="36"/>
  <c r="G83" i="36"/>
  <c r="E24" i="81"/>
  <c r="F24" i="81" s="1"/>
  <c r="D64" i="81"/>
  <c r="E64" i="81" s="1"/>
  <c r="D85" i="97"/>
  <c r="D83" i="97"/>
  <c r="O10" i="80"/>
  <c r="O43" i="80" s="1"/>
  <c r="J43" i="80"/>
  <c r="G33" i="99"/>
  <c r="M33" i="99" s="1"/>
  <c r="M39" i="99"/>
  <c r="F73" i="81"/>
  <c r="G17" i="80"/>
  <c r="G11" i="80" s="1"/>
  <c r="G44" i="80" s="1"/>
  <c r="F51" i="81"/>
  <c r="F86" i="81"/>
  <c r="C136" i="81"/>
  <c r="O33" i="80"/>
  <c r="J27" i="80"/>
  <c r="O27" i="80" s="1"/>
  <c r="G34" i="99"/>
  <c r="E28" i="99"/>
  <c r="E42" i="99" s="1"/>
  <c r="M19" i="99"/>
  <c r="G13" i="99"/>
  <c r="F66" i="81"/>
  <c r="E31" i="99"/>
  <c r="E45" i="99" s="1"/>
  <c r="G37" i="99"/>
  <c r="D41" i="80"/>
  <c r="G109" i="57"/>
  <c r="G129" i="57" s="1"/>
  <c r="G130" i="57"/>
  <c r="M14" i="99"/>
  <c r="G8" i="99"/>
  <c r="D19" i="80"/>
  <c r="C83" i="81"/>
  <c r="F83" i="81" s="1"/>
  <c r="F111" i="81"/>
  <c r="G83" i="81" s="1"/>
  <c r="M15" i="99"/>
  <c r="G9" i="99"/>
  <c r="F135" i="81"/>
  <c r="G79" i="81" s="1"/>
  <c r="C79" i="81"/>
  <c r="F79" i="81" s="1"/>
  <c r="F90" i="81" s="1"/>
  <c r="G30" i="99"/>
  <c r="M30" i="99" s="1"/>
  <c r="M36" i="99"/>
  <c r="J42" i="80"/>
  <c r="O9" i="80"/>
  <c r="O42" i="80" s="1"/>
  <c r="O48" i="80" s="1"/>
  <c r="D11" i="80"/>
  <c r="J17" i="80"/>
  <c r="O17" i="80" s="1"/>
  <c r="G28" i="99" l="1"/>
  <c r="M28" i="99" s="1"/>
  <c r="M34" i="99"/>
  <c r="G8" i="80"/>
  <c r="J14" i="80"/>
  <c r="O14" i="80" s="1"/>
  <c r="M13" i="99"/>
  <c r="G47" i="99"/>
  <c r="M47" i="99" s="1"/>
  <c r="G51" i="81"/>
  <c r="F67" i="81"/>
  <c r="F84" i="81"/>
  <c r="C134" i="81"/>
  <c r="G48" i="81"/>
  <c r="F64" i="81"/>
  <c r="M10" i="99"/>
  <c r="G44" i="99"/>
  <c r="M44" i="99" s="1"/>
  <c r="G45" i="99"/>
  <c r="M45" i="99" s="1"/>
  <c r="M11" i="99"/>
  <c r="G43" i="99"/>
  <c r="M43" i="99" s="1"/>
  <c r="M49" i="99" s="1"/>
  <c r="M9" i="99"/>
  <c r="J19" i="80"/>
  <c r="O19" i="80" s="1"/>
  <c r="D13" i="80"/>
  <c r="G31" i="99"/>
  <c r="M31" i="99" s="1"/>
  <c r="M37" i="99"/>
  <c r="D44" i="80"/>
  <c r="J11" i="80"/>
  <c r="G42" i="99"/>
  <c r="M42" i="99" s="1"/>
  <c r="M8" i="99"/>
  <c r="F136" i="81"/>
  <c r="G80" i="81" s="1"/>
  <c r="C80" i="81"/>
  <c r="F80" i="81" s="1"/>
  <c r="F87" i="81"/>
  <c r="C137" i="81"/>
  <c r="G41" i="80" l="1"/>
  <c r="J8" i="80"/>
  <c r="J13" i="80"/>
  <c r="D46" i="80"/>
  <c r="F134" i="81"/>
  <c r="G78" i="81" s="1"/>
  <c r="C78" i="81"/>
  <c r="F78" i="81" s="1"/>
  <c r="O11" i="80"/>
  <c r="O44" i="80" s="1"/>
  <c r="J44" i="80"/>
  <c r="F137" i="81"/>
  <c r="G81" i="81" s="1"/>
  <c r="C81" i="81"/>
  <c r="F81" i="81" s="1"/>
  <c r="J46" i="80" l="1"/>
  <c r="O13" i="80"/>
  <c r="O46" i="80" s="1"/>
  <c r="J41" i="80"/>
  <c r="O8" i="80"/>
  <c r="O41" i="80" s="1"/>
</calcChain>
</file>

<file path=xl/sharedStrings.xml><?xml version="1.0" encoding="utf-8"?>
<sst xmlns="http://schemas.openxmlformats.org/spreadsheetml/2006/main" count="2068" uniqueCount="1344">
  <si>
    <t>ezer Ft-ban</t>
  </si>
  <si>
    <t>II. Felújítások</t>
  </si>
  <si>
    <t xml:space="preserve">     1. Európai Uniós támogatásból megvalósuló felújítások</t>
  </si>
  <si>
    <t xml:space="preserve">    1. Többcélú kistérségi társulásnak és költségvetési szerveinek</t>
  </si>
  <si>
    <t xml:space="preserve">    1. Vállalkozásoknak</t>
  </si>
  <si>
    <t>I. Beruházások</t>
  </si>
  <si>
    <t>Működési célú bevételek összesen</t>
  </si>
  <si>
    <t>Költségvetési kiadások összesen</t>
  </si>
  <si>
    <t xml:space="preserve">I. Működési kiadások </t>
  </si>
  <si>
    <r>
      <t xml:space="preserve">      </t>
    </r>
    <r>
      <rPr>
        <sz val="10"/>
        <rFont val="Times New Roman"/>
        <family val="1"/>
        <charset val="238"/>
      </rPr>
      <t>1. Önkormányzat működési kiadásai</t>
    </r>
  </si>
  <si>
    <t>Működési célú kiadások összesen</t>
  </si>
  <si>
    <t>Felhalmozási célú bevételek összesen</t>
  </si>
  <si>
    <t>Felhalmozási célú kiadások összesen</t>
  </si>
  <si>
    <t>III.  Egyéb felhalmozási célú kiadások</t>
  </si>
  <si>
    <t>Működési célú támogatások, pénzeszközátadások</t>
  </si>
  <si>
    <t>I. Működési célú pénzeszközátadások</t>
  </si>
  <si>
    <t>II. Működési célú támogatások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</si>
  <si>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</si>
  <si>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</si>
  <si>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</si>
  <si>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</si>
  <si>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</si>
  <si>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</si>
  <si>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</si>
  <si>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</si>
  <si>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</si>
  <si>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3. Civil szervezeteknek </t>
  </si>
  <si>
    <t xml:space="preserve">Balatonföldvár Város Önkormányzatának 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</si>
  <si>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</si>
  <si>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</si>
  <si>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</si>
  <si>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</si>
  <si>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Működési kiadások összesen</t>
  </si>
  <si>
    <t xml:space="preserve">    Cafeteria</t>
  </si>
  <si>
    <t>Személyi jellegű kiadások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</si>
  <si>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</si>
  <si>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</si>
  <si>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</si>
  <si>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</si>
  <si>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</si>
  <si>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</si>
  <si>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</si>
  <si>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</si>
  <si>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</si>
  <si>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</si>
  <si>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Intézmények</t>
  </si>
  <si>
    <t>Bevételek / kiadások</t>
  </si>
  <si>
    <t>Összesen</t>
  </si>
  <si>
    <t>Önkormányzat 
mindösszesen</t>
  </si>
  <si>
    <t>Önkormányzati
 hivatal</t>
  </si>
  <si>
    <t>Finanszírozási bevételek</t>
  </si>
  <si>
    <t>Intézményfinanszírozás 
önkormányzati saját bevételből</t>
  </si>
  <si>
    <t xml:space="preserve">Bevételek összesen </t>
  </si>
  <si>
    <t xml:space="preserve">Intézményfinanszírozás </t>
  </si>
  <si>
    <t xml:space="preserve">Bevételek nettósítva összesen </t>
  </si>
  <si>
    <t>Kiadások összesen</t>
  </si>
  <si>
    <t>Kiadások nettósítva összesen</t>
  </si>
  <si>
    <t>Finanszírozási kiadások</t>
  </si>
  <si>
    <t xml:space="preserve">    Polgármester illetménye</t>
  </si>
  <si>
    <t xml:space="preserve">    Egyéb dologi kiadások</t>
  </si>
  <si>
    <t>Létszám (fő)</t>
  </si>
  <si>
    <t xml:space="preserve">    Közlekedési költségtérítés</t>
  </si>
  <si>
    <t xml:space="preserve">     Reprezentáció</t>
  </si>
  <si>
    <t>Működési célú bevételek</t>
  </si>
  <si>
    <t>Bevételek mindösszesen</t>
  </si>
  <si>
    <r>
      <t xml:space="preserve">                                              </t>
    </r>
    <r>
      <rPr>
        <b/>
        <i/>
        <u/>
        <sz val="12"/>
        <rFont val="Arial CE"/>
        <family val="2"/>
        <charset val="238"/>
      </rPr>
      <t xml:space="preserve">Balatonföldvár Város Önkormányzatának </t>
    </r>
  </si>
  <si>
    <r>
      <t xml:space="preserve">                                                      </t>
    </r>
    <r>
      <rPr>
        <b/>
        <i/>
        <u/>
        <sz val="12"/>
        <rFont val="Arial CE"/>
        <family val="2"/>
        <charset val="238"/>
      </rPr>
      <t>több éves kihatással járó feladatai</t>
    </r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</si>
  <si>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</si>
  <si>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</si>
  <si>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</si>
  <si>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</si>
  <si>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</si>
  <si>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</si>
  <si>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</si>
  <si>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</si>
  <si>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</si>
  <si>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</si>
  <si>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</si>
  <si>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</si>
  <si>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</si>
  <si>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</si>
  <si>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</si>
  <si>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</si>
  <si>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</si>
  <si>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</si>
  <si>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</si>
  <si>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</si>
  <si>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</si>
  <si>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</si>
  <si>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</si>
  <si>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</si>
  <si>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</si>
  <si>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 Tartalék felhasználása, tervezett
    maradvány</t>
  </si>
  <si>
    <t xml:space="preserve">   Kiadások összesen</t>
  </si>
  <si>
    <t>Havi egyenleg</t>
  </si>
  <si>
    <t>Göngyölített egyenleg</t>
  </si>
  <si>
    <t xml:space="preserve">        Fogorvosi alapellátás</t>
  </si>
  <si>
    <t>Balatonföldvár Város Önkormányzata</t>
  </si>
  <si>
    <t>III. Közvetett támogatások</t>
  </si>
  <si>
    <t>Ellátottak térítési díjának méltányossági alapon elengedett összege</t>
  </si>
  <si>
    <t>Lakosság részére lakásépítéshez, felújításhoz nyújtott kölcsön elengedése</t>
  </si>
  <si>
    <t>Építményadó mentesség helyi lakosok számára</t>
  </si>
  <si>
    <t>Építményadó törlés méltányosságból</t>
  </si>
  <si>
    <t>Idegenforgalmi adó kedvezmény elő- utószezonban</t>
  </si>
  <si>
    <t>Egyéb nyújtott kedvezmény vagy kölcsön elengedésének összege</t>
  </si>
  <si>
    <t>Intézmények 
összesen</t>
  </si>
  <si>
    <t xml:space="preserve">       Államigazgatási feladatok</t>
  </si>
  <si>
    <t>Munkaadót terhelő járulékok és szociális hozzájárulási adó</t>
  </si>
  <si>
    <t>III. Közhatalmi bevételek</t>
  </si>
  <si>
    <t>Telekadó mentesség, kedvezmény m2 alapján</t>
  </si>
  <si>
    <t>EU-s projekt, program megnevezése</t>
  </si>
  <si>
    <t>Projekt azonosító</t>
  </si>
  <si>
    <t>Igényelt támogatás összege</t>
  </si>
  <si>
    <t>Megítélt támogatás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</si>
  <si>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</si>
  <si>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</si>
  <si>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</si>
  <si>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</si>
  <si>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</si>
  <si>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Tám.-i intenzitás
%</t>
  </si>
  <si>
    <r>
      <t>Balatonföldvár Város</t>
    </r>
    <r>
      <rPr>
        <b/>
        <i/>
        <u/>
        <sz val="12"/>
        <rFont val="Arial CE"/>
        <family val="2"/>
        <charset val="238"/>
      </rPr>
      <t xml:space="preserve">Önkormányzatának </t>
    </r>
  </si>
  <si>
    <t xml:space="preserve">    Munkáltatót terhelő szja</t>
  </si>
  <si>
    <t>064010 Közvilágítás</t>
  </si>
  <si>
    <t>072112 Háziorvosi ügyeleti ellátás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</si>
  <si>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</si>
  <si>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</si>
  <si>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</si>
  <si>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</si>
  <si>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</si>
  <si>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</si>
  <si>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</si>
  <si>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</si>
  <si>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</si>
  <si>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</si>
  <si>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</si>
  <si>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</si>
  <si>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</si>
  <si>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</si>
  <si>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</si>
  <si>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</si>
  <si>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</si>
  <si>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</si>
  <si>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</si>
  <si>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</si>
  <si>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</si>
  <si>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</si>
  <si>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</si>
  <si>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</si>
  <si>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</si>
  <si>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</si>
  <si>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</si>
  <si>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</si>
  <si>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</si>
  <si>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</si>
  <si>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</si>
  <si>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</si>
  <si>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</si>
  <si>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</si>
  <si>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</si>
  <si>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</si>
  <si>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</si>
  <si>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</si>
  <si>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</si>
  <si>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</si>
  <si>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</si>
  <si>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</si>
  <si>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</si>
  <si>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</si>
  <si>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</si>
  <si>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</si>
  <si>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</si>
  <si>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</si>
  <si>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</si>
  <si>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</si>
  <si>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</si>
  <si>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</si>
  <si>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</si>
  <si>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</si>
  <si>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</si>
  <si>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</si>
  <si>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</si>
  <si>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</si>
  <si>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</si>
  <si>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</si>
  <si>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</si>
  <si>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</si>
  <si>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</si>
  <si>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</si>
  <si>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</si>
  <si>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</si>
  <si>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</si>
  <si>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</si>
  <si>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</si>
  <si>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</si>
  <si>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</si>
  <si>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</si>
  <si>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</si>
  <si>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r>
      <t xml:space="preserve">B8
</t>
    </r>
    <r>
      <rPr>
        <sz val="6"/>
        <rFont val="Times New Roman"/>
        <family val="1"/>
        <charset val="238"/>
      </rPr>
      <t>(B81-B83)</t>
    </r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</si>
  <si>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</si>
  <si>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</si>
  <si>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</si>
  <si>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</si>
  <si>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</si>
  <si>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</si>
  <si>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</si>
  <si>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</si>
  <si>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</si>
  <si>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</si>
  <si>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</si>
  <si>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</si>
  <si>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</si>
  <si>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</si>
  <si>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</si>
  <si>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 xml:space="preserve">      3. Működési célú tartalék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</si>
  <si>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</si>
  <si>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</si>
  <si>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</si>
  <si>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</si>
  <si>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</si>
  <si>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</si>
  <si>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</si>
  <si>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</si>
  <si>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</si>
  <si>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</si>
  <si>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</si>
  <si>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</si>
  <si>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</si>
  <si>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</si>
  <si>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</si>
  <si>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</si>
  <si>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</si>
  <si>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</si>
  <si>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</si>
  <si>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</si>
  <si>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</si>
  <si>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</si>
  <si>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</si>
  <si>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</si>
  <si>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</si>
  <si>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2. Szolgáltatások ellenértéke</t>
  </si>
  <si>
    <t xml:space="preserve">      3. Közvetített szolgáltatások ellenértéke</t>
  </si>
  <si>
    <t xml:space="preserve">      4. Tulajdonosi bevételek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</si>
  <si>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</si>
  <si>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</si>
  <si>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</si>
  <si>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8. Kamatbevételek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</si>
  <si>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</si>
  <si>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</si>
  <si>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</si>
  <si>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</si>
  <si>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 xml:space="preserve">      3. Egyéb működési célú átvett pénzeszközök</t>
  </si>
  <si>
    <t>I. Személyi juttatások</t>
  </si>
  <si>
    <t>II. Munkaadót terhelő járulékok és szociális hozzájárulási adó</t>
  </si>
  <si>
    <t>III. Dologi kiadások</t>
  </si>
  <si>
    <t xml:space="preserve">        2.1. Működési célú hitel</t>
  </si>
  <si>
    <t xml:space="preserve">        2.2. Felhalmozási célú hitel</t>
  </si>
  <si>
    <t>I. Felhalmozási célú támogatások államháztartáson belülről</t>
  </si>
  <si>
    <t>II. Felhalmozási bevételek</t>
  </si>
  <si>
    <t xml:space="preserve">      4. Részesedések értékesítése</t>
  </si>
  <si>
    <t xml:space="preserve">      5. Részesedések megszűnéséhez kapcsolódó bevételek</t>
  </si>
  <si>
    <t>K6</t>
  </si>
  <si>
    <t xml:space="preserve">    1. Költségvetési hiány belső finanszírozására szolgáló eszközök</t>
  </si>
  <si>
    <t xml:space="preserve">    2. Költségvetési hiány külső finanszírozására szolgáló eszközök</t>
  </si>
  <si>
    <t>5. melléklet</t>
  </si>
  <si>
    <t>6. melléklet</t>
  </si>
  <si>
    <t>7. melléklet</t>
  </si>
  <si>
    <t>Kiküldetések, reklám- és propagandakiadások</t>
  </si>
  <si>
    <t>Különféle befizetések és egyéb dologi kiadások</t>
  </si>
  <si>
    <t>K 31</t>
  </si>
  <si>
    <t>K 311</t>
  </si>
  <si>
    <t>K 312</t>
  </si>
  <si>
    <t>K 32</t>
  </si>
  <si>
    <t>K 321</t>
  </si>
  <si>
    <t>K 322</t>
  </si>
  <si>
    <t>K 33</t>
  </si>
  <si>
    <t>K 331</t>
  </si>
  <si>
    <t>K 333</t>
  </si>
  <si>
    <t>K 334</t>
  </si>
  <si>
    <t>K 335</t>
  </si>
  <si>
    <t>K 336</t>
  </si>
  <si>
    <t>K 337</t>
  </si>
  <si>
    <t>K 34</t>
  </si>
  <si>
    <t>K 341</t>
  </si>
  <si>
    <t>K 342</t>
  </si>
  <si>
    <t>K 35</t>
  </si>
  <si>
    <t>K 351</t>
  </si>
  <si>
    <t>K 352</t>
  </si>
  <si>
    <t>K 353</t>
  </si>
  <si>
    <t>K 354</t>
  </si>
  <si>
    <t>K 355</t>
  </si>
  <si>
    <t>Készletbeszerzés</t>
  </si>
  <si>
    <t xml:space="preserve">     Üzemeltetési anyagok</t>
  </si>
  <si>
    <t>Kommunikációs szolgáltatások</t>
  </si>
  <si>
    <t xml:space="preserve">      Informatikai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</si>
  <si>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</si>
  <si>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</si>
  <si>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</si>
  <si>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</si>
  <si>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</si>
  <si>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</si>
  <si>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</si>
  <si>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</si>
  <si>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</si>
  <si>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</si>
  <si>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</si>
  <si>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</si>
  <si>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</si>
  <si>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</si>
  <si>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</si>
  <si>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</si>
  <si>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</si>
  <si>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</si>
  <si>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Festékpatron</t>
  </si>
  <si>
    <t xml:space="preserve">        Hajtó- és kenőanyagok</t>
  </si>
  <si>
    <t xml:space="preserve">        Tisztítószer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</si>
  <si>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</si>
  <si>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 xml:space="preserve">        Postköltség</t>
  </si>
  <si>
    <t xml:space="preserve">        Könyvvizsgálat</t>
  </si>
  <si>
    <t xml:space="preserve">        Főépítészi szolgáltatás</t>
  </si>
  <si>
    <t xml:space="preserve">     Reklám- és propagandakiadások </t>
  </si>
  <si>
    <t xml:space="preserve">        Betegszállítás</t>
  </si>
  <si>
    <t>áfa</t>
  </si>
  <si>
    <t xml:space="preserve">        Szemétszállítás</t>
  </si>
  <si>
    <t xml:space="preserve">        Különféle adók, díjak, adójellegű befizetések, hozzájárulások</t>
  </si>
  <si>
    <t>013350 Önk.-i vagyonnal való gazdálkodással kapcs. fel.</t>
  </si>
  <si>
    <t>(önkormányzat)</t>
  </si>
  <si>
    <t>K 332</t>
  </si>
  <si>
    <t xml:space="preserve">     Vásárolt élelmezés</t>
  </si>
  <si>
    <t xml:space="preserve">        Munkaruha</t>
  </si>
  <si>
    <t xml:space="preserve">K5 </t>
  </si>
  <si>
    <t xml:space="preserve">K6 </t>
  </si>
  <si>
    <t xml:space="preserve">        Foglalkozás- egészségügyi alapellátás</t>
  </si>
  <si>
    <t xml:space="preserve">        Továbbképzés, oktatás</t>
  </si>
  <si>
    <t>011220 Adó-, vám- és jövedéki igazgatás</t>
  </si>
  <si>
    <t xml:space="preserve">        Fénymásoló üzemeltetés</t>
  </si>
  <si>
    <t xml:space="preserve">        Jogi szolgáltatás</t>
  </si>
  <si>
    <t xml:space="preserve">          Oracle licence</t>
  </si>
  <si>
    <t xml:space="preserve">         Telefonközpont szolgáltatás</t>
  </si>
  <si>
    <t xml:space="preserve">         Telefonközpont eseti díj</t>
  </si>
  <si>
    <t>082044 Könyvtári szolgáltatások</t>
  </si>
  <si>
    <r>
      <t xml:space="preserve">     Szakmai anyagok beszerzése </t>
    </r>
    <r>
      <rPr>
        <sz val="8"/>
        <rFont val="Times New Roman"/>
        <family val="1"/>
        <charset val="238"/>
      </rPr>
      <t>(könyv, folyóirat, napilap, egyéb)</t>
    </r>
  </si>
  <si>
    <t xml:space="preserve">      1. Hazai forrásból származó bevételek</t>
  </si>
  <si>
    <t xml:space="preserve">      2. Európai Uniós forrásból származó bevételek</t>
  </si>
  <si>
    <t xml:space="preserve">      3. Egyéb közhatalmi bevételek (igazgatási szolgáltatási díj, bírságok)</t>
  </si>
  <si>
    <t xml:space="preserve">        Szirén program követése</t>
  </si>
  <si>
    <t xml:space="preserve">        Belső ellenőr</t>
  </si>
  <si>
    <t xml:space="preserve">               Óvodai nevelés 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</si>
  <si>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</si>
  <si>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    Nyomtatvány, papír, irodaszer</t>
  </si>
  <si>
    <r>
      <t xml:space="preserve">     Bérleti és lízingdíjak </t>
    </r>
    <r>
      <rPr>
        <sz val="8"/>
        <rFont val="Times New Roman"/>
        <family val="1"/>
        <charset val="238"/>
      </rPr>
      <t>(Safe bérlet)</t>
    </r>
  </si>
  <si>
    <t xml:space="preserve">    Alkalmazottak illetménye </t>
  </si>
  <si>
    <t xml:space="preserve">V. Egyéb működési célú kiadások </t>
  </si>
  <si>
    <t xml:space="preserve">    2. Működési célú tartalék</t>
  </si>
  <si>
    <t>egyenleg</t>
  </si>
  <si>
    <t>Össz.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</si>
  <si>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</si>
  <si>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</si>
  <si>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</si>
  <si>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    Városi ünnepségek reprezentációja</t>
  </si>
  <si>
    <t xml:space="preserve">        Postaköltség</t>
  </si>
  <si>
    <t xml:space="preserve">A. K ö l t s é g v e t é s i   b e v é t e l e k </t>
  </si>
  <si>
    <t xml:space="preserve">B. F i n a n s z í r o z á s i   b e v é t e l e k </t>
  </si>
  <si>
    <t xml:space="preserve">A. K ö l t s é g v e t é s i   k i a d á s o k </t>
  </si>
  <si>
    <t xml:space="preserve">   1. Önkormányzati beruházások</t>
  </si>
  <si>
    <t xml:space="preserve">     2. Hazai támogatásból, saját forrásból megvalósuló felújítások</t>
  </si>
  <si>
    <t xml:space="preserve">B. F i n a n s z í r o z á s i   k i a d á s o k </t>
  </si>
  <si>
    <t xml:space="preserve">      1.2. Hazai támogatásból, saját forrásból megvalósítandó beruházások</t>
  </si>
  <si>
    <t xml:space="preserve">      1.1. Európai Uniós támogatásból megvalósuló beruházások</t>
  </si>
  <si>
    <t xml:space="preserve">         3.1. Felhalmozási célú pénzeszköz átadás</t>
  </si>
  <si>
    <r>
      <t xml:space="preserve">     </t>
    </r>
    <r>
      <rPr>
        <i/>
        <sz val="10"/>
        <rFont val="Times New Roman"/>
        <family val="1"/>
        <charset val="238"/>
      </rPr>
      <t xml:space="preserve">    3.2. Felhalmozási célú tartalék (céltartalék)</t>
    </r>
  </si>
  <si>
    <t xml:space="preserve">A. K ö l t s é g v e t é s i  b e v é t e l e k </t>
  </si>
  <si>
    <t xml:space="preserve">A. K ö l t s é g v e t é s i  k i a d á s o k </t>
  </si>
  <si>
    <t xml:space="preserve">B. F i n a n s z í r o z á s i  b e v é t e l e k </t>
  </si>
  <si>
    <t>B. F i n a n s z í r o z á s i  k i a d á s o k</t>
  </si>
  <si>
    <t>K1-8</t>
  </si>
  <si>
    <t>B1-7</t>
  </si>
  <si>
    <t>K8</t>
  </si>
  <si>
    <t>K7</t>
  </si>
  <si>
    <t>Felhalmozási kiadások
 (beruházás, felújítás, felh. pénzeszk. átadás)</t>
  </si>
  <si>
    <t>Tartalék (működés + felhalmozás)</t>
  </si>
  <si>
    <t>8. melléklet</t>
  </si>
  <si>
    <t>Adósságot keletkeztető ügyletnél figyelembe veendő bevételek (Stabilitási tv. 45.§ (1) a., 10.§ (5) bek. szerint)</t>
  </si>
  <si>
    <t>12. melléklet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</si>
  <si>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</si>
  <si>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</si>
  <si>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</si>
  <si>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</si>
  <si>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2018. évi eredeti előirányzat</t>
  </si>
  <si>
    <t>Önerő</t>
  </si>
  <si>
    <t>Projekt megvalósítás költsége mindösszesen</t>
  </si>
  <si>
    <t>Működési célú bevételek/közhatalmi bevételek</t>
  </si>
  <si>
    <t>Felhalmozási bevételek, átvett pénzeszközök</t>
  </si>
  <si>
    <t>Működési célú tartalék</t>
  </si>
  <si>
    <t>Várható/figyelembe vehető saját bevételek</t>
  </si>
  <si>
    <t>Többéves kihatással járó feladatok</t>
  </si>
  <si>
    <t>Felhalmozási célú bevételek</t>
  </si>
  <si>
    <t>Bevételek összesen</t>
  </si>
  <si>
    <t>Önkormányzati bevételek - kiadások</t>
  </si>
  <si>
    <t>Felhalmozási bevételek összesen</t>
  </si>
  <si>
    <t>Működési bevételek összesen</t>
  </si>
  <si>
    <t>Felhalmozási  kiadások összesen</t>
  </si>
  <si>
    <t xml:space="preserve">  1. Belföldi finanszírozás kiadásai</t>
  </si>
  <si>
    <t xml:space="preserve">      1.2. Felhalmozási célú hitel-, kölcsöntörlesztés</t>
  </si>
  <si>
    <t xml:space="preserve">  2. Külföldi finanszírozás kiadásai</t>
  </si>
  <si>
    <t xml:space="preserve">  3. Adóssághoz nem kapcsolódó származékos ügyletek kiadásai</t>
  </si>
  <si>
    <t>Önkormány
zati önerő
 %</t>
  </si>
  <si>
    <r>
      <t xml:space="preserve">     2. Intézményi beruházások</t>
    </r>
    <r>
      <rPr>
        <sz val="10"/>
        <rFont val="Times New Roman"/>
        <family val="1"/>
        <charset val="238"/>
      </rPr>
      <t xml:space="preserve"> </t>
    </r>
  </si>
  <si>
    <t>B411</t>
  </si>
  <si>
    <t>K914</t>
  </si>
  <si>
    <t>Felh. célú támogatások áht-n belülről</t>
  </si>
  <si>
    <t xml:space="preserve">    2. Háztartásoknak </t>
  </si>
  <si>
    <t xml:space="preserve">III. Felhalmozási célú átvett pénzeszközök </t>
  </si>
  <si>
    <t>ÁHB megelőlegezések visszafizetése</t>
  </si>
  <si>
    <t xml:space="preserve">     10. Biztosító által fizetett kártérítés</t>
  </si>
  <si>
    <t>B65</t>
  </si>
  <si>
    <t xml:space="preserve">    Egészségügyi hozzájárulás</t>
  </si>
  <si>
    <t xml:space="preserve">Balatonföldvár Város Önkormányzata </t>
  </si>
  <si>
    <t xml:space="preserve">      7.1. Felhalmozási célú visszatérítendő támogatások, kölcsönök visszatérülése ÁH-n kívülről</t>
  </si>
  <si>
    <t>nettó</t>
  </si>
  <si>
    <t>Bajor Gizi K. H. - konyha és pince felújítása - közbeszerzés</t>
  </si>
  <si>
    <t>Bajor Gizi K. H. - konyha és pince felújítása - műszaki ellenőrzés</t>
  </si>
  <si>
    <t xml:space="preserve">        Egyéb pénzügyi műveletek kiadásai (bankköltség)</t>
  </si>
  <si>
    <t xml:space="preserve">     Bajor Gizi Közösségi Ház karbantartás (hőszivattyú)</t>
  </si>
  <si>
    <t xml:space="preserve">       1.1. Önkormányzat által igényelt állami támogatás továbbadása Többcélú Társulásnak</t>
  </si>
  <si>
    <t>(Balatonföldvári Közös Önkormányzati Hivatal)</t>
  </si>
  <si>
    <t xml:space="preserve">        Fizikoterápiás szolgáltatás </t>
  </si>
  <si>
    <t xml:space="preserve">      1. Immateriális javak értékesítése </t>
  </si>
  <si>
    <t>Beruházások, felújítások, egyéb felh. kiadások</t>
  </si>
  <si>
    <t>Egyéb működési célú kiadások (támogatások, átadások)</t>
  </si>
  <si>
    <t xml:space="preserve">        ÁHB megelőlegezések visszafizetése</t>
  </si>
  <si>
    <t>Saját bevétel</t>
  </si>
  <si>
    <t xml:space="preserve">IV. Felhalmozási célú tartalék </t>
  </si>
  <si>
    <t xml:space="preserve">     Önkormányzat</t>
  </si>
  <si>
    <t xml:space="preserve">      Önkormányzat</t>
  </si>
  <si>
    <t xml:space="preserve">               Szennyvíztársulás működési hozzájárulás</t>
  </si>
  <si>
    <r>
      <t xml:space="preserve">       1.2. Pénzeszközátadás társulásban közösen ellátott feladatokra
               </t>
    </r>
    <r>
      <rPr>
        <sz val="10"/>
        <rFont val="Times New Roman"/>
        <family val="1"/>
        <charset val="238"/>
      </rPr>
      <t>(TKT felosztás külön táblán bemutatva)</t>
    </r>
  </si>
  <si>
    <t>intézményfinanszírozás</t>
  </si>
  <si>
    <t>Működési célú átvett pénzeszközök</t>
  </si>
  <si>
    <t>Működési bevételek</t>
  </si>
  <si>
    <t>közfoglalkoztatottak létszáma</t>
  </si>
  <si>
    <t>önkormányzati bevételek nettósítva</t>
  </si>
  <si>
    <t>önkormányzati kiadások nettósítva</t>
  </si>
  <si>
    <t>ezer Ft</t>
  </si>
  <si>
    <t>Mind
összesen</t>
  </si>
  <si>
    <t>Mindösszesen</t>
  </si>
  <si>
    <t xml:space="preserve">                 Működési célú maradvány</t>
  </si>
  <si>
    <t xml:space="preserve">                 Felhalmozási célú maradvány</t>
  </si>
  <si>
    <t>Működési célú maradvány</t>
  </si>
  <si>
    <t>Intézmény
finanszírozás</t>
  </si>
  <si>
    <t>Belföldi finanszírozás
kiadásai</t>
  </si>
  <si>
    <t>Felhalmozási célú
maradvány</t>
  </si>
  <si>
    <t xml:space="preserve">         1.1. Előző évi felhalmozási célú maradvány igénybevétele</t>
  </si>
  <si>
    <t>Előző évi maradvány</t>
  </si>
  <si>
    <t xml:space="preserve">   Előző évi maradvány</t>
  </si>
  <si>
    <t xml:space="preserve">   2. Költségvetési hiány külső finanszírozására szolgáló eszközök</t>
  </si>
  <si>
    <t xml:space="preserve">            Intézményfinanszírozás módosítása Művelődési ház időarányos állami támogatása miatt</t>
  </si>
  <si>
    <t xml:space="preserve">   1. Belföldi finanszírozás bevételei</t>
  </si>
  <si>
    <t xml:space="preserve">        1.1. Előző év költségvetési maradványának igénybevétele</t>
  </si>
  <si>
    <t>Ellátottak 
pénzbeli juttatásai</t>
  </si>
  <si>
    <t xml:space="preserve">        Tisztítószer </t>
  </si>
  <si>
    <t xml:space="preserve">        Nyomtatvány, irodaszer </t>
  </si>
  <si>
    <t xml:space="preserve">III. A helyi önkormányzatok előző évi elszámolásából származó kiadások </t>
  </si>
  <si>
    <t>Egyéb működési célú kiadások mindösszesen (I+II+III)</t>
  </si>
  <si>
    <t>Munkaadót terhelő jár., szoc. hozzájárulási adó</t>
  </si>
  <si>
    <t xml:space="preserve">              DRV Zrt. lakossági víz és csatornaszolgáltatás támogatás továbbutalása</t>
  </si>
  <si>
    <t xml:space="preserve">     11. Egyéb működési bevételek </t>
  </si>
  <si>
    <t>IV. Ellátottak pénzbeli juttatásai</t>
  </si>
  <si>
    <t>Ellátottak pénzbeli juttatásai</t>
  </si>
  <si>
    <t xml:space="preserve">     Közlekedési költségtérítés (munkábajárás)</t>
  </si>
  <si>
    <t xml:space="preserve">        Bankköltség</t>
  </si>
  <si>
    <t xml:space="preserve">        Házi segítségnyújtás</t>
  </si>
  <si>
    <t xml:space="preserve">        Földvár TV (Elek Dezső)</t>
  </si>
  <si>
    <t xml:space="preserve">   Finanszírozási kiadások</t>
  </si>
  <si>
    <t xml:space="preserve">        Informatikai kellékek (pl. festékpatron)</t>
  </si>
  <si>
    <r>
      <t xml:space="preserve">      1. Vagyoni típusú adók                 </t>
    </r>
    <r>
      <rPr>
        <sz val="8"/>
        <rFont val="Times New Roman"/>
        <family val="1"/>
        <charset val="238"/>
      </rPr>
      <t xml:space="preserve"> </t>
    </r>
  </si>
  <si>
    <t xml:space="preserve">          1.1. Építményadó                                       </t>
  </si>
  <si>
    <t xml:space="preserve">          2.2. Gépjárműadó (40%)</t>
  </si>
  <si>
    <t xml:space="preserve">      Intézmény  (KÖH)</t>
  </si>
  <si>
    <t xml:space="preserve">      Intézmény (KÖH)</t>
  </si>
  <si>
    <t xml:space="preserve">     Intézmény (KÖH)</t>
  </si>
  <si>
    <t xml:space="preserve">      3. Egyéb tárgyi eszközök értékesítése </t>
  </si>
  <si>
    <t xml:space="preserve">               Gyermekétkeztetési feladatok támogatása</t>
  </si>
  <si>
    <t xml:space="preserve">               Család és gyermekjóléti feladatok, házi segítségnyújtás támogatása </t>
  </si>
  <si>
    <t xml:space="preserve">    Reprezentációs kiadás (egyéb)</t>
  </si>
  <si>
    <t xml:space="preserve">        Biztosítás (kötelező, casco: NXG-772 Dacia Duster)</t>
  </si>
  <si>
    <t xml:space="preserve">        Autópálya matrica (NXG-772 Dacia Duster)</t>
  </si>
  <si>
    <t xml:space="preserve">     IFA ellenőrök megbízási díja</t>
  </si>
  <si>
    <t xml:space="preserve">     Cafeteria</t>
  </si>
  <si>
    <t xml:space="preserve">        Egyéb</t>
  </si>
  <si>
    <t xml:space="preserve">           Telefonközpont</t>
  </si>
  <si>
    <t xml:space="preserve">           Fénymásolók</t>
  </si>
  <si>
    <t xml:space="preserve">           Egyéb eszközök javítása, karbantartása</t>
  </si>
  <si>
    <t xml:space="preserve">              Illemhely építése (posta melletti terület)</t>
  </si>
  <si>
    <t xml:space="preserve">      2. Önkormányzati intézmények működési kiadásai (hivatal)</t>
  </si>
  <si>
    <r>
      <t xml:space="preserve">              TV stúdió eszközbeszerzés </t>
    </r>
    <r>
      <rPr>
        <sz val="8"/>
        <rFont val="Times New Roman"/>
        <family val="1"/>
        <charset val="238"/>
      </rPr>
      <t>(2 db digitális kamera, keverőpult, 4 db stúdiómikrofon)</t>
    </r>
  </si>
  <si>
    <t xml:space="preserve">        Kézműves, gyermekfoglalkozások, könyvbemutatók</t>
  </si>
  <si>
    <t xml:space="preserve">        Foglalkozás eü alapellátás</t>
  </si>
  <si>
    <t xml:space="preserve">    Költségtérítés (polgármester, alpolgármesterek)</t>
  </si>
  <si>
    <t xml:space="preserve">    Képviselői, alpolgármesteri, bizottsági tagi tiszteletdíjak</t>
  </si>
  <si>
    <t xml:space="preserve">               Pénzügyi Gondnokság konyha működtetés, karbantartás (intézményi étkeztetés)</t>
  </si>
  <si>
    <t xml:space="preserve">                     Kilátó</t>
  </si>
  <si>
    <t xml:space="preserve">                                Működési támogatás</t>
  </si>
  <si>
    <t xml:space="preserve">                                 Állami támogatás továbbadása</t>
  </si>
  <si>
    <t xml:space="preserve">                                 Működési támogatás</t>
  </si>
  <si>
    <t>Működési és felhalmozási célú tartalék</t>
  </si>
  <si>
    <t>13. melléklet</t>
  </si>
  <si>
    <t>Feladat
finanszírozás
(intézményi)</t>
  </si>
  <si>
    <t>Egyéb átvett pénzeszköz</t>
  </si>
  <si>
    <t>Finanszírozási bevétel 
(intézményi)</t>
  </si>
  <si>
    <t xml:space="preserve">    Felh. célú támogatások áh-n belülről</t>
  </si>
  <si>
    <t xml:space="preserve">   Felhalmozási célú átvett pénzeszközök</t>
  </si>
  <si>
    <t xml:space="preserve">    Működési célú támogatások áht-n belülről</t>
  </si>
  <si>
    <t>Felhalmozási célú hitel</t>
  </si>
  <si>
    <t>107051 Szociális étkeztetés</t>
  </si>
  <si>
    <t xml:space="preserve">Beruházásokhoz, felújításokhoz kapcsolódó, </t>
  </si>
  <si>
    <t>Hitel felvétel</t>
  </si>
  <si>
    <t>ezerFt</t>
  </si>
  <si>
    <t xml:space="preserve">    Készenléti, ügyeleti, helyettesítési díj, túlóra</t>
  </si>
  <si>
    <t xml:space="preserve">Ellátottak pénzbeli juttatásai </t>
  </si>
  <si>
    <t xml:space="preserve">Balatonföldvár "Zöld város program" </t>
  </si>
  <si>
    <t xml:space="preserve">TOP-2.1.2-15-SO1-2016-00002  </t>
  </si>
  <si>
    <t>100</t>
  </si>
  <si>
    <t>B75</t>
  </si>
  <si>
    <t xml:space="preserve">        Biztosítások  (vagyon, jogvédelem, felelősségbizt.)</t>
  </si>
  <si>
    <r>
      <t xml:space="preserve">             Előadó és Alkotóművészetért Alapítvány</t>
    </r>
    <r>
      <rPr>
        <sz val="8"/>
        <rFont val="Times New Roman"/>
        <family val="1"/>
        <charset val="238"/>
      </rPr>
      <t xml:space="preserve"> (állami támogatás továbbadása közszolg. szerz. szerint)</t>
    </r>
  </si>
  <si>
    <t xml:space="preserve">              Laboratóriumi szolg.működési ktg.támogatás (82/2017.(IV.11.))</t>
  </si>
  <si>
    <t xml:space="preserve">               DBRHÖT működési hozzájárulás</t>
  </si>
  <si>
    <t xml:space="preserve">               Munka- és tűzvédelmi Társulás tagdíj</t>
  </si>
  <si>
    <t>Beszámoló előtti ei.mód.</t>
  </si>
  <si>
    <t xml:space="preserve">        1.2. ÁHB megelőlegezések bevétele</t>
  </si>
  <si>
    <t>14. melléklet</t>
  </si>
  <si>
    <t>Maradványkimutatás</t>
  </si>
  <si>
    <t>Közös Hivatal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</si>
  <si>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</si>
  <si>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</si>
  <si>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</si>
  <si>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</si>
  <si>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</si>
  <si>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</si>
  <si>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</si>
  <si>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</si>
  <si>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</si>
  <si>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</si>
  <si>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</si>
  <si>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</si>
  <si>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</si>
  <si>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</si>
  <si>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C)        Összes maradvány (=A+B)</t>
  </si>
  <si>
    <t>09</t>
  </si>
  <si>
    <t>D)        Alaptevékenység kötelezettségvállalással terhelt maradványa</t>
  </si>
  <si>
    <t>E)        Alaptevékenység szabad maradványa (=A-D)</t>
  </si>
  <si>
    <t>15. melléklet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</si>
  <si>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</si>
  <si>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</si>
  <si>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</si>
  <si>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</si>
  <si>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</si>
  <si>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</si>
  <si>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</si>
  <si>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</si>
  <si>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</si>
  <si>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</si>
  <si>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A/II Tárgyi eszközök  (=A/II/1+...+A/II/5)</t>
  </si>
  <si>
    <t>11</t>
  </si>
  <si>
    <t>A/III/1 Tartós részesedések (=A/III/1a+…+A/III/1e)</t>
  </si>
  <si>
    <t>13</t>
  </si>
  <si>
    <t>A/III/1b - ebből: tartós részesedések nem pénzügyi vállalkozásban</t>
  </si>
  <si>
    <t>16</t>
  </si>
  <si>
    <t>A/III/1e - ebből: egyéb tartós részesedések</t>
  </si>
  <si>
    <t>A/III/2 Tartós hitelviszonyt megtestesítő értékpapírok</t>
  </si>
  <si>
    <t>A/III Befektetett pénzügyi eszközök (=A/III/1+A/III/2+A/III/3)</t>
  </si>
  <si>
    <t>A) NEMZETI VAGYONBA TARTOZÓ BEFEKTETETT ESZKÖZÖK (=A/I+A/II+A/III+A/IV)</t>
  </si>
  <si>
    <t>B/I/1 Vásárolt készletek</t>
  </si>
  <si>
    <t>B) NEMZETI VAGYONBA TARTOZÓ FORGÓESZKÖZÖK (= B/I+B/II)</t>
  </si>
  <si>
    <t>C/I/1 Éven túli lejáratú forint lekötött bankbetétek</t>
  </si>
  <si>
    <t>C/I Lekötött bankbetétek (=C/I/1+…+C/I/2)</t>
  </si>
  <si>
    <t>C/II/1 Forintpénztár</t>
  </si>
  <si>
    <t>C/II Pénztárak, csekkek, betétkönyvek (=C/II/1+C/II/2+C/II/3)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</si>
  <si>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</si>
  <si>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</si>
  <si>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</si>
  <si>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</si>
  <si>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</si>
  <si>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</si>
  <si>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</si>
  <si>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</si>
  <si>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D/I/4d - ebből: költségvetési évben esedékes követelések kiszámlázott általános forgalmi adóra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</si>
  <si>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</si>
  <si>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</si>
  <si>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D/I/5b - ebből: költségvetési évben esedékes követelések ingatlanok értékesítésére</t>
  </si>
  <si>
    <t>D/I Költségvetési évben esedékes követelések (=D/I/1+…+D/I/8)</t>
  </si>
  <si>
    <t>D/II/5 Költségvetési évet követően esedékes követelések felhalmozási bevételre (=D/II/5a+…+D/II/5e)</t>
  </si>
  <si>
    <t>D/II/5b - ebből: költségvetési évet követően esedékes követelések ingatlanok értékesítésére</t>
  </si>
  <si>
    <t>D/II Költségvetési évet követően esedékes követelések (=D/II/1+…+D/II/8)</t>
  </si>
  <si>
    <t>D/III/1 Adott előlegek (=D/III/1a+…+D/III/1f)</t>
  </si>
  <si>
    <t xml:space="preserve">D/III/1e - ebből: foglalkoztatottaknak adott előlegek 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</si>
  <si>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</si>
  <si>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</si>
  <si>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</si>
  <si>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</si>
  <si>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</si>
  <si>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</si>
  <si>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</si>
  <si>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</si>
  <si>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</si>
  <si>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</si>
  <si>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F/1  Eredményszemléletű bevételek aktív időbeli elhatárolása</t>
  </si>
  <si>
    <t>F/2  Költségek, ráfordítások aktív időbeli elhatárolása</t>
  </si>
  <si>
    <t>F) AKTÍV IDŐBELI  ELHATÁROLÁSOK  (=F/1+F/2+F/3)</t>
  </si>
  <si>
    <t>ESZKÖZÖK ÖSSZESEN (=A+B+C+D+E+F)</t>
  </si>
  <si>
    <t>G/III/3 Pénzeszközön kívüli egyéb eszközök induláskori értéke és változásai</t>
  </si>
  <si>
    <t>G/IV Felhalmozott eredmény</t>
  </si>
  <si>
    <t>G/VI Mérleg szerinti eredmény</t>
  </si>
  <si>
    <t>G/ SAJÁT TŐKE  (= G/I+…+G/VI)</t>
  </si>
  <si>
    <t>H/I/9 Költségvetési évben esedékes kötelezettségek finanszírozási kiadásokra (&gt;=H/I/9a+…+H/I/9l)</t>
  </si>
  <si>
    <t>H/I Költségvetési évben esedékes kötelezettségek (=H/I/1+…+H/I/9)</t>
  </si>
  <si>
    <t>H/II/9 Költségvetési évet követően esedékes kötelezettségek finanszírozási kiadásokra (&gt;=H/II/9a+…+H/II/9i)</t>
  </si>
  <si>
    <t>H/II Költségvetési évet követően esedékes kötelezettségek (=H/II/1+…+H/II/9)</t>
  </si>
  <si>
    <t>H/III/1c - ebből: egyéb túlfizetések, téves és visszajáró befizetések, egyéb kapott előlegek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</si>
  <si>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</si>
  <si>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</si>
  <si>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</si>
  <si>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</si>
  <si>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</si>
  <si>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</si>
  <si>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16. melléklet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</si>
  <si>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</si>
  <si>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</si>
  <si>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</si>
  <si>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</si>
  <si>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</si>
  <si>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</si>
  <si>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</si>
  <si>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</si>
  <si>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</si>
  <si>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</si>
  <si>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</si>
  <si>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</si>
  <si>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</si>
  <si>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</si>
  <si>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</si>
  <si>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</si>
  <si>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</si>
  <si>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</si>
  <si>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</si>
  <si>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</si>
  <si>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</si>
  <si>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20 Egyéb kapott (járó) kamatok és kamatjellegű eredményszemléletű bevételek</t>
  </si>
  <si>
    <t>21 Pénzügyi műveletek egyéb eredményszemléletű bevételei</t>
  </si>
  <si>
    <t>VIII Pénzügyi műveletek eredményszemléletű bevételei (=17+18+19+20+21)</t>
  </si>
  <si>
    <t>24 Fizetendő kamatok és kamatjellegű ráfordítások</t>
  </si>
  <si>
    <t xml:space="preserve">26 Pénzügyi műveletek egyéb ráfordításai </t>
  </si>
  <si>
    <t>IX Pénzügyi műveletek ráfordításai (=22+23+24+25+26)</t>
  </si>
  <si>
    <t>B)  PÉNZÜGYI MŰVELETEK EREDMÉNYE (=VIII-IX)</t>
  </si>
  <si>
    <t>C)  MÉRLEG SZERINTI EREDMÉNY (=±A±B)</t>
  </si>
  <si>
    <t>17. melléklet</t>
  </si>
  <si>
    <r>
      <t xml:space="preserve"> </t>
    </r>
    <r>
      <rPr>
        <b/>
        <sz val="10"/>
        <rFont val="Times New Roman"/>
        <family val="1"/>
        <charset val="238"/>
      </rPr>
      <t xml:space="preserve"> ESZKÖZÖK                                                                                     </t>
    </r>
    <r>
      <rPr>
        <i/>
        <sz val="10"/>
        <rFont val="Times New Roman"/>
        <family val="1"/>
        <charset val="238"/>
      </rPr>
      <t xml:space="preserve"> </t>
    </r>
  </si>
  <si>
    <t>Nettó érték</t>
  </si>
  <si>
    <t>Bruttó érték</t>
  </si>
  <si>
    <t>A</t>
  </si>
  <si>
    <t>NEMZETI VAGYONBA TARTOZÓ BEFEKTETETT ESZKÖZÖK (I + II +III + IV)</t>
  </si>
  <si>
    <t>I.</t>
  </si>
  <si>
    <t>Immateriális javak (a + b)</t>
  </si>
  <si>
    <t xml:space="preserve"> Ebből: </t>
  </si>
  <si>
    <t xml:space="preserve">     a) Törzsvagyon (aa + ab)</t>
  </si>
  <si>
    <t xml:space="preserve">         Ebből: </t>
  </si>
  <si>
    <t xml:space="preserve">          aa) Forgalom képtelen</t>
  </si>
  <si>
    <t xml:space="preserve">                aaa) Kizárólagosan önkormányzati tulajdonú vagyon</t>
  </si>
  <si>
    <t xml:space="preserve">                aab)Nemzetgazdasági szempontból kiemelt jelentőségű vagyon</t>
  </si>
  <si>
    <t xml:space="preserve">          ab) Korlátozottan forgalomképes</t>
  </si>
  <si>
    <t xml:space="preserve">     b) Üzleti vagyon                   </t>
  </si>
  <si>
    <t>II.</t>
  </si>
  <si>
    <t>Tárgyi eszközök (1 + 2 + 3 + 4 + 5 )</t>
  </si>
  <si>
    <t>1. Ingatlanok és a kapcsolódó vagyoni értékű jogok</t>
  </si>
  <si>
    <t xml:space="preserve">     Ebből: </t>
  </si>
  <si>
    <t xml:space="preserve">          Ebből: </t>
  </si>
  <si>
    <t xml:space="preserve">               aaa) Kizárólagosan önkormányzati tulajdonú vagyon</t>
  </si>
  <si>
    <t xml:space="preserve">               aab)Nemzetgazdasági szempontból kiemelt jelentőségű vagyon</t>
  </si>
  <si>
    <t xml:space="preserve">     b) Üzleti vagyon </t>
  </si>
  <si>
    <t>2. Gépek, berendezések és felszerelések, járművek (a + b)</t>
  </si>
  <si>
    <t xml:space="preserve">     Ebből:</t>
  </si>
  <si>
    <t>3. Tenyészállatok (a + b)</t>
  </si>
  <si>
    <t>4. Beruházások, felújítások</t>
  </si>
  <si>
    <t xml:space="preserve">      b) Üzleti vagyon </t>
  </si>
  <si>
    <r>
      <t xml:space="preserve">5. Tárgyi eszközök értékhelyesbítése                                    </t>
    </r>
    <r>
      <rPr>
        <b/>
        <i/>
        <sz val="10"/>
        <rFont val="Times New Roman"/>
        <family val="1"/>
        <charset val="238"/>
      </rPr>
      <t xml:space="preserve"> </t>
    </r>
  </si>
  <si>
    <t>III.</t>
  </si>
  <si>
    <t>Befektetett pénzügyi eszközök (1 + 2 + 3 + 4 + 5 + 6)</t>
  </si>
  <si>
    <t>1. Tartós részesedés (a + b)</t>
  </si>
  <si>
    <t>2. Tartós hitelviszonyt megtestesítő értékpapír (a + b)</t>
  </si>
  <si>
    <t xml:space="preserve">          Ebből:</t>
  </si>
  <si>
    <r>
      <t xml:space="preserve">3. Befektetett pénzügyi eszközök értékhelyesbítése              </t>
    </r>
    <r>
      <rPr>
        <i/>
        <sz val="10"/>
        <rFont val="Times New Roman"/>
        <family val="1"/>
        <charset val="238"/>
      </rPr>
      <t xml:space="preserve"> </t>
    </r>
  </si>
  <si>
    <t>IV.</t>
  </si>
  <si>
    <t>Koncesszióba, vagyonkezelésbe adott eszközök</t>
  </si>
  <si>
    <t>B</t>
  </si>
  <si>
    <t>NEMZETI VAGYONBA TARTOZÓ FORGÓESZKÖZÖK (I + II)</t>
  </si>
  <si>
    <t>Készletek</t>
  </si>
  <si>
    <t>Értékpapírok</t>
  </si>
  <si>
    <t>C</t>
  </si>
  <si>
    <t>PÉNZESZKÖZÖK</t>
  </si>
  <si>
    <t>D</t>
  </si>
  <si>
    <t xml:space="preserve">KÖVETELÉSEK </t>
  </si>
  <si>
    <t>Költségvetési évben esedékes követelések</t>
  </si>
  <si>
    <t>Kötlségvetési évet követően esedékes követelések</t>
  </si>
  <si>
    <t>Követelés jellegű sajátos elszámolások</t>
  </si>
  <si>
    <t>E</t>
  </si>
  <si>
    <t>EGYÉB SAJÁTOS  ELSZÁMOLÁSOK</t>
  </si>
  <si>
    <t>F</t>
  </si>
  <si>
    <t>AKTÍV IDŐBELI ELHATÁROLÁSOK</t>
  </si>
  <si>
    <t>ESZKÖZÖK ÖSSZESEN:</t>
  </si>
  <si>
    <t>II. Az önkormányzat könyviteli mérlegében nem szereplő eszközök</t>
  </si>
  <si>
    <t>1.</t>
  </si>
  <si>
    <t xml:space="preserve">"0"-ra leírt eszközök </t>
  </si>
  <si>
    <t>2.</t>
  </si>
  <si>
    <t>Használatban lévő kis értékű immateriális javak</t>
  </si>
  <si>
    <t>3.</t>
  </si>
  <si>
    <t xml:space="preserve">                                                    tárgyi eszközök</t>
  </si>
  <si>
    <t>4.</t>
  </si>
  <si>
    <t xml:space="preserve">                                                    készletek</t>
  </si>
  <si>
    <t>5.</t>
  </si>
  <si>
    <t>01-02. számlacsoportban nyilvántartott eszközök</t>
  </si>
  <si>
    <t>Összesen:</t>
  </si>
  <si>
    <t>III. Az önkormányzat tulajdonában lévő</t>
  </si>
  <si>
    <t>külön jogszabály alapján</t>
  </si>
  <si>
    <t>érték nélkül nyilvántartott eszközök állománya</t>
  </si>
  <si>
    <t>egység</t>
  </si>
  <si>
    <t>mennyiség</t>
  </si>
  <si>
    <t>Képzőművészeti alkotások</t>
  </si>
  <si>
    <t>Gyűjtemények</t>
  </si>
  <si>
    <t>Kulturális javak (kéziratok, levelek, stb.)</t>
  </si>
  <si>
    <t>Régészeti leletek</t>
  </si>
  <si>
    <t xml:space="preserve">   Bevételek </t>
  </si>
  <si>
    <t>Bevételek mindösszesen (költségvetési + finanszírozási)</t>
  </si>
  <si>
    <t>Kiadások mindösszesen (költségvetési + finanszírozási)</t>
  </si>
  <si>
    <t>Bevétel-kiadás egyenlege</t>
  </si>
  <si>
    <t xml:space="preserve">Idegen pénzeszközök </t>
  </si>
  <si>
    <t>Pénzeszközök változása</t>
  </si>
  <si>
    <t>1. Önkormányzat tulajdonában álló gazdálkodó szervezetek 
működéséből származó kötelezettségek</t>
  </si>
  <si>
    <t xml:space="preserve">   Balatonföldvári Kulturális Szolgáltató és Fenntartó Közhasznú Nonprofit Kft.</t>
  </si>
  <si>
    <t>2. Önkormányzat tulajdonában álló gazdálkodó szervezetekben való részesedése</t>
  </si>
  <si>
    <t>2017. évi maradványkimutatása</t>
  </si>
  <si>
    <t>2017. évi konszolidált mérlege</t>
  </si>
  <si>
    <t>2017. évi konszolidált eredménykimutatása</t>
  </si>
  <si>
    <t>2017. évi vagyonkimutatása</t>
  </si>
  <si>
    <t>2017. év</t>
  </si>
  <si>
    <t>Balatonföldvár Város Önkormányzat 
2017. évi bevétel-kiadási előirányzat-felhasználási ütemterv teljesítése,
pénzeszközök változásának bemutatása</t>
  </si>
  <si>
    <t>Záró pénzkészlet 2017.12.31.</t>
  </si>
  <si>
    <t>Nyitó pénzkészlet 2017.01.01.</t>
  </si>
  <si>
    <t>Balatonföldvár Város Önkormányzat 
 tulajdonában álló gazdálkodó szervezetek működéséből származó 2017. évi kötelezettségek, részesedések alakulása</t>
  </si>
  <si>
    <t>3. Önkormányzat más gazdálkodó szervezetekben való részesedése</t>
  </si>
  <si>
    <t xml:space="preserve">    Önkormányzati részesedés %-a</t>
  </si>
  <si>
    <t>ezerFt-ban</t>
  </si>
  <si>
    <t>C/III-IV Forintszámlák és Devizaszámlák (=C6III/1+C/III/2+C/IV/1+C/IV/2)</t>
  </si>
  <si>
    <t>D/I/4a - ebből: költségvetési évben esedékes követelések készletértékesítés ellenértékére, szolgáltatások ellenértékére, közvetített szolgáltatások ellenértékére</t>
  </si>
  <si>
    <t>D/I/6 Költségvetési évben esedékes követelések működési célú átvett pénzeszközre (&gt;=D/I/6a+D/I/6b+D/I/6c)</t>
  </si>
  <si>
    <t xml:space="preserve">D/I/7c - ebből: költségvetési évben esedékes követelések felhalmozási célú visszatérítendő támogatások, kölcsönök visszatérülésére </t>
  </si>
  <si>
    <t>E) EGYÉB SAJÁTOS ELSZÁMOLÁSOK (=E/I+…+E/II)</t>
  </si>
  <si>
    <t>G/I-III  Nemzeti vagyon és egyéb eszközök induláskori értéke és változásai</t>
  </si>
  <si>
    <t>H/I/3 Költségvetési évben esedékes kötelezettségek dologi kiadásokra</t>
  </si>
  <si>
    <t>H/I/4 Költségvetési évben esedékes kötelezettségek ellátottak pénzbeli juttatásaora</t>
  </si>
  <si>
    <t>199</t>
  </si>
  <si>
    <t>B/II Értékpapírok (=B/II/1+B/II/2)</t>
  </si>
  <si>
    <t>DRV Zrt.</t>
  </si>
  <si>
    <t>Teljesítés 2018.12.31.</t>
  </si>
  <si>
    <t xml:space="preserve">    Egyéb személyi juttatás (bérkomp., betegszabi, táppénz)</t>
  </si>
  <si>
    <t xml:space="preserve">        Közbeszerzési szakértői díj</t>
  </si>
  <si>
    <t xml:space="preserve">        Fapótlások</t>
  </si>
  <si>
    <t>2021. évi eredeti előirányzat</t>
  </si>
  <si>
    <t xml:space="preserve">   Felhalmozási célú pénzeszközátadás</t>
  </si>
  <si>
    <t>Projekt összköltség
(Bföldvárra jutó)
további a konzorciumi partnereknél</t>
  </si>
  <si>
    <t>EU-s pályázati projektek részletezése</t>
  </si>
  <si>
    <t>Kulipinytó villa turisztikai hasznosítása - TOP-1.2.1-15-SO1-2016-00008   -  Támogatási összeg : 120 000 000.- Ft</t>
  </si>
  <si>
    <t>Balatonföldváron a nyugati strand turisztikai infrastruktúrájának fejlesztése - TOP-1.2.1-15-SO1-2016-00009 Támogatási összeg : 150 000 000.- Ft</t>
  </si>
  <si>
    <t>Balatonföldvár "Zöld város program" megvalósítása  TOP-2.1.2-15-SO1-2016-00002  Támogatási összeg : 680 000 000.- Ft</t>
  </si>
  <si>
    <t>Balatonföldvári önkormányzati hivatal épületének energetikai korszerűsítése - TOP-3.2.1-15-SO1-2016-00012 Támogatási összeg : 234 794 998.- Ft</t>
  </si>
  <si>
    <t>Projekt megnevezése / 
költség</t>
  </si>
  <si>
    <t>Zöld város</t>
  </si>
  <si>
    <t>Kulipintyó villa</t>
  </si>
  <si>
    <t>Nyugati strand</t>
  </si>
  <si>
    <t>Hivatal ép.korsz.</t>
  </si>
  <si>
    <t>Nettó</t>
  </si>
  <si>
    <t>ÁFA</t>
  </si>
  <si>
    <t>Bruttó</t>
  </si>
  <si>
    <t>Építési költségek</t>
  </si>
  <si>
    <t>Építési költségek összesen</t>
  </si>
  <si>
    <t>Eszközbeszerzés</t>
  </si>
  <si>
    <t>Műszaki tervek</t>
  </si>
  <si>
    <t>Hatósági díjak</t>
  </si>
  <si>
    <t>Kiviteli tervek</t>
  </si>
  <si>
    <t>Közbeszerzés ktg.</t>
  </si>
  <si>
    <t>Műszaki ellenőrzés</t>
  </si>
  <si>
    <t>Nyilvánosság</t>
  </si>
  <si>
    <t>ITS és Akcióterületi Terv</t>
  </si>
  <si>
    <t>Könyvvizsgálat</t>
  </si>
  <si>
    <t>Képzéshez kapcsolódó ktg. (tananyag fejlesztése)</t>
  </si>
  <si>
    <t>Marketing, egyéb kommunikáció</t>
  </si>
  <si>
    <t>Személyi jellegű kiadások (projektmenedzsment ktg.)</t>
  </si>
  <si>
    <t>Összesen (tám.szerz.szerint,
 önkormányzat</t>
  </si>
  <si>
    <t>Kapott előleg</t>
  </si>
  <si>
    <t>Még várható támogatás</t>
  </si>
  <si>
    <t>már kifizetett tételek 
(2016, 2017), dologiból</t>
  </si>
  <si>
    <t xml:space="preserve">Dologi 2018. évi 
költségvetésbe </t>
  </si>
  <si>
    <t xml:space="preserve">        Szúnyogirtás</t>
  </si>
  <si>
    <t>046020 Vezetékes műsorelosztás, kábel TV</t>
  </si>
  <si>
    <t xml:space="preserve">        Munkaruha, egyenruha</t>
  </si>
  <si>
    <t xml:space="preserve">        Vagyonkataszter felmérés, felülvizsgálat</t>
  </si>
  <si>
    <t xml:space="preserve">Beruházások </t>
  </si>
  <si>
    <t xml:space="preserve">                     Közösségi ház + Kulipintyó</t>
  </si>
  <si>
    <t xml:space="preserve">                                Állami támogatás továbbadása (kulturális feladatok)</t>
  </si>
  <si>
    <t xml:space="preserve">          "Zöld város program megvalósítása" (TOP-2.1.2-15-2016-00002)</t>
  </si>
  <si>
    <t xml:space="preserve">          "Hivatal épületének energetikai korszerűsítése" (TOP-3.2.1-15-SO-2016-00012)</t>
  </si>
  <si>
    <t xml:space="preserve">              Gépbeszerzés pályázat</t>
  </si>
  <si>
    <t xml:space="preserve">              Kelta túra táblák készítése (8 db)</t>
  </si>
  <si>
    <t xml:space="preserve">              Zsolnay pirogránit kerámia stáció felirat (14 db)</t>
  </si>
  <si>
    <t xml:space="preserve">      1.3.  Meglévő részesedések növeléséhez kapcsolódó kiadások (BAHART)</t>
  </si>
  <si>
    <t xml:space="preserve">      1. Felhalmozási célú pénzeszközátadás Nonprofit Kft. részére</t>
  </si>
  <si>
    <t xml:space="preserve">          1.2. Kommunális adó                                      </t>
  </si>
  <si>
    <t xml:space="preserve">          1.3. Telekadó                                                   </t>
  </si>
  <si>
    <t>előleg</t>
  </si>
  <si>
    <t>kulipintyó</t>
  </si>
  <si>
    <t>Városháza</t>
  </si>
  <si>
    <t>Előirányzatok változása 
Bevételek/kiadások változása</t>
  </si>
  <si>
    <t>KÖH</t>
  </si>
  <si>
    <t>B8</t>
  </si>
  <si>
    <t>I. Költségvetési bevételek belső finanszírozására szolgáló eszközök</t>
  </si>
  <si>
    <t xml:space="preserve">    Előző évi pénzmaradvány igénybevétele</t>
  </si>
  <si>
    <t xml:space="preserve">          Működési célú pénzmaradvány</t>
  </si>
  <si>
    <t xml:space="preserve">          Felhalmozási célú pénzmaradvány</t>
  </si>
  <si>
    <t xml:space="preserve">   ÁHB megelőlegezések bevétele</t>
  </si>
  <si>
    <t>II. Költségvetési bevételek külső finanszírozására szolgáló eszközök</t>
  </si>
  <si>
    <t xml:space="preserve">    Felhalmozási célú hitel</t>
  </si>
  <si>
    <t>Költségvetési bevételek mindösszesen</t>
  </si>
  <si>
    <t>K1-K8</t>
  </si>
  <si>
    <t>K1101</t>
  </si>
  <si>
    <t>K1113</t>
  </si>
  <si>
    <t>K122</t>
  </si>
  <si>
    <t>K331</t>
  </si>
  <si>
    <t>K336</t>
  </si>
  <si>
    <t>K337</t>
  </si>
  <si>
    <t>K351</t>
  </si>
  <si>
    <t xml:space="preserve">     Működési ÁFA</t>
  </si>
  <si>
    <t>K355</t>
  </si>
  <si>
    <t>K506</t>
  </si>
  <si>
    <t>K512</t>
  </si>
  <si>
    <t>K513</t>
  </si>
  <si>
    <t xml:space="preserve">    Működési célú tartalék</t>
  </si>
  <si>
    <t xml:space="preserve">    Céltartalék</t>
  </si>
  <si>
    <t xml:space="preserve">     Felhalmozási célú tartalék </t>
  </si>
  <si>
    <t xml:space="preserve">     Felhalmozási célú céltartalék </t>
  </si>
  <si>
    <t>Költségvetési kiadások mindösszesen</t>
  </si>
  <si>
    <t>Változás   (összeg)</t>
  </si>
  <si>
    <t>K71</t>
  </si>
  <si>
    <t xml:space="preserve">              Útkarbantartáshoz szükséges eszközpark fejlesztése VP6-7.2.1-7.4.1.2-16</t>
  </si>
  <si>
    <t>K123</t>
  </si>
  <si>
    <t>K1104</t>
  </si>
  <si>
    <t xml:space="preserve">           Kvassay sétány fejlesztésének támogatása (BFT)</t>
  </si>
  <si>
    <t xml:space="preserve">              Kamerák (Kápolna park) (115/2018.(V.31.))</t>
  </si>
  <si>
    <t xml:space="preserve">              Hematológiai automata beszerzés (145/2018.(VII.31.))</t>
  </si>
  <si>
    <t xml:space="preserve">     Humán szolgáltatások fejlesztése (konzorciumi pályázat EFOP-1.5.2.-16)</t>
  </si>
  <si>
    <t xml:space="preserve">     BAHART osztalékbevétel</t>
  </si>
  <si>
    <t xml:space="preserve">         " Kulipintyó villa turisztikai hasznosítása" eszközbeszerzés  (TOP-1.2.1-15-15-SO1-2016-00008)</t>
  </si>
  <si>
    <t xml:space="preserve">         " Nyugati strand turisztikai infrastruktúrájának fejl.": kerítés, pad, hull.gyűjtő, játszóeszk., inf.tábla</t>
  </si>
  <si>
    <t xml:space="preserve">      " Kulipintyó villa turisztikai hasznosítása" kivitelezés + eszköz  (átcsop. K6-ra)</t>
  </si>
  <si>
    <t xml:space="preserve">      " Nyugati strand turisztikai infrastruktúrájának fejl." kivitelezés (átcsop. K6-ra)</t>
  </si>
  <si>
    <t xml:space="preserve">              Mobiltelefon beszerzés</t>
  </si>
  <si>
    <t xml:space="preserve">              Műszerállvány, szék (védőnő)</t>
  </si>
  <si>
    <t xml:space="preserve">       Nyilvános illemhely útszakasz burkolása</t>
  </si>
  <si>
    <t>K1107</t>
  </si>
  <si>
    <t xml:space="preserve">     Megbízási díj </t>
  </si>
  <si>
    <t>13/2. melléklet a 4/2018.(II.28.) önkormányzati rendelethez</t>
  </si>
  <si>
    <t xml:space="preserve">             Emberi Erőforrás Támogatáskezelő (BURSA)</t>
  </si>
  <si>
    <t>B351</t>
  </si>
  <si>
    <t xml:space="preserve">        Rovarirtás, kártevőírtás</t>
  </si>
  <si>
    <t>K352</t>
  </si>
  <si>
    <t xml:space="preserve">     Fizetendő ÁFA</t>
  </si>
  <si>
    <t xml:space="preserve">              Irodabútor vásárlás</t>
  </si>
  <si>
    <t xml:space="preserve">              Kamerák (Kulipintyó épülete) </t>
  </si>
  <si>
    <t xml:space="preserve">              Matrac beszerzés (2 db)</t>
  </si>
  <si>
    <t>K1109</t>
  </si>
  <si>
    <t>K1106</t>
  </si>
  <si>
    <t>2019. évi felhalmozási bevételei, kiadásai</t>
  </si>
  <si>
    <t>3. melléklet a /2019.(....) önkormányzati rendelethez</t>
  </si>
  <si>
    <t xml:space="preserve">      2. Ingatlanok értékesítése</t>
  </si>
  <si>
    <t xml:space="preserve">         2.2. Felhalmozási célú hitel parkolók kialakításához</t>
  </si>
  <si>
    <t xml:space="preserve">             Közös Önkormányzati Hivatal (szoftverek, telefonközpont, egyéb tárgyi eszk. beszerzés)</t>
  </si>
  <si>
    <t xml:space="preserve">            Ebből céltartalék:</t>
  </si>
  <si>
    <t xml:space="preserve">                     Közterületek, utak, zöldfelület fenntartása (GAMESZ) </t>
  </si>
  <si>
    <t>lakás</t>
  </si>
  <si>
    <t>(Pub-Lik előtti terület +)</t>
  </si>
  <si>
    <t xml:space="preserve">        Műszaki jellegű szolgáltatások</t>
  </si>
  <si>
    <t>011130 Önk. és önk.-i hivatalok 
jogalkotói és ált. igazgatási tev.-e</t>
  </si>
  <si>
    <t xml:space="preserve">        Gyermek- és felnőtt eü szolgáltatás</t>
  </si>
  <si>
    <t xml:space="preserve">            Felhalmozási célra elkülönített tartalék </t>
  </si>
  <si>
    <t xml:space="preserve">              Hivatal épületében kábelhálózat (internet) korszerűsítése</t>
  </si>
  <si>
    <r>
      <t xml:space="preserve">          Informatikai biztonsági, GDPR feladatok ellátása </t>
    </r>
    <r>
      <rPr>
        <sz val="8"/>
        <rFont val="Times New Roman"/>
        <family val="1"/>
        <charset val="238"/>
      </rPr>
      <t>(20+25 e Ft/hó + áfa)</t>
    </r>
  </si>
  <si>
    <t xml:space="preserve">        Egyéb szakmai tevékenységet segítő szolgáltatás</t>
  </si>
  <si>
    <t xml:space="preserve">               EFOP projekt</t>
  </si>
  <si>
    <t>bruttó</t>
  </si>
  <si>
    <t xml:space="preserve">               Hivatal energetikai felújítása</t>
  </si>
  <si>
    <r>
      <t xml:space="preserve">        Beruházásokhoz kapcsolódó előkészítési 
        és egyéb járulékos költségek, dologi kiadások* </t>
    </r>
    <r>
      <rPr>
        <b/>
        <sz val="8"/>
        <rFont val="Times New Roman"/>
        <family val="1"/>
        <charset val="238"/>
      </rPr>
      <t xml:space="preserve">alább </t>
    </r>
  </si>
  <si>
    <t xml:space="preserve">             TDM Egyesület</t>
  </si>
  <si>
    <t xml:space="preserve">               Működési célú maradvány</t>
  </si>
  <si>
    <t xml:space="preserve">         " Hivatal épületének energetikai korszerűsítése" többletköltsége önerőből (nettó)</t>
  </si>
  <si>
    <t>Műszaki ellenőrzés (Zöld Város)</t>
  </si>
  <si>
    <t>Műszaki ellenőrzés (Hivatal energetika)</t>
  </si>
  <si>
    <t>Nyilvánosság (Zöld Város)</t>
  </si>
  <si>
    <t>Szemléletformálás (Zöld Város)</t>
  </si>
  <si>
    <t xml:space="preserve">        Felhalmozási célú átvett pénzeszközök (Nonprofit Kft. hiteltörlesztés)</t>
  </si>
  <si>
    <t xml:space="preserve">         " Hivatal épületének energetikai korszerűsítése" (TOP-3.2.1-15-SO-2016-00012) (nettó)</t>
  </si>
  <si>
    <t xml:space="preserve">              Dísz- és térvilágítás kivitelezése</t>
  </si>
  <si>
    <t xml:space="preserve">              Játszótér építés</t>
  </si>
  <si>
    <t xml:space="preserve">              Új buszvárók telepítése (2 db, központban)</t>
  </si>
  <si>
    <t xml:space="preserve">              Temető kerítés</t>
  </si>
  <si>
    <t xml:space="preserve">              Óvoda tetőszerkezet felújítása</t>
  </si>
  <si>
    <t xml:space="preserve">              Iskola padlóburkolat felújítása</t>
  </si>
  <si>
    <t xml:space="preserve">              Út- és járdafelújítások</t>
  </si>
  <si>
    <t xml:space="preserve">              Kvassay sétány partvédőmű rekonstrukciója (II. ütem) (nettó)</t>
  </si>
  <si>
    <t xml:space="preserve">                  Zöld Város projekt</t>
  </si>
  <si>
    <t xml:space="preserve">                  Hivatal energetikai felújítása</t>
  </si>
  <si>
    <t xml:space="preserve">              Széchényi Imre mellszobor</t>
  </si>
  <si>
    <t xml:space="preserve">         2.1. Felhalmozási célú hitel  2019. évi út- és járdafejlesztéshez</t>
  </si>
  <si>
    <t xml:space="preserve">         Hitel törlesztés (OTP 100+100 M Ft-os fejlesztési hitel)</t>
  </si>
  <si>
    <t xml:space="preserve">         " Hivatal épületének energetikai korszerűsítése" többletköltsége önerőből (tető pótmunka, nettó)</t>
  </si>
  <si>
    <t xml:space="preserve">              Új buszvárók telepítése (2 db, Kőröshegy u.)</t>
  </si>
  <si>
    <t xml:space="preserve">              Csapadékvízelvezető árok burkolása (Panoráma körút)</t>
  </si>
  <si>
    <t xml:space="preserve">          "Balatonföldvár zöld város program megval.-a" (TOP-2.1.2-15-2016-00002) építés (nettó)</t>
  </si>
  <si>
    <t xml:space="preserve">          "Balatonföldvár zöld város program megval.-a" (TOP-2.1.2-15-2016-00002) többletktg önerő (nettő)</t>
  </si>
  <si>
    <t>br. 60 m</t>
  </si>
  <si>
    <t>EU-s 
össz.</t>
  </si>
  <si>
    <t>Saját
 forrásból</t>
  </si>
  <si>
    <t>EU-s
önerő</t>
  </si>
  <si>
    <t>EU-s 
támogatott</t>
  </si>
  <si>
    <t>Fejlesztések 2019-ben</t>
  </si>
  <si>
    <t>2022. évi eredeti előirányzat</t>
  </si>
  <si>
    <t xml:space="preserve">   Számítástechnikai szoftverek,  egyéb tárgyi e. beszerzése </t>
  </si>
  <si>
    <t xml:space="preserve"> Állami támogatás</t>
  </si>
  <si>
    <t>Futamidő (fizetési kötelezettség, tőke + kamat)</t>
  </si>
  <si>
    <t>Önkormány
zati önerő összege
beadott pályázat szerint</t>
  </si>
  <si>
    <t xml:space="preserve">      1.3.  Meglévő részesedések növeléséhez kapcsolódó kiadások</t>
  </si>
  <si>
    <t>I. Működési célú támogatások államháztartáson belülről (A+B+C+D)</t>
  </si>
  <si>
    <t xml:space="preserve">         Hitel törlesztés (OTP  fejlesztési hitel)</t>
  </si>
  <si>
    <t xml:space="preserve">             Közös Önkormányzati Hivatal (szoftverek, számítástech. és egyéb tárgyi eszk. beszerzés)</t>
  </si>
  <si>
    <t>Pénzmaradvány</t>
  </si>
  <si>
    <t>Átvett pénzeszköz (TKT)</t>
  </si>
  <si>
    <t>Átvett pénzeszköz (közös hivatali önkormányzatok)</t>
  </si>
  <si>
    <t xml:space="preserve">        Autópályadíj (éves)</t>
  </si>
  <si>
    <t xml:space="preserve">    Kamatkiadások (hitelkamat)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</si>
  <si>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(telefon)</t>
    </r>
  </si>
  <si>
    <t xml:space="preserve">     Alkalmazottak illetménye, illetménykiegészítése (34+4+2 fő)</t>
  </si>
  <si>
    <r>
      <t xml:space="preserve">        Egyéb szakmai szolgáltatások</t>
    </r>
    <r>
      <rPr>
        <sz val="8"/>
        <rFont val="Times New Roman"/>
        <family val="1"/>
        <charset val="238"/>
      </rPr>
      <t xml:space="preserve"> (pl. adóhatározatok, értesítő levelek nyomtatása)</t>
    </r>
  </si>
  <si>
    <r>
      <t xml:space="preserve">                             </t>
    </r>
    <r>
      <rPr>
        <sz val="8"/>
        <rFont val="Times New Roman"/>
        <family val="1"/>
        <charset val="238"/>
      </rPr>
      <t xml:space="preserve">   (gépjármű casco)</t>
    </r>
  </si>
  <si>
    <t xml:space="preserve">    Fizetendő ÁFA ** alább részletezve</t>
  </si>
  <si>
    <t>Zöld város program építés (fordított áfa)</t>
  </si>
  <si>
    <t>bevétel-kiadás egyenlege előző évi maradvány, 
tartalék és működésben jelentkező beruh. ktg-ek nélkül</t>
  </si>
  <si>
    <t xml:space="preserve">        Különféle adók, díjak, adójellegű befiz., hj.-ok, egyéb dologi</t>
  </si>
  <si>
    <t>Egyéb</t>
  </si>
  <si>
    <r>
      <t xml:space="preserve">          "Balatonföldvár zöld város program megval.-a" (TOP-2.1.2-15-2016-00002)</t>
    </r>
    <r>
      <rPr>
        <sz val="10"/>
        <color indexed="10"/>
        <rFont val="Times New Roman"/>
        <family val="1"/>
        <charset val="238"/>
      </rPr>
      <t xml:space="preserve"> (nettó)</t>
    </r>
  </si>
  <si>
    <t>működési többlet (pénzmaradvány, tartalék nélkül)</t>
  </si>
  <si>
    <t xml:space="preserve">              Közpark, közösségi tér kialakítása (kikötő)</t>
  </si>
  <si>
    <t>Tervezési díj (Bölcsőde pályázat)</t>
  </si>
  <si>
    <t xml:space="preserve">             Összpróba Alapítvány</t>
  </si>
  <si>
    <t xml:space="preserve">             Nyári rendezvények finanszírozása</t>
  </si>
  <si>
    <t xml:space="preserve">               Szociális étkeztetés állami tám. átadása</t>
  </si>
  <si>
    <t xml:space="preserve">         Hitel törlesztés (OTP fejlesztési hitel)</t>
  </si>
  <si>
    <t xml:space="preserve">              Kamerarendszer kiépítése a város közterületein</t>
  </si>
  <si>
    <t>Műszaki ellenőrzés (Strandfejlesztések)</t>
  </si>
  <si>
    <t>Közbeszerzési szakértői díj (Bölcsőde pályázat)</t>
  </si>
  <si>
    <t>Egyéb szolgáltatások (Bölcsőde pályázat)</t>
  </si>
  <si>
    <t>Nyilvánosság (Bölcsőde pályázat)</t>
  </si>
  <si>
    <t>Műszaki ellenőrzés (Bölcsőde pályázat)</t>
  </si>
  <si>
    <t>2023. évi eredeti előirányzat</t>
  </si>
  <si>
    <t xml:space="preserve">         Hitel törlesztés (tőke rész, kamat a működésben)</t>
  </si>
  <si>
    <t xml:space="preserve">              Media Solutins Kft.</t>
  </si>
  <si>
    <t xml:space="preserve">Bölcsődei férőhelyek kialakítása, fejlesztése </t>
  </si>
  <si>
    <t>(TOP-1,4,1-19-SO1-20169-00013)</t>
  </si>
  <si>
    <t>Adósságot keletkeztető ügylet
(kiadás)
Stabilitási tv. 8.§ (2) bek.</t>
  </si>
  <si>
    <t>Tőke</t>
  </si>
  <si>
    <t>Kamat</t>
  </si>
  <si>
    <t>Fejlesztési célú hitel (közterületi parkolók kialakítása)</t>
  </si>
  <si>
    <t>Fejlesztési célú hitel (útfelújítás)</t>
  </si>
  <si>
    <t xml:space="preserve">      2. Felhalmozási célú tartalék</t>
  </si>
  <si>
    <t>K1103</t>
  </si>
  <si>
    <t xml:space="preserve">     Jutalom</t>
  </si>
  <si>
    <t>B354</t>
  </si>
  <si>
    <t>B355</t>
  </si>
  <si>
    <t xml:space="preserve">     Lakásrészletek befizetései </t>
  </si>
  <si>
    <t xml:space="preserve">     Szociális étkeztetés csomagolás</t>
  </si>
  <si>
    <t>B116</t>
  </si>
  <si>
    <t xml:space="preserve">     Elszámolásból származó bevételek (2019. évi normatíva elszámolás többlettámogatása)</t>
  </si>
  <si>
    <t xml:space="preserve">      Önerős felújítások elmaradása</t>
  </si>
  <si>
    <t xml:space="preserve">K355 </t>
  </si>
  <si>
    <t xml:space="preserve">             3. Bérkompenzáció</t>
  </si>
  <si>
    <t xml:space="preserve">      2. Ingatlanok értékesítése, lakásrészletek befizetései</t>
  </si>
  <si>
    <t xml:space="preserve">     Rendkívüli időre járó juttatás</t>
  </si>
  <si>
    <t xml:space="preserve">               Szociális étkeztetés (csomagolás)</t>
  </si>
  <si>
    <t xml:space="preserve"> </t>
  </si>
  <si>
    <t>1. melléklet</t>
  </si>
  <si>
    <t>2. melléklet</t>
  </si>
  <si>
    <t>3. melléklet</t>
  </si>
  <si>
    <t>4. melléklet</t>
  </si>
  <si>
    <t>011130 Önk. és önk.-i hivatalok jogalkotói és ált. igazgatási tevékenysége</t>
  </si>
  <si>
    <t>9. melléklet</t>
  </si>
  <si>
    <t>10. melléklet</t>
  </si>
  <si>
    <r>
      <rPr>
        <b/>
        <i/>
        <sz val="12"/>
        <rFont val="Arial CE"/>
        <charset val="238"/>
      </rPr>
      <t xml:space="preserve"> </t>
    </r>
    <r>
      <rPr>
        <b/>
        <i/>
        <u/>
        <sz val="12"/>
        <rFont val="Arial CE"/>
        <charset val="238"/>
      </rPr>
      <t xml:space="preserve">Balatonföldvár Város Önkormányzatának </t>
    </r>
  </si>
  <si>
    <t xml:space="preserve">13. melléklet </t>
  </si>
  <si>
    <t xml:space="preserve">     Támogatás megállapodás alapján (teszt beszerzéshez) 37/2020.(V.19.) Pm hat.</t>
  </si>
  <si>
    <r>
      <t xml:space="preserve">      Kwassay sétány partvédőmű rekonstrukció III. ütem</t>
    </r>
    <r>
      <rPr>
        <sz val="10"/>
        <color indexed="10"/>
        <rFont val="Times New Roman"/>
        <family val="1"/>
        <charset val="238"/>
      </rPr>
      <t xml:space="preserve"> (nettó) </t>
    </r>
    <r>
      <rPr>
        <sz val="10"/>
        <rFont val="Times New Roman"/>
        <family val="1"/>
        <charset val="238"/>
      </rPr>
      <t>43/2020.(V.29.) Pm hat.</t>
    </r>
  </si>
  <si>
    <t>K312</t>
  </si>
  <si>
    <t xml:space="preserve">      Óvodai sportpálya tereprendezés 56/2020.(VIII.31.)</t>
  </si>
  <si>
    <t xml:space="preserve">      Radnóti utcai rácsos folyóka javítása 57/2020.(VIII.31.)</t>
  </si>
  <si>
    <t xml:space="preserve">     Járulékok </t>
  </si>
  <si>
    <t xml:space="preserve">     Hivatal működésének támogatása (kiegészítő támogatás)</t>
  </si>
  <si>
    <t xml:space="preserve">     Béren kívüli juttatás (kiegészítő támogatásból)</t>
  </si>
  <si>
    <t xml:space="preserve">     Közlekedési költségtérítés (kiegészítő támogatásból)</t>
  </si>
  <si>
    <t xml:space="preserve">     Egyéb személyi juttatás (kiegészítő támogatásból)</t>
  </si>
  <si>
    <t xml:space="preserve">     Települési önk.-ok egyes köznevelési feladatainak tám.-a (óvoda) (kiegészítő támogatás)</t>
  </si>
  <si>
    <t xml:space="preserve">     Család és gyermekjóléti szolgálat (kiegészítő támogatás)</t>
  </si>
  <si>
    <t xml:space="preserve">     Szociális étkeztetés (kiegészítő támogatás)</t>
  </si>
  <si>
    <t xml:space="preserve">     Házi segítségnyújtás (kiegészítő támogatás)</t>
  </si>
  <si>
    <t xml:space="preserve">     Intézményi gyermekétkeztetés - bértámogatás (kiegészítő támogatás)</t>
  </si>
  <si>
    <t xml:space="preserve">     Nyilvános könyvtári és közművelődési feladatainak támogatása (kiegészítő tám.)</t>
  </si>
  <si>
    <t xml:space="preserve">     Nyilvános könyvtári és közművelődési feladatainak kiegészítő tám.-a átadás Nonprofit Kft. </t>
  </si>
  <si>
    <t xml:space="preserve">     Kiegészítő támogatások átadása TKT-nak</t>
  </si>
  <si>
    <t xml:space="preserve">     Védőnő támogatás (275/2020.(VI.12.) Korm.rendelet</t>
  </si>
  <si>
    <t xml:space="preserve">     2019. évi normatíva elszámolásból adódó többlettámogatás továbbadása</t>
  </si>
  <si>
    <t xml:space="preserve">     2019. évi gyermekétkeztetés normatíva visszafizetés</t>
  </si>
  <si>
    <t xml:space="preserve">     Hivatal energetika pályázat időközi elszámolás</t>
  </si>
  <si>
    <t xml:space="preserve">     Gépjárműadó központi elvonás </t>
  </si>
  <si>
    <t xml:space="preserve">     Iparűzési adó</t>
  </si>
  <si>
    <t xml:space="preserve">     Idegenforgalmi adó korábbi évek bevétele</t>
  </si>
  <si>
    <t xml:space="preserve">     Tulajdonosi bevételek: bérleti díjbevételek</t>
  </si>
  <si>
    <t>K341</t>
  </si>
  <si>
    <t xml:space="preserve">     Kiküldetések: EFOP (átcsoportosítás K1101-re)</t>
  </si>
  <si>
    <t xml:space="preserve">     Rendkívüli munkaidőre járó juttatás (készenléti, ügyeleti, túlóra díj)</t>
  </si>
  <si>
    <t xml:space="preserve">     Béren kívüli juttatás (2019.12.havi)</t>
  </si>
  <si>
    <t xml:space="preserve">     Megbízási díjak </t>
  </si>
  <si>
    <t xml:space="preserve">     Főszerkesztői feladatok (2019.12.havi)</t>
  </si>
  <si>
    <t xml:space="preserve">     Szúnyogirtás</t>
  </si>
  <si>
    <t xml:space="preserve">     Kártevőírtás</t>
  </si>
  <si>
    <t xml:space="preserve">     Közvilágítás üzemeltetési költség, bérleti díj</t>
  </si>
  <si>
    <t xml:space="preserve">     Műszaki ellenőrzés: bölcsőde pályázat (átcsoportosítás K351-ről)</t>
  </si>
  <si>
    <t xml:space="preserve">     Műszaki tanácsadás: Kwassay sétány partvédőmű</t>
  </si>
  <si>
    <t xml:space="preserve">     Tervezési munkák: zöld város pályázat</t>
  </si>
  <si>
    <t xml:space="preserve">     Kötelező nyilvánosság: hivatal energetika pályázat</t>
  </si>
  <si>
    <t xml:space="preserve">     2. Egyéb működési célú pénzeszközátadás </t>
  </si>
  <si>
    <t xml:space="preserve">    "OKOS" zebra létesítésének támogatása (Somogy Megyei Rendőr-főkapitányság)</t>
  </si>
  <si>
    <t xml:space="preserve">     Jubileumi jutalom</t>
  </si>
  <si>
    <t xml:space="preserve">     Közlekedési költségtérítés (átcsoportosítás K1101-ről)</t>
  </si>
  <si>
    <t xml:space="preserve">     Egyéb munkavégzéshez kapcsolódó juttatás (betegszabadság)</t>
  </si>
  <si>
    <t xml:space="preserve">     Óvodai nevelés állami támogatás továbbadása TKT (október havi normatíva pótigény)</t>
  </si>
  <si>
    <t xml:space="preserve">     Települési önk.-ok egyes köznevelési feladatainak tám.-a (óvoda) (októberi felmérés)</t>
  </si>
  <si>
    <t>intézmény finanszírozás növelése</t>
  </si>
  <si>
    <t xml:space="preserve">              Bölcsőde fejlesztés (TOP-1.4.1-19-SO1-20169-00013) (eszközbeszerzés)</t>
  </si>
  <si>
    <t xml:space="preserve">     Pénzeszközátadás társulásban közösen ellátott feladatokra (labor, ügyelet, TV ktgnövekedés)</t>
  </si>
  <si>
    <t xml:space="preserve">     Útkarbantartáshoz szükséges eszközpark fejl.támogatása</t>
  </si>
  <si>
    <t xml:space="preserve">     Fizetendő ÁFA Zöld város projekt</t>
  </si>
  <si>
    <t xml:space="preserve">     Nonprofit Kft. működési támogatás (saját) </t>
  </si>
  <si>
    <t>2021. évi összevont mérlege</t>
  </si>
  <si>
    <t xml:space="preserve">Módosított előirányzat </t>
  </si>
  <si>
    <t>Teljesítés 2021.12.31.</t>
  </si>
  <si>
    <t>2021. évi működési célú bevételei, kiadásai</t>
  </si>
  <si>
    <t>2021. évi felhalmozási bevételei, kiadásai</t>
  </si>
  <si>
    <t>2021. évi működési célú támogatásai, pénzeszközátadásai, közvetett támogatásai</t>
  </si>
  <si>
    <r>
      <rPr>
        <b/>
        <i/>
        <u/>
        <sz val="14"/>
        <rFont val="Times New Roman"/>
        <family val="1"/>
        <charset val="238"/>
      </rPr>
      <t>Balatonföldvár Város Önkormányzatának 2021. évi bevételei kiemelt előirányzatonként, feladatonként</t>
    </r>
    <r>
      <rPr>
        <b/>
        <i/>
        <sz val="14"/>
        <rFont val="Times New Roman"/>
        <family val="1"/>
        <charset val="238"/>
      </rPr>
      <t xml:space="preserve"> </t>
    </r>
  </si>
  <si>
    <t>Önkormányzat (eredeti előirányzat 2021. év)</t>
  </si>
  <si>
    <t>Önkormányzat (módosított előirányzat 2021. . havi)</t>
  </si>
  <si>
    <t>Önkormányzat (módosított előirányzat 2021. .havi)</t>
  </si>
  <si>
    <t xml:space="preserve">       Kötelező (eredeti előirányzat 2021. év)</t>
  </si>
  <si>
    <t xml:space="preserve">       Kötelező (módosított előirányzat 2021. . havi)</t>
  </si>
  <si>
    <t xml:space="preserve">       Kötelező (módosított előirányzat 2021. .havi)</t>
  </si>
  <si>
    <t xml:space="preserve">       Nem kötelező (eredeti előirányzat 2021. év)</t>
  </si>
  <si>
    <t xml:space="preserve">       Nem kötelező (módosított előirányzat 2021. . havi)</t>
  </si>
  <si>
    <t>KÖH (eredeti előirányzat 2021. év)</t>
  </si>
  <si>
    <t>KÖH (módosított előirányzat 2021. . havi)</t>
  </si>
  <si>
    <t>KÖH (módosított előirányzat 2021. .havi)</t>
  </si>
  <si>
    <t>Önk.mindösszesen (eredeti előirányzat 2021. év)</t>
  </si>
  <si>
    <t>Önk.mindösszesen (módosított ei. 2021. . havi)</t>
  </si>
  <si>
    <t>Önk.mindösszesen (módosított ei. 2021. .havi)</t>
  </si>
  <si>
    <t>Önk.mindösszesen (Teljesítés 2021.12.31.)</t>
  </si>
  <si>
    <t xml:space="preserve">       Teljesítés 2021.12.31.</t>
  </si>
  <si>
    <t>Önkormányzat: Teljesítés 2021.12.31.</t>
  </si>
  <si>
    <t>KÖH: Teljesítés 2021.12.31.</t>
  </si>
  <si>
    <t>Balatonföldvár Város Önkormányzatának 2021. évi kiadásai intézményenként, kiemelt előirányzatonként, 
feladatonkénti bontásban</t>
  </si>
  <si>
    <t xml:space="preserve">Balatonföldvár Város Önkormányzatának 2021. évi intézményi szintű összes kiadásai, intézményfinanszírozása
</t>
  </si>
  <si>
    <t>Módosított előirányzat 2021. . hó</t>
  </si>
  <si>
    <t>Módosított előirányzat 2021.12.31</t>
  </si>
  <si>
    <t>2021. évi költségvetési kiadásainak részletezése kormányzati funkciók szerint</t>
  </si>
  <si>
    <t>mód.ei.          2021. . hó</t>
  </si>
  <si>
    <t>teljesítés 2021.12.31</t>
  </si>
  <si>
    <t>mód.előir.
2021. .hó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</si>
  <si>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</si>
  <si>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</si>
  <si>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</si>
  <si>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</si>
  <si>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1.1.1.3. Településüzemeltetés - közvilágítás támogatása 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</si>
  <si>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</si>
  <si>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</si>
  <si>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</si>
  <si>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</si>
  <si>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(TKT)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</si>
  <si>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</si>
  <si>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</si>
  <si>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</si>
  <si>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r>
      <t xml:space="preserve">             1.3.2.1. Család- és gyermekjóléti szolgálatt </t>
    </r>
    <r>
      <rPr>
        <sz val="8"/>
        <rFont val="Times New Roman"/>
        <family val="1"/>
        <charset val="238"/>
      </rPr>
      <t>(TKT)</t>
    </r>
  </si>
  <si>
    <t xml:space="preserve">             1.3.2.3. Szociális étkeztetés </t>
  </si>
  <si>
    <t xml:space="preserve">             1.3.2.4. Házi segítségnyújtás </t>
  </si>
  <si>
    <r>
      <t xml:space="preserve">                1.3.2.4.3. Személyi gondozás - társulás által történő feladatellátás </t>
    </r>
    <r>
      <rPr>
        <sz val="8"/>
        <rFont val="Times New Roman"/>
        <family val="1"/>
        <charset val="238"/>
      </rPr>
      <t>(TKT)</t>
    </r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</si>
  <si>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</si>
  <si>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</si>
  <si>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</si>
  <si>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(TKT)</t>
  </si>
  <si>
    <t xml:space="preserve">             1.4.1.2. Intézményi gyermekétkeztetés - üzemeltetési támogatás (TKT)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</si>
  <si>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</si>
  <si>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</si>
  <si>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2. Működési célú költségvetési támogatások és kiegészítő támogatások</t>
  </si>
  <si>
    <t xml:space="preserve">       2.1. A helyi önkormányzatok kiegészítő támogatásai</t>
  </si>
  <si>
    <t xml:space="preserve">          2.1.1. Lakossági víz- és csatornaszolgáltatás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</si>
  <si>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</si>
  <si>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</si>
  <si>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2.1.6. Önkormányzati elszámolások</t>
  </si>
  <si>
    <t xml:space="preserve">          2.2.1. A települési önkormányzatok szociális célú tüzelőanyag vásárlásához kapcsolódó támogatása</t>
  </si>
  <si>
    <t xml:space="preserve">          2.2.3. Óvodai és iskolai szociális segítő tevékenység támogatása</t>
  </si>
  <si>
    <t xml:space="preserve">             2.3.2.5. Táncművészeti szervezetek támogatása (Előadó és Alkotóművészetért Alapítvány)</t>
  </si>
  <si>
    <t xml:space="preserve">      Elszámolásból származó bevételek </t>
  </si>
  <si>
    <t xml:space="preserve">      Egyéb működési célú támogatások államháztartáson belülről </t>
  </si>
  <si>
    <t xml:space="preserve">          OEP védőnő</t>
  </si>
  <si>
    <t xml:space="preserve">          Egyéb működési célú támogatások  (TV)</t>
  </si>
  <si>
    <t xml:space="preserve">          Évközi állami támogatás módosítás miatti átadás</t>
  </si>
  <si>
    <t xml:space="preserve">          Közfoglalkoztatás támogatása </t>
  </si>
  <si>
    <t xml:space="preserve">          2.2.2. Szociális ágazati összevont pótlék és egészségügyi kiegészítő pótlék (TKT)</t>
  </si>
  <si>
    <t xml:space="preserve">       2.2. A települési önkormányzatok egyes szociális és gyermekjóléti feladatainak működési célú támogatása</t>
  </si>
  <si>
    <t xml:space="preserve">       2.3. A települési önkormányzatok kulturális feladatainak működési célú támogatása</t>
  </si>
  <si>
    <t>Állami támogatás visszafizetés (2020. évi állami elszámolásból)</t>
  </si>
  <si>
    <t xml:space="preserve">               2020. évi normatíva elszámolás többlettámogatás átadása</t>
  </si>
  <si>
    <t xml:space="preserve">              Nonprofit Kft. működési támogatás (állami)</t>
  </si>
  <si>
    <t xml:space="preserve">              Nonprofit Kft. működési támogatás (saját)</t>
  </si>
  <si>
    <t xml:space="preserve">                1.3.2.3.1. Szociális étkeztetés - önálló feladatellátás</t>
  </si>
  <si>
    <t xml:space="preserve">              1.1.1.2. Településüzemeltetés - zöldterület-gazdálkodás támogatása (Nonprofit Kft.)</t>
  </si>
  <si>
    <t xml:space="preserve">              1.1.1.4. Településüzemeltetés - köztemető támogatása (Nonprofit Kft.)</t>
  </si>
  <si>
    <t xml:space="preserve">              1.1.1.5. Településüzemeltetés - közutak támogatása (Nonprofit Kft.)</t>
  </si>
  <si>
    <t xml:space="preserve">    1. Működési célú pénzeszközátadások, támogatások</t>
  </si>
  <si>
    <t>Állami támogatás</t>
  </si>
  <si>
    <t xml:space="preserve">          Pénzeszközátvétel Többcélú Társulástól (Hivatal) </t>
  </si>
  <si>
    <t xml:space="preserve">          Pénzeszközátvétel önkormányzatoktól (Hivatal)</t>
  </si>
  <si>
    <t xml:space="preserve">          2020. évi gyermekétkeztetés állami támogatás visszafizetés</t>
  </si>
  <si>
    <r>
      <t xml:space="preserve">          1.5.2. Települési önk.-ok nyilvános könyvtári és a közművelődési feladatainak tám.-a </t>
    </r>
    <r>
      <rPr>
        <sz val="8"/>
        <rFont val="Times New Roman"/>
        <family val="1"/>
        <charset val="238"/>
      </rPr>
      <t>(Nonprofit Kft.)</t>
    </r>
  </si>
  <si>
    <t xml:space="preserve">        Szociális célú tűzifa besz. </t>
  </si>
  <si>
    <t xml:space="preserve">      Informatikai szolgáltatások  (rendszerkövetések: honlap, kártyarendszer, IFA szoftver, védőnő, könyvtár)</t>
  </si>
  <si>
    <t>074031 Család és nővédelmi egészségügyi gondozás</t>
  </si>
  <si>
    <t xml:space="preserve">       Előirányzott támogatási keret (ebből polgármesteri keret:  1000 e Ft)</t>
  </si>
  <si>
    <t xml:space="preserve">              Balatonföldvári szivattyúpark felújítása</t>
  </si>
  <si>
    <t xml:space="preserve">           BFT pályázati támogatás - Balatonföldvári Szivattyúpark felúíjtása</t>
  </si>
  <si>
    <t xml:space="preserve">          Zöld Város projekt - támogatás ráemelés</t>
  </si>
  <si>
    <t>Kiviteli terv végszámla (Zöld Város)</t>
  </si>
  <si>
    <t>zö</t>
  </si>
  <si>
    <t>előleg kifiz.</t>
  </si>
  <si>
    <t>visszalévő</t>
  </si>
  <si>
    <t>váll. díj</t>
  </si>
  <si>
    <t xml:space="preserve">fordított áfa </t>
  </si>
  <si>
    <t>opcióval, ráemeléssel</t>
  </si>
  <si>
    <t>ráemelés</t>
  </si>
  <si>
    <t>Fizetendő áfa **</t>
  </si>
  <si>
    <t>működésben jelentkező költségek tételesen *</t>
  </si>
  <si>
    <t xml:space="preserve">              Keleti strand fejlesztése IV. ütem - eszközök beszerzése (Strand pályázat Kisfaludy2030)</t>
  </si>
  <si>
    <t xml:space="preserve">              Nyugati strand fejlesztése IV. ütem - eszközök beszerzése (Strand pályázat Kisfaludy2030)</t>
  </si>
  <si>
    <t xml:space="preserve">           Városháza épületének tetőfelújítása</t>
  </si>
  <si>
    <t xml:space="preserve">           Keleti strand fejlesztése IV. ütem - építési beruházás (Strand pályázat Kisfaludy2030)</t>
  </si>
  <si>
    <t xml:space="preserve">           Nyugati strand fejlesztése IV. ütem - építési beruházás (Strand pályázat Kisfaludy2030)</t>
  </si>
  <si>
    <r>
      <t xml:space="preserve">              Bölcsőde fejlesztés (TOP-1.4.1-19-SO1-20169-00013) (építési beruházás)</t>
    </r>
    <r>
      <rPr>
        <sz val="10"/>
        <color indexed="10"/>
        <rFont val="Times New Roman"/>
        <family val="1"/>
        <charset val="238"/>
      </rPr>
      <t xml:space="preserve"> (nettó)</t>
    </r>
  </si>
  <si>
    <t>Bölcsőde építés (fordított áfa)</t>
  </si>
  <si>
    <t xml:space="preserve">               Bérkompenzáció, ágazati pótlék, Tb, átadás</t>
  </si>
  <si>
    <t>Egyéb szakértői díj (Bölcsőde pályázat)</t>
  </si>
  <si>
    <t>Műszaki ell. (MFP óvoda tető, tornaszoba felúj.)</t>
  </si>
  <si>
    <t xml:space="preserve">           Magyar Falu program - óvoda tornaszoba felújítása</t>
  </si>
  <si>
    <t xml:space="preserve">           Magyar Falu program - óvoda épület tetőfelújítása</t>
  </si>
  <si>
    <t>Műszaki ellenőrzés (dísz- és térvilágítás)</t>
  </si>
  <si>
    <t xml:space="preserve">           Járdafelújítások</t>
  </si>
  <si>
    <t xml:space="preserve">           Kőröshegy utcai buszvárók felújítása</t>
  </si>
  <si>
    <t>korrekció (beruházásokhoz kapcsolódó működésben jelentkező kapcsolódó kiadások)</t>
  </si>
  <si>
    <t>korrekció (beruházások fordított áfa fizetési kötelezettsége)</t>
  </si>
  <si>
    <t>Szakértői díj, előkészítő tanulmány</t>
  </si>
  <si>
    <t xml:space="preserve">    Megbízási díj (egyéb fel., polgármesteri hatáskör)</t>
  </si>
  <si>
    <t xml:space="preserve">           Ebből felhalmozási célú céltartalék</t>
  </si>
  <si>
    <t xml:space="preserve">           2020. évi áthúzódó bérkompenzáció</t>
  </si>
  <si>
    <t xml:space="preserve">     Jubileumi jutalom (3 fő)</t>
  </si>
  <si>
    <t xml:space="preserve">     Egyéb személyi juttatás (bérkomp., betegsz.,)</t>
  </si>
  <si>
    <t xml:space="preserve">          WinSzoc program</t>
  </si>
  <si>
    <t xml:space="preserve">          2.2. Idegenforgalmi adó</t>
  </si>
  <si>
    <t>Szakértői díj (tervezés) Boldog Békeidők projekt</t>
  </si>
  <si>
    <t xml:space="preserve">        Főszerkesztői feladatok ellátása</t>
  </si>
  <si>
    <t xml:space="preserve">        Intarzia</t>
  </si>
  <si>
    <t xml:space="preserve">           Kulipintyó udvarrendezés, öntözőrendszer telepítés</t>
  </si>
  <si>
    <t>működési egyenleg</t>
  </si>
  <si>
    <t>Partvédőmű tervezés, engedélyeztetés (IV.ütem)</t>
  </si>
  <si>
    <t xml:space="preserve">           BFT támogatás - Partvédőmű rekonstrukció III. ütem</t>
  </si>
  <si>
    <t xml:space="preserve">              Labor analizátor (Mindray H50P)</t>
  </si>
  <si>
    <t xml:space="preserve">          EFOP pályázat támogatása (záró elszámolás)</t>
  </si>
  <si>
    <t xml:space="preserve">     3. K507 Működési célú garancia- és kezességvállalásból származó kifizetés államháztartáson kívülre</t>
  </si>
  <si>
    <t>Szolidaritási hozzájárulás</t>
  </si>
  <si>
    <t>2020 és korábbi évek</t>
  </si>
  <si>
    <t>2021. évi adósságot keletkeztető ügyleteiből eredő fizetési kötelezettségek, várható saját bevételek</t>
  </si>
  <si>
    <t>2024 és további évek</t>
  </si>
  <si>
    <t>2024 
és további évek össz.</t>
  </si>
  <si>
    <r>
      <t xml:space="preserve">                                           </t>
    </r>
    <r>
      <rPr>
        <b/>
        <i/>
        <u/>
        <sz val="12"/>
        <rFont val="Times New Roman"/>
        <family val="1"/>
        <charset val="238"/>
      </rPr>
      <t>Balatonföldvár Város Önkormányzat 2021. évi bevétel-kiadási előirányzat-felhasználási ütemterve</t>
    </r>
  </si>
  <si>
    <t xml:space="preserve">Egyéb elvonások, befizetések </t>
  </si>
  <si>
    <t>Költségfelosztás 2021. Összesítő (2021.02.03.)</t>
  </si>
  <si>
    <t>Települések</t>
  </si>
  <si>
    <t>Lakosságszám 
(fő)</t>
  </si>
  <si>
    <t xml:space="preserve">TKT </t>
  </si>
  <si>
    <t>2020. évi hozzájárulás (módosított)</t>
  </si>
  <si>
    <t>2020. évi
 hátralék</t>
  </si>
  <si>
    <t>Társulási díj   
500Ft/fő/év</t>
  </si>
  <si>
    <t>TKT működési h.jár</t>
  </si>
  <si>
    <t xml:space="preserve">Ügyelet  </t>
  </si>
  <si>
    <t xml:space="preserve">Labor  </t>
  </si>
  <si>
    <t>TKT
összesen</t>
  </si>
  <si>
    <t xml:space="preserve">BTKT TV </t>
  </si>
  <si>
    <t>JHS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</si>
  <si>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</si>
  <si>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</si>
  <si>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</si>
  <si>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</si>
  <si>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</si>
  <si>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</si>
  <si>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</si>
  <si>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</si>
  <si>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</si>
  <si>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</si>
  <si>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</si>
  <si>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</si>
  <si>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</si>
  <si>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</si>
  <si>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</si>
  <si>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</si>
  <si>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</si>
  <si>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</si>
  <si>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</si>
  <si>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>Házi segítség
nyújtás 
2021</t>
  </si>
  <si>
    <t xml:space="preserve">előző év
</t>
  </si>
  <si>
    <t>TKT ügyeleti díj / labor díj alakulása</t>
  </si>
  <si>
    <t>ügyelet 
2020. I.</t>
  </si>
  <si>
    <t>ügyelet 2020. II.</t>
  </si>
  <si>
    <t>többletfin.
ügyelet
2020.II-2021</t>
  </si>
  <si>
    <t>labor 
2020. I.</t>
  </si>
  <si>
    <t>labor 
2020. II.</t>
  </si>
  <si>
    <t>többletfin.
labor
2020.II-2021</t>
  </si>
  <si>
    <t>Eü-i feladatok többlete összesen</t>
  </si>
  <si>
    <t>EÜ feladatokon kívül 
változás előző évhez képes</t>
  </si>
  <si>
    <t>többletfin. 2020. évi
eredetihez</t>
  </si>
  <si>
    <t>Bölcsőde fejlesztés</t>
  </si>
  <si>
    <t>2021. évi Európai Uniós forrásból finanszírozott támogatással megvalósuló projektek kiadásai, 
projekt megvalósításhoz történő önkormányzati hozzájárulásai</t>
  </si>
  <si>
    <t>2021. évi költségvetés érintő kiadás</t>
  </si>
  <si>
    <t>2021. évi költségvetés érintő várható önerő összege</t>
  </si>
  <si>
    <t xml:space="preserve">      1. Egyéb működési célú átvett pénzeszközök (Földvár kártya értékesítés terv. bevétele 2021. évi)</t>
  </si>
  <si>
    <t>2024. évi eredeti előirányzat</t>
  </si>
  <si>
    <t>2021-2024. évi gördülő tervezése</t>
  </si>
  <si>
    <t>támogatás ráemelés folyamatban</t>
  </si>
  <si>
    <t xml:space="preserve">          Állami támogatás visszatérítése TKT-tól (óvodai nevelés 2019. évi visszafizetés)</t>
  </si>
  <si>
    <t>zv (egyéb)</t>
  </si>
  <si>
    <t xml:space="preserve">          Ágazati pótlék</t>
  </si>
  <si>
    <t xml:space="preserve">           Táncművészeti szervek támogatása (Előadó és Alkotóművészetért Alapítvány)</t>
  </si>
  <si>
    <t xml:space="preserve">      Idegenforgalmi adóhoz kapcsolódó kiegészítő támogatás (2020. évről 2532 e Ft)</t>
  </si>
  <si>
    <t xml:space="preserve">2021. évi költségvetésének módosítása - indoklás </t>
  </si>
  <si>
    <t xml:space="preserve">              Löszfal vásárlás (36/2021.(IV.7.) polgármesteri határozat )</t>
  </si>
  <si>
    <t xml:space="preserve">        Faállomány felmérése (59/2021.(V.7.) polgm.-i hat.)</t>
  </si>
  <si>
    <t xml:space="preserve">     Faállomány felmérése (59/2021.(V.7.) polgmármesteri határozat)</t>
  </si>
  <si>
    <t xml:space="preserve">     Alkalmazottak illetménye (kiegészítő támogatásból)</t>
  </si>
  <si>
    <t xml:space="preserve">     Közutak támogatása (kiegészítő támogatás)</t>
  </si>
  <si>
    <t xml:space="preserve">     Közterületek, utak, zöldfelület fenntartása (kiegészítő állami támogatás átadása) Nonprofit Kft.</t>
  </si>
  <si>
    <t xml:space="preserve">     Szociális étkeztetés (májusi felmérés alapján)</t>
  </si>
  <si>
    <t xml:space="preserve">     Szociális étkeztetés állami támogatás átadása (májusi felmérés)</t>
  </si>
  <si>
    <t xml:space="preserve">     Intézményi gyermekétkeztetés - bértámogatás (májusi felmérés alapján)</t>
  </si>
  <si>
    <t xml:space="preserve">     Intézményi gyermekétkeztetés elvonás (májusi felmérés alapján)</t>
  </si>
  <si>
    <t xml:space="preserve">            Szociális ágazati pótlék</t>
  </si>
  <si>
    <t xml:space="preserve">     Szociális ágazati pótlék (átcsoportosítás B115-ről) </t>
  </si>
  <si>
    <t xml:space="preserve">     Táncművészeti szervek támogatása (Előadó és Alkotóművészetért Alapítvány) (átcsop.B115-ről)</t>
  </si>
  <si>
    <t xml:space="preserve">     Szociális ágazati pótlék (átcsoportosítás B113-ra) </t>
  </si>
  <si>
    <t xml:space="preserve">     Táncművészeti szervek támogatása (Előadó és Alkotóművészetért Alapítvány) (átcsop.B114-re)</t>
  </si>
  <si>
    <t xml:space="preserve">     OEP finanszírozás </t>
  </si>
  <si>
    <t xml:space="preserve">     Alkalmazottak illetménye: védőnő OEP fin.</t>
  </si>
  <si>
    <t xml:space="preserve">     Egyéb személyi juttatás: védőnő OEP fin.</t>
  </si>
  <si>
    <t xml:space="preserve">     Műszaki jellegű szolgáltatások: településrendezési tervezési díj</t>
  </si>
  <si>
    <t xml:space="preserve">     Egyéb működési bevételek (TRE 22.sz mód.)</t>
  </si>
  <si>
    <t xml:space="preserve">     Alkalmazottak illetménye</t>
  </si>
  <si>
    <t>K121</t>
  </si>
  <si>
    <t xml:space="preserve">     Külső személyi juttatások: polgármester illetménye, képviselői tiszteletdíjak</t>
  </si>
  <si>
    <t xml:space="preserve">     Közüzemi díjak </t>
  </si>
  <si>
    <t>K332</t>
  </si>
  <si>
    <t xml:space="preserve">     Vásárolt élelmezés:ellátási díjak szociális étkeztetés</t>
  </si>
  <si>
    <t xml:space="preserve">     Főépítészi szolgáltatás (2021. évi díjemelés)</t>
  </si>
  <si>
    <t xml:space="preserve">        Egyéb (füvesítés, zöldterület karbant.,kamerarend.)</t>
  </si>
  <si>
    <t xml:space="preserve">     Egyéb szolgáltatás: kamerarendszer villanyóra szekrény, ügyintézés, közvilágítás üzemeltetési ktg.</t>
  </si>
  <si>
    <t xml:space="preserve">     Földvár TV (Elek Dezső) átcsoportosítás K355-re</t>
  </si>
  <si>
    <t xml:space="preserve">     Földvár TV (Elek Dezső) átcsoportosítás K336-ról</t>
  </si>
  <si>
    <t>K5021</t>
  </si>
  <si>
    <t xml:space="preserve">     Egyéb dologi kiadások: COVID-19 megelőzés költségei, munka- és tűzvédelmi szolgáltatás</t>
  </si>
  <si>
    <t xml:space="preserve">     Munka- és tűzvédelmi Társulás tagdíj (átcsoportosítás K355-re)</t>
  </si>
  <si>
    <t xml:space="preserve">     2020. évi kiegészítő támogatás visszafizetés</t>
  </si>
  <si>
    <t>Tervezési munka, vízbekötés (Szivattyúpark)</t>
  </si>
  <si>
    <t xml:space="preserve">     Tervezési munka, vízbekötés, szakmérnöki tevékenység (Szivattyúpark felújítás)</t>
  </si>
  <si>
    <t xml:space="preserve">           Balatonföldvári szivattyúpark felújítása</t>
  </si>
  <si>
    <t xml:space="preserve">      Balatonföldvári szivattyúpark felújítása (átcsoportosítás K7-re)</t>
  </si>
  <si>
    <t xml:space="preserve">      Balatonföldvári szivattyúpark felújítása (átcsoportosítás K6-ról)</t>
  </si>
  <si>
    <t xml:space="preserve">              Telefon, TV beszerzés</t>
  </si>
  <si>
    <t xml:space="preserve">              Ingatlan beszerzés: telekalakítás</t>
  </si>
  <si>
    <t xml:space="preserve">              Hematológiai automata készülék</t>
  </si>
  <si>
    <t xml:space="preserve">      Telefon, TV beszerzés</t>
  </si>
  <si>
    <t xml:space="preserve">      Ingatlan beszerzés: telekalakítás</t>
  </si>
  <si>
    <t xml:space="preserve">      Hematológiai automata készülék</t>
  </si>
  <si>
    <t xml:space="preserve">     Megbízási díj: anyakönyvvezető helyettesítés</t>
  </si>
  <si>
    <t xml:space="preserve">     Kamatbevételek</t>
  </si>
  <si>
    <t xml:space="preserve">     Helyettesítési bér megtérítése, egyéb működési bevétel</t>
  </si>
  <si>
    <t>K311</t>
  </si>
  <si>
    <t xml:space="preserve">     Munkaruha vásárlás (átcsoportosítás K311-ről)</t>
  </si>
  <si>
    <t xml:space="preserve">     Szakmai anyagok beszerzése (átcsoportosítás K312-re)</t>
  </si>
  <si>
    <t xml:space="preserve">     Informatikai kellékek (átcsoportosítás K331-re)</t>
  </si>
  <si>
    <t>K322</t>
  </si>
  <si>
    <t xml:space="preserve">     Telefonköltség (átcsoportosítás K355-re)</t>
  </si>
  <si>
    <t>K334</t>
  </si>
  <si>
    <t xml:space="preserve">     Karbantartás, kisjavítás (átcsoportosítás K355-re)</t>
  </si>
  <si>
    <t xml:space="preserve">      1. Egyéb felh.-i célú tám. visszafizetés: Kisfaludy2030 Nyugati strand családbarát fejl.tám.visszafiz.</t>
  </si>
  <si>
    <t xml:space="preserve">         3.1. Egyéb felh.-i célú tám. visszafizetés</t>
  </si>
  <si>
    <t xml:space="preserve">    Egyéb felhalmozási célú kiadások</t>
  </si>
  <si>
    <t xml:space="preserve">      Kisfaludy2030 Nyugati strand családbarát fejl.tám.visszafiz.</t>
  </si>
  <si>
    <t xml:space="preserve">031030 Közterület felügyelet </t>
  </si>
  <si>
    <t>2020. évi szoc.tűzifa támogatás visszafizetés</t>
  </si>
  <si>
    <t xml:space="preserve">     2020. évi szoc.tűzifa támogatás visszafizetés</t>
  </si>
  <si>
    <t xml:space="preserve">         Egyéb működési támogatás ÁHK-ről</t>
  </si>
  <si>
    <t xml:space="preserve">     Zöld Város projekt - támogatás ráemelés</t>
  </si>
  <si>
    <t>K84</t>
  </si>
  <si>
    <t>Egészségügyi 
ellátások 072111, 074011, 072112</t>
  </si>
  <si>
    <t xml:space="preserve">      Árnyas Part Ingatlanfejlesztő Kft. Támogatás (COVID)</t>
  </si>
  <si>
    <t xml:space="preserve">      dr. Kovács Zsolt támogatás (COVID)</t>
  </si>
  <si>
    <t xml:space="preserve">      Vízisport és Vitorlás Egyesület támogatása</t>
  </si>
  <si>
    <t xml:space="preserve">     IFA ellenőrök megbízási djía </t>
  </si>
  <si>
    <t xml:space="preserve">      Löszfal vásárlás (36/2021.(IV.7.) polgármesteri határozat)</t>
  </si>
  <si>
    <t>Módosított előirányzat 2021.07. havi</t>
  </si>
  <si>
    <t>Önkormányzat (módosított előirányzat 2021.07.havi)</t>
  </si>
  <si>
    <t xml:space="preserve">       Kötelező (módosított előirányzat 2021.07. havi)</t>
  </si>
  <si>
    <t xml:space="preserve">       Nem kötelező (módosított előirányzat 2021.07. havi)</t>
  </si>
  <si>
    <t>KÖH (módosított előirányzat 2021.07. havi)</t>
  </si>
  <si>
    <t>Önk.mindösszesen (módosított ei. 2021.07. havi)</t>
  </si>
  <si>
    <t>Módosított előirányzat 2021.07.hó</t>
  </si>
  <si>
    <t>mód.ei.          2021.07.hó</t>
  </si>
  <si>
    <t>mód.előir.
2021.07.hó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</si>
</sst>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.00\ _F_t_-;\-* #,##0.00\ _F_t_-;_-* &quot;-&quot;??\ _F_t_-;_-@_-"/>
    <numFmt numFmtId="165" formatCode="_-* #,##0.00\ _F_t_-;\-* #,##0.00\ _F_t_-;_-* \-??\ _F_t_-;_-@_-"/>
  </numFmts>
  <fonts count="94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9"/>
      <name val="Arial CE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i/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8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 CE"/>
      <charset val="238"/>
    </font>
    <font>
      <sz val="10"/>
      <color theme="0"/>
      <name val="Arial CE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7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9" fillId="0" borderId="0" applyFill="0" applyBorder="0" applyAlignment="0" applyProtection="0"/>
    <xf numFmtId="0" fontId="10" fillId="0" borderId="0"/>
    <xf numFmtId="0" fontId="10" fillId="0" borderId="0"/>
    <xf numFmtId="0" fontId="71" fillId="0" borderId="0"/>
    <xf numFmtId="0" fontId="50" fillId="0" borderId="0"/>
    <xf numFmtId="0" fontId="52" fillId="0" borderId="0"/>
    <xf numFmtId="0" fontId="62" fillId="0" borderId="0"/>
    <xf numFmtId="0" fontId="19" fillId="0" borderId="0"/>
    <xf numFmtId="0" fontId="5" fillId="0" borderId="0"/>
    <xf numFmtId="0" fontId="65" fillId="0" borderId="0"/>
    <xf numFmtId="0" fontId="10" fillId="0" borderId="0"/>
  </cellStyleXfs>
  <cellXfs count="1110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Border="1"/>
    <xf numFmtId="0" fontId="0" fillId="2" borderId="0" xfId="0" applyFill="1"/>
    <xf numFmtId="0" fontId="9" fillId="0" borderId="0" xfId="0" applyFont="1"/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/>
    <xf numFmtId="3" fontId="1" fillId="0" borderId="0" xfId="0" applyNumberFormat="1" applyFont="1"/>
    <xf numFmtId="0" fontId="1" fillId="0" borderId="1" xfId="0" applyFont="1" applyBorder="1"/>
    <xf numFmtId="0" fontId="11" fillId="0" borderId="0" xfId="0" applyFont="1"/>
    <xf numFmtId="0" fontId="11" fillId="0" borderId="0" xfId="0" applyFont="1" applyBorder="1"/>
    <xf numFmtId="0" fontId="1" fillId="2" borderId="0" xfId="0" applyFont="1" applyFill="1" applyAlignment="1">
      <alignment horizontal="right"/>
    </xf>
    <xf numFmtId="3" fontId="1" fillId="0" borderId="1" xfId="0" applyNumberFormat="1" applyFont="1" applyBorder="1"/>
    <xf numFmtId="0" fontId="1" fillId="0" borderId="2" xfId="0" applyFont="1" applyBorder="1"/>
    <xf numFmtId="3" fontId="4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Fill="1" applyBorder="1"/>
    <xf numFmtId="0" fontId="3" fillId="0" borderId="1" xfId="0" applyFont="1" applyBorder="1"/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0" xfId="0" applyFont="1" applyBorder="1"/>
    <xf numFmtId="0" fontId="14" fillId="0" borderId="0" xfId="0" applyFont="1"/>
    <xf numFmtId="3" fontId="14" fillId="0" borderId="0" xfId="0" applyNumberFormat="1" applyFont="1"/>
    <xf numFmtId="0" fontId="11" fillId="0" borderId="3" xfId="0" applyFont="1" applyBorder="1"/>
    <xf numFmtId="0" fontId="1" fillId="0" borderId="1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/>
    </xf>
    <xf numFmtId="3" fontId="11" fillId="0" borderId="1" xfId="0" applyNumberFormat="1" applyFont="1" applyBorder="1"/>
    <xf numFmtId="0" fontId="13" fillId="2" borderId="0" xfId="0" applyFont="1" applyFill="1" applyBorder="1"/>
    <xf numFmtId="3" fontId="18" fillId="0" borderId="1" xfId="0" applyNumberFormat="1" applyFont="1" applyBorder="1"/>
    <xf numFmtId="3" fontId="16" fillId="0" borderId="1" xfId="0" applyNumberFormat="1" applyFont="1" applyFill="1" applyBorder="1" applyAlignment="1">
      <alignment horizontal="right"/>
    </xf>
    <xf numFmtId="3" fontId="11" fillId="0" borderId="0" xfId="0" applyNumberFormat="1" applyFont="1"/>
    <xf numFmtId="3" fontId="3" fillId="0" borderId="1" xfId="0" applyNumberFormat="1" applyFont="1" applyBorder="1" applyAlignment="1"/>
    <xf numFmtId="3" fontId="1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Border="1"/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10" fillId="0" borderId="0" xfId="0" applyFont="1"/>
    <xf numFmtId="0" fontId="18" fillId="0" borderId="0" xfId="0" applyFont="1"/>
    <xf numFmtId="0" fontId="1" fillId="0" borderId="3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/>
    </xf>
    <xf numFmtId="0" fontId="0" fillId="6" borderId="0" xfId="0" applyFill="1" applyBorder="1"/>
    <xf numFmtId="0" fontId="1" fillId="0" borderId="0" xfId="0" applyFont="1" applyAlignment="1">
      <alignment horizontal="right"/>
    </xf>
    <xf numFmtId="0" fontId="1" fillId="6" borderId="0" xfId="0" applyFont="1" applyFill="1"/>
    <xf numFmtId="3" fontId="1" fillId="0" borderId="0" xfId="0" applyNumberFormat="1" applyFont="1" applyAlignment="1">
      <alignment horizontal="right"/>
    </xf>
    <xf numFmtId="0" fontId="21" fillId="2" borderId="0" xfId="0" applyFont="1" applyFill="1" applyAlignment="1">
      <alignment horizontal="right"/>
    </xf>
    <xf numFmtId="3" fontId="0" fillId="0" borderId="1" xfId="0" applyNumberFormat="1" applyBorder="1"/>
    <xf numFmtId="0" fontId="23" fillId="0" borderId="1" xfId="0" applyFont="1" applyBorder="1"/>
    <xf numFmtId="3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4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1" fillId="0" borderId="1" xfId="2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2" xfId="2" applyNumberFormat="1" applyFont="1" applyFill="1" applyBorder="1" applyAlignment="1">
      <alignment horizontal="right" vertical="center"/>
    </xf>
    <xf numFmtId="3" fontId="26" fillId="0" borderId="7" xfId="0" applyNumberFormat="1" applyFont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9" fontId="14" fillId="0" borderId="0" xfId="0" applyNumberFormat="1" applyFont="1"/>
    <xf numFmtId="3" fontId="0" fillId="0" borderId="0" xfId="0" applyNumberFormat="1"/>
    <xf numFmtId="0" fontId="4" fillId="5" borderId="4" xfId="0" applyFont="1" applyFill="1" applyBorder="1" applyAlignment="1">
      <alignment horizontal="left"/>
    </xf>
    <xf numFmtId="3" fontId="4" fillId="0" borderId="1" xfId="0" applyNumberFormat="1" applyFont="1" applyFill="1" applyBorder="1" applyAlignment="1"/>
    <xf numFmtId="0" fontId="0" fillId="0" borderId="0" xfId="0" applyFill="1"/>
    <xf numFmtId="0" fontId="24" fillId="0" borderId="3" xfId="0" applyFont="1" applyBorder="1" applyAlignment="1">
      <alignment horizontal="left"/>
    </xf>
    <xf numFmtId="0" fontId="0" fillId="0" borderId="0" xfId="0" applyAlignment="1"/>
    <xf numFmtId="3" fontId="1" fillId="0" borderId="1" xfId="0" applyNumberFormat="1" applyFont="1" applyFill="1" applyBorder="1" applyAlignment="1">
      <alignment vertical="center" wrapText="1"/>
    </xf>
    <xf numFmtId="3" fontId="1" fillId="0" borderId="2" xfId="0" applyNumberFormat="1" applyFont="1" applyBorder="1"/>
    <xf numFmtId="0" fontId="6" fillId="0" borderId="1" xfId="0" applyFont="1" applyBorder="1"/>
    <xf numFmtId="3" fontId="1" fillId="0" borderId="3" xfId="0" applyNumberFormat="1" applyFont="1" applyFill="1" applyBorder="1"/>
    <xf numFmtId="3" fontId="1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21" fillId="6" borderId="0" xfId="0" applyFont="1" applyFill="1" applyAlignment="1">
      <alignment horizontal="right"/>
    </xf>
    <xf numFmtId="0" fontId="5" fillId="2" borderId="0" xfId="0" applyFont="1" applyFill="1"/>
    <xf numFmtId="0" fontId="34" fillId="2" borderId="0" xfId="0" applyFont="1" applyFill="1"/>
    <xf numFmtId="0" fontId="21" fillId="2" borderId="0" xfId="0" applyFont="1" applyFill="1"/>
    <xf numFmtId="0" fontId="34" fillId="2" borderId="0" xfId="0" applyFont="1" applyFill="1" applyAlignment="1">
      <alignment horizontal="right"/>
    </xf>
    <xf numFmtId="0" fontId="35" fillId="2" borderId="0" xfId="0" applyFont="1" applyFill="1"/>
    <xf numFmtId="0" fontId="21" fillId="2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Alignment="1">
      <alignment horizontal="right"/>
    </xf>
    <xf numFmtId="3" fontId="3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7" fillId="0" borderId="0" xfId="0" applyNumberFormat="1" applyFont="1" applyBorder="1"/>
    <xf numFmtId="0" fontId="0" fillId="6" borderId="0" xfId="0" applyFill="1"/>
    <xf numFmtId="0" fontId="34" fillId="2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3" fontId="34" fillId="0" borderId="0" xfId="0" applyNumberFormat="1" applyFont="1"/>
    <xf numFmtId="0" fontId="34" fillId="0" borderId="0" xfId="0" applyFont="1"/>
    <xf numFmtId="0" fontId="40" fillId="2" borderId="0" xfId="0" applyFont="1" applyFill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/>
    <xf numFmtId="0" fontId="0" fillId="0" borderId="11" xfId="0" applyBorder="1"/>
    <xf numFmtId="3" fontId="7" fillId="0" borderId="12" xfId="0" applyNumberFormat="1" applyFont="1" applyBorder="1"/>
    <xf numFmtId="0" fontId="7" fillId="0" borderId="11" xfId="0" applyFont="1" applyBorder="1"/>
    <xf numFmtId="3" fontId="7" fillId="0" borderId="1" xfId="0" applyNumberFormat="1" applyFont="1" applyBorder="1"/>
    <xf numFmtId="0" fontId="11" fillId="0" borderId="11" xfId="0" applyFont="1" applyBorder="1" applyAlignment="1">
      <alignment wrapText="1"/>
    </xf>
    <xf numFmtId="0" fontId="7" fillId="0" borderId="13" xfId="0" applyFont="1" applyBorder="1"/>
    <xf numFmtId="3" fontId="7" fillId="2" borderId="8" xfId="0" applyNumberFormat="1" applyFont="1" applyFill="1" applyBorder="1"/>
    <xf numFmtId="3" fontId="7" fillId="2" borderId="14" xfId="0" applyNumberFormat="1" applyFont="1" applyFill="1" applyBorder="1"/>
    <xf numFmtId="0" fontId="7" fillId="2" borderId="0" xfId="0" applyFont="1" applyFill="1" applyBorder="1"/>
    <xf numFmtId="0" fontId="41" fillId="2" borderId="0" xfId="0" applyFont="1" applyFill="1" applyBorder="1"/>
    <xf numFmtId="0" fontId="2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3" fontId="4" fillId="7" borderId="2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3" fontId="21" fillId="0" borderId="3" xfId="0" applyNumberFormat="1" applyFont="1" applyBorder="1" applyAlignment="1">
      <alignment horizontal="right"/>
    </xf>
    <xf numFmtId="0" fontId="21" fillId="0" borderId="3" xfId="0" applyFont="1" applyBorder="1" applyAlignment="1">
      <alignment horizontal="right"/>
    </xf>
    <xf numFmtId="0" fontId="42" fillId="7" borderId="1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/>
    <xf numFmtId="3" fontId="0" fillId="7" borderId="1" xfId="0" applyNumberFormat="1" applyFill="1" applyBorder="1"/>
    <xf numFmtId="0" fontId="0" fillId="0" borderId="11" xfId="0" applyBorder="1" applyAlignment="1">
      <alignment wrapText="1"/>
    </xf>
    <xf numFmtId="3" fontId="4" fillId="8" borderId="4" xfId="0" applyNumberFormat="1" applyFont="1" applyFill="1" applyBorder="1" applyAlignment="1">
      <alignment horizontal="left" vertical="center"/>
    </xf>
    <xf numFmtId="3" fontId="4" fillId="8" borderId="5" xfId="2" applyNumberFormat="1" applyFont="1" applyFill="1" applyBorder="1" applyAlignment="1">
      <alignment horizontal="right" vertical="center"/>
    </xf>
    <xf numFmtId="3" fontId="4" fillId="8" borderId="6" xfId="0" applyNumberFormat="1" applyFont="1" applyFill="1" applyBorder="1" applyAlignment="1">
      <alignment vertical="center"/>
    </xf>
    <xf numFmtId="3" fontId="27" fillId="8" borderId="5" xfId="2" applyNumberFormat="1" applyFont="1" applyFill="1" applyBorder="1" applyAlignment="1">
      <alignment horizontal="right" vertical="center"/>
    </xf>
    <xf numFmtId="3" fontId="27" fillId="8" borderId="6" xfId="2" applyNumberFormat="1" applyFont="1" applyFill="1" applyBorder="1" applyAlignment="1">
      <alignment horizontal="right" vertical="center"/>
    </xf>
    <xf numFmtId="3" fontId="1" fillId="0" borderId="3" xfId="2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4" fillId="8" borderId="5" xfId="0" applyNumberFormat="1" applyFont="1" applyFill="1" applyBorder="1" applyAlignment="1">
      <alignment vertical="center"/>
    </xf>
    <xf numFmtId="3" fontId="25" fillId="8" borderId="4" xfId="0" applyNumberFormat="1" applyFont="1" applyFill="1" applyBorder="1" applyAlignment="1">
      <alignment horizontal="left" vertical="center" wrapText="1"/>
    </xf>
    <xf numFmtId="3" fontId="25" fillId="8" borderId="5" xfId="0" applyNumberFormat="1" applyFont="1" applyFill="1" applyBorder="1" applyAlignment="1">
      <alignment vertical="center"/>
    </xf>
    <xf numFmtId="3" fontId="25" fillId="8" borderId="6" xfId="0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/>
    </xf>
    <xf numFmtId="3" fontId="4" fillId="8" borderId="6" xfId="2" applyNumberFormat="1" applyFont="1" applyFill="1" applyBorder="1" applyAlignment="1">
      <alignment horizontal="right" vertical="center"/>
    </xf>
    <xf numFmtId="0" fontId="34" fillId="6" borderId="0" xfId="0" applyFont="1" applyFill="1"/>
    <xf numFmtId="0" fontId="35" fillId="2" borderId="0" xfId="0" applyFont="1" applyFill="1" applyAlignment="1"/>
    <xf numFmtId="0" fontId="16" fillId="2" borderId="4" xfId="0" applyFont="1" applyFill="1" applyBorder="1"/>
    <xf numFmtId="0" fontId="16" fillId="2" borderId="5" xfId="0" applyFont="1" applyFill="1" applyBorder="1"/>
    <xf numFmtId="3" fontId="16" fillId="2" borderId="5" xfId="0" applyNumberFormat="1" applyFont="1" applyFill="1" applyBorder="1"/>
    <xf numFmtId="3" fontId="16" fillId="2" borderId="6" xfId="0" applyNumberFormat="1" applyFont="1" applyFill="1" applyBorder="1"/>
    <xf numFmtId="49" fontId="1" fillId="0" borderId="2" xfId="0" applyNumberFormat="1" applyFont="1" applyBorder="1" applyAlignment="1">
      <alignment horizontal="right"/>
    </xf>
    <xf numFmtId="3" fontId="5" fillId="0" borderId="1" xfId="0" applyNumberFormat="1" applyFont="1" applyFill="1" applyBorder="1"/>
    <xf numFmtId="3" fontId="0" fillId="0" borderId="1" xfId="0" applyNumberFormat="1" applyFill="1" applyBorder="1"/>
    <xf numFmtId="0" fontId="1" fillId="0" borderId="16" xfId="0" applyFont="1" applyFill="1" applyBorder="1" applyAlignment="1">
      <alignment horizontal="left" vertical="center" wrapText="1"/>
    </xf>
    <xf numFmtId="0" fontId="4" fillId="0" borderId="3" xfId="0" applyFont="1" applyBorder="1"/>
    <xf numFmtId="3" fontId="16" fillId="0" borderId="1" xfId="0" applyNumberFormat="1" applyFont="1" applyBorder="1" applyAlignment="1"/>
    <xf numFmtId="3" fontId="4" fillId="7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0" fillId="0" borderId="17" xfId="0" applyBorder="1"/>
    <xf numFmtId="0" fontId="21" fillId="0" borderId="1" xfId="0" applyFont="1" applyFill="1" applyBorder="1"/>
    <xf numFmtId="0" fontId="4" fillId="7" borderId="2" xfId="0" applyFont="1" applyFill="1" applyBorder="1"/>
    <xf numFmtId="0" fontId="6" fillId="0" borderId="17" xfId="0" applyFont="1" applyBorder="1"/>
    <xf numFmtId="3" fontId="1" fillId="0" borderId="3" xfId="0" applyNumberFormat="1" applyFont="1" applyBorder="1"/>
    <xf numFmtId="3" fontId="21" fillId="0" borderId="3" xfId="0" applyNumberFormat="1" applyFont="1" applyFill="1" applyBorder="1"/>
    <xf numFmtId="0" fontId="14" fillId="0" borderId="0" xfId="0" applyFont="1" applyFill="1"/>
    <xf numFmtId="0" fontId="1" fillId="0" borderId="0" xfId="0" applyFont="1" applyFill="1"/>
    <xf numFmtId="3" fontId="2" fillId="7" borderId="5" xfId="0" applyNumberFormat="1" applyFont="1" applyFill="1" applyBorder="1" applyAlignment="1"/>
    <xf numFmtId="0" fontId="8" fillId="7" borderId="4" xfId="0" applyFont="1" applyFill="1" applyBorder="1" applyAlignment="1">
      <alignment horizontal="left"/>
    </xf>
    <xf numFmtId="0" fontId="6" fillId="0" borderId="3" xfId="0" applyFont="1" applyBorder="1"/>
    <xf numFmtId="3" fontId="4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/>
    <xf numFmtId="3" fontId="12" fillId="0" borderId="1" xfId="0" applyNumberFormat="1" applyFont="1" applyBorder="1" applyAlignment="1">
      <alignment horizontal="right"/>
    </xf>
    <xf numFmtId="3" fontId="4" fillId="7" borderId="3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/>
    <xf numFmtId="0" fontId="21" fillId="0" borderId="0" xfId="0" applyFont="1"/>
    <xf numFmtId="0" fontId="2" fillId="7" borderId="1" xfId="0" applyFont="1" applyFill="1" applyBorder="1" applyAlignment="1">
      <alignment horizontal="left"/>
    </xf>
    <xf numFmtId="0" fontId="1" fillId="0" borderId="3" xfId="0" applyFont="1" applyFill="1" applyBorder="1"/>
    <xf numFmtId="3" fontId="30" fillId="0" borderId="0" xfId="0" applyNumberFormat="1" applyFont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3" fontId="23" fillId="0" borderId="0" xfId="0" applyNumberFormat="1" applyFont="1"/>
    <xf numFmtId="3" fontId="15" fillId="0" borderId="0" xfId="0" applyNumberFormat="1" applyFont="1"/>
    <xf numFmtId="0" fontId="23" fillId="0" borderId="0" xfId="0" applyFont="1"/>
    <xf numFmtId="3" fontId="1" fillId="0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2" fillId="0" borderId="3" xfId="0" applyNumberFormat="1" applyFont="1" applyBorder="1"/>
    <xf numFmtId="0" fontId="2" fillId="0" borderId="2" xfId="0" applyFont="1" applyBorder="1" applyAlignment="1">
      <alignment vertical="center"/>
    </xf>
    <xf numFmtId="3" fontId="14" fillId="0" borderId="1" xfId="0" applyNumberFormat="1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0" fontId="39" fillId="3" borderId="18" xfId="0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>
      <alignment horizontal="right"/>
    </xf>
    <xf numFmtId="0" fontId="13" fillId="6" borderId="0" xfId="0" applyFont="1" applyFill="1" applyBorder="1"/>
    <xf numFmtId="3" fontId="1" fillId="6" borderId="0" xfId="0" applyNumberFormat="1" applyFont="1" applyFill="1" applyAlignment="1">
      <alignment horizontal="right"/>
    </xf>
    <xf numFmtId="0" fontId="14" fillId="6" borderId="0" xfId="0" applyFont="1" applyFill="1"/>
    <xf numFmtId="3" fontId="16" fillId="0" borderId="5" xfId="0" applyNumberFormat="1" applyFont="1" applyBorder="1"/>
    <xf numFmtId="3" fontId="6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3" fontId="6" fillId="0" borderId="1" xfId="0" applyNumberFormat="1" applyFont="1" applyBorder="1"/>
    <xf numFmtId="3" fontId="11" fillId="6" borderId="0" xfId="0" applyNumberFormat="1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/>
    <xf numFmtId="3" fontId="16" fillId="0" borderId="1" xfId="0" applyNumberFormat="1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3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0" fillId="0" borderId="0" xfId="0" applyFont="1"/>
    <xf numFmtId="0" fontId="10" fillId="0" borderId="0" xfId="0" applyFont="1" applyFill="1"/>
    <xf numFmtId="3" fontId="1" fillId="0" borderId="0" xfId="0" applyNumberFormat="1" applyFont="1" applyAlignment="1"/>
    <xf numFmtId="3" fontId="1" fillId="0" borderId="1" xfId="0" applyNumberFormat="1" applyFont="1" applyBorder="1" applyAlignment="1"/>
    <xf numFmtId="3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>
      <alignment wrapText="1"/>
    </xf>
    <xf numFmtId="3" fontId="2" fillId="0" borderId="3" xfId="0" applyNumberFormat="1" applyFont="1" applyBorder="1" applyAlignment="1"/>
    <xf numFmtId="0" fontId="23" fillId="0" borderId="0" xfId="0" applyFont="1" applyAlignment="1"/>
    <xf numFmtId="3" fontId="11" fillId="0" borderId="0" xfId="0" applyNumberFormat="1" applyFont="1" applyAlignment="1"/>
    <xf numFmtId="3" fontId="4" fillId="0" borderId="0" xfId="0" applyNumberFormat="1" applyFont="1" applyAlignment="1"/>
    <xf numFmtId="0" fontId="1" fillId="0" borderId="0" xfId="0" applyFont="1" applyAlignment="1"/>
    <xf numFmtId="3" fontId="14" fillId="0" borderId="0" xfId="0" applyNumberFormat="1" applyFont="1" applyAlignment="1"/>
    <xf numFmtId="3" fontId="2" fillId="0" borderId="1" xfId="0" applyNumberFormat="1" applyFont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3" fontId="14" fillId="0" borderId="1" xfId="0" applyNumberFormat="1" applyFont="1" applyBorder="1" applyAlignment="1"/>
    <xf numFmtId="3" fontId="2" fillId="0" borderId="1" xfId="0" applyNumberFormat="1" applyFont="1" applyFill="1" applyBorder="1" applyAlignment="1"/>
    <xf numFmtId="3" fontId="47" fillId="0" borderId="0" xfId="0" applyNumberFormat="1" applyFont="1"/>
    <xf numFmtId="3" fontId="0" fillId="9" borderId="19" xfId="0" applyNumberFormat="1" applyFill="1" applyBorder="1"/>
    <xf numFmtId="0" fontId="4" fillId="0" borderId="4" xfId="0" applyFont="1" applyFill="1" applyBorder="1"/>
    <xf numFmtId="0" fontId="4" fillId="0" borderId="0" xfId="0" applyFont="1" applyFill="1" applyBorder="1"/>
    <xf numFmtId="0" fontId="8" fillId="7" borderId="20" xfId="0" applyFont="1" applyFill="1" applyBorder="1" applyAlignment="1">
      <alignment horizontal="left"/>
    </xf>
    <xf numFmtId="3" fontId="2" fillId="7" borderId="21" xfId="0" applyNumberFormat="1" applyFont="1" applyFill="1" applyBorder="1" applyAlignment="1"/>
    <xf numFmtId="0" fontId="72" fillId="0" borderId="0" xfId="0" applyFont="1"/>
    <xf numFmtId="0" fontId="73" fillId="0" borderId="0" xfId="0" applyFont="1"/>
    <xf numFmtId="0" fontId="73" fillId="6" borderId="0" xfId="0" applyFont="1" applyFill="1"/>
    <xf numFmtId="0" fontId="4" fillId="7" borderId="3" xfId="0" applyFont="1" applyFill="1" applyBorder="1"/>
    <xf numFmtId="0" fontId="3" fillId="7" borderId="4" xfId="0" applyFont="1" applyFill="1" applyBorder="1"/>
    <xf numFmtId="0" fontId="31" fillId="0" borderId="1" xfId="0" applyFont="1" applyFill="1" applyBorder="1"/>
    <xf numFmtId="0" fontId="3" fillId="7" borderId="7" xfId="0" applyFont="1" applyFill="1" applyBorder="1"/>
    <xf numFmtId="3" fontId="3" fillId="7" borderId="7" xfId="0" applyNumberFormat="1" applyFont="1" applyFill="1" applyBorder="1" applyAlignment="1"/>
    <xf numFmtId="0" fontId="2" fillId="7" borderId="4" xfId="0" applyFont="1" applyFill="1" applyBorder="1"/>
    <xf numFmtId="0" fontId="21" fillId="5" borderId="11" xfId="0" applyFont="1" applyFill="1" applyBorder="1" applyAlignment="1">
      <alignment horizontal="center"/>
    </xf>
    <xf numFmtId="3" fontId="46" fillId="0" borderId="0" xfId="0" applyNumberFormat="1" applyFont="1"/>
    <xf numFmtId="3" fontId="26" fillId="6" borderId="0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horizontal="right"/>
    </xf>
    <xf numFmtId="0" fontId="1" fillId="5" borderId="4" xfId="0" applyFont="1" applyFill="1" applyBorder="1"/>
    <xf numFmtId="0" fontId="8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3" fontId="11" fillId="0" borderId="18" xfId="0" applyNumberFormat="1" applyFont="1" applyFill="1" applyBorder="1"/>
    <xf numFmtId="3" fontId="28" fillId="3" borderId="8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/>
    <xf numFmtId="0" fontId="21" fillId="0" borderId="1" xfId="0" applyFont="1" applyBorder="1"/>
    <xf numFmtId="3" fontId="14" fillId="0" borderId="1" xfId="0" applyNumberFormat="1" applyFont="1" applyFill="1" applyBorder="1" applyAlignment="1"/>
    <xf numFmtId="0" fontId="14" fillId="0" borderId="1" xfId="0" applyFont="1" applyFill="1" applyBorder="1"/>
    <xf numFmtId="0" fontId="14" fillId="0" borderId="1" xfId="0" applyFont="1" applyBorder="1"/>
    <xf numFmtId="0" fontId="4" fillId="0" borderId="2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3" fontId="1" fillId="0" borderId="3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/>
    <xf numFmtId="3" fontId="1" fillId="0" borderId="3" xfId="0" applyNumberFormat="1" applyFont="1" applyFill="1" applyBorder="1" applyAlignment="1"/>
    <xf numFmtId="3" fontId="31" fillId="0" borderId="1" xfId="0" applyNumberFormat="1" applyFont="1" applyBorder="1" applyAlignment="1"/>
    <xf numFmtId="0" fontId="0" fillId="0" borderId="5" xfId="0" applyFont="1" applyBorder="1" applyAlignment="1"/>
    <xf numFmtId="3" fontId="4" fillId="7" borderId="1" xfId="0" applyNumberFormat="1" applyFont="1" applyFill="1" applyBorder="1" applyAlignment="1">
      <alignment horizontal="right"/>
    </xf>
    <xf numFmtId="3" fontId="4" fillId="7" borderId="2" xfId="0" applyNumberFormat="1" applyFont="1" applyFill="1" applyBorder="1" applyAlignment="1">
      <alignment horizontal="right"/>
    </xf>
    <xf numFmtId="3" fontId="2" fillId="7" borderId="5" xfId="0" applyNumberFormat="1" applyFont="1" applyFill="1" applyBorder="1" applyAlignment="1">
      <alignment horizontal="right"/>
    </xf>
    <xf numFmtId="3" fontId="4" fillId="7" borderId="3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vertical="center"/>
    </xf>
    <xf numFmtId="3" fontId="32" fillId="0" borderId="1" xfId="0" applyNumberFormat="1" applyFont="1" applyFill="1" applyBorder="1" applyAlignment="1"/>
    <xf numFmtId="3" fontId="32" fillId="0" borderId="1" xfId="0" applyNumberFormat="1" applyFont="1" applyBorder="1" applyAlignment="1"/>
    <xf numFmtId="3" fontId="21" fillId="0" borderId="1" xfId="0" applyNumberFormat="1" applyFont="1" applyFill="1" applyBorder="1" applyAlignment="1"/>
    <xf numFmtId="3" fontId="21" fillId="0" borderId="1" xfId="0" applyNumberFormat="1" applyFont="1" applyBorder="1" applyAlignment="1"/>
    <xf numFmtId="3" fontId="21" fillId="0" borderId="3" xfId="0" applyNumberFormat="1" applyFont="1" applyBorder="1" applyAlignment="1"/>
    <xf numFmtId="3" fontId="4" fillId="5" borderId="22" xfId="0" applyNumberFormat="1" applyFont="1" applyFill="1" applyBorder="1" applyAlignment="1"/>
    <xf numFmtId="3" fontId="4" fillId="5" borderId="2" xfId="0" applyNumberFormat="1" applyFont="1" applyFill="1" applyBorder="1" applyAlignment="1"/>
    <xf numFmtId="3" fontId="4" fillId="5" borderId="1" xfId="0" applyNumberFormat="1" applyFont="1" applyFill="1" applyBorder="1" applyAlignment="1"/>
    <xf numFmtId="3" fontId="4" fillId="5" borderId="5" xfId="0" applyNumberFormat="1" applyFont="1" applyFill="1" applyBorder="1" applyAlignment="1"/>
    <xf numFmtId="3" fontId="4" fillId="5" borderId="3" xfId="0" applyNumberFormat="1" applyFont="1" applyFill="1" applyBorder="1" applyAlignment="1"/>
    <xf numFmtId="3" fontId="4" fillId="5" borderId="23" xfId="0" applyNumberFormat="1" applyFont="1" applyFill="1" applyBorder="1" applyAlignment="1"/>
    <xf numFmtId="3" fontId="4" fillId="5" borderId="12" xfId="0" applyNumberFormat="1" applyFont="1" applyFill="1" applyBorder="1" applyAlignment="1"/>
    <xf numFmtId="3" fontId="4" fillId="9" borderId="6" xfId="0" applyNumberFormat="1" applyFont="1" applyFill="1" applyBorder="1" applyAlignment="1"/>
    <xf numFmtId="3" fontId="4" fillId="5" borderId="10" xfId="0" applyNumberFormat="1" applyFont="1" applyFill="1" applyBorder="1" applyAlignment="1"/>
    <xf numFmtId="3" fontId="8" fillId="5" borderId="6" xfId="0" applyNumberFormat="1" applyFont="1" applyFill="1" applyBorder="1" applyAlignment="1"/>
    <xf numFmtId="0" fontId="2" fillId="0" borderId="3" xfId="0" applyFont="1" applyFill="1" applyBorder="1" applyAlignment="1">
      <alignment horizontal="left" vertical="center"/>
    </xf>
    <xf numFmtId="3" fontId="3" fillId="0" borderId="3" xfId="0" applyNumberFormat="1" applyFont="1" applyBorder="1"/>
    <xf numFmtId="0" fontId="8" fillId="5" borderId="5" xfId="0" applyFont="1" applyFill="1" applyBorder="1" applyAlignment="1">
      <alignment horizontal="center" wrapText="1"/>
    </xf>
    <xf numFmtId="3" fontId="8" fillId="5" borderId="5" xfId="0" applyNumberFormat="1" applyFont="1" applyFill="1" applyBorder="1" applyAlignment="1">
      <alignment vertical="center"/>
    </xf>
    <xf numFmtId="3" fontId="8" fillId="5" borderId="6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3" fontId="2" fillId="5" borderId="5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/>
    <xf numFmtId="3" fontId="4" fillId="0" borderId="3" xfId="0" applyNumberFormat="1" applyFont="1" applyFill="1" applyBorder="1" applyAlignment="1">
      <alignment vertical="center" wrapText="1"/>
    </xf>
    <xf numFmtId="3" fontId="14" fillId="0" borderId="16" xfId="0" applyNumberFormat="1" applyFont="1" applyBorder="1" applyAlignment="1">
      <alignment vertical="center"/>
    </xf>
    <xf numFmtId="3" fontId="1" fillId="9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vertical="center"/>
    </xf>
    <xf numFmtId="3" fontId="21" fillId="0" borderId="0" xfId="0" applyNumberFormat="1" applyFont="1"/>
    <xf numFmtId="0" fontId="74" fillId="0" borderId="0" xfId="0" applyFont="1"/>
    <xf numFmtId="0" fontId="4" fillId="5" borderId="4" xfId="0" applyFont="1" applyFill="1" applyBorder="1"/>
    <xf numFmtId="0" fontId="1" fillId="0" borderId="1" xfId="0" applyFont="1" applyFill="1" applyBorder="1" applyAlignment="1"/>
    <xf numFmtId="0" fontId="75" fillId="6" borderId="0" xfId="0" applyFont="1" applyFill="1"/>
    <xf numFmtId="0" fontId="76" fillId="0" borderId="0" xfId="0" applyFont="1"/>
    <xf numFmtId="3" fontId="31" fillId="0" borderId="3" xfId="0" applyNumberFormat="1" applyFont="1" applyFill="1" applyBorder="1" applyAlignment="1">
      <alignment horizontal="right"/>
    </xf>
    <xf numFmtId="0" fontId="4" fillId="9" borderId="4" xfId="0" applyFont="1" applyFill="1" applyBorder="1" applyAlignment="1">
      <alignment wrapText="1"/>
    </xf>
    <xf numFmtId="3" fontId="4" fillId="9" borderId="6" xfId="0" applyNumberFormat="1" applyFont="1" applyFill="1" applyBorder="1" applyAlignment="1">
      <alignment vertical="center"/>
    </xf>
    <xf numFmtId="3" fontId="49" fillId="0" borderId="1" xfId="0" applyNumberFormat="1" applyFont="1" applyFill="1" applyBorder="1" applyAlignment="1">
      <alignment horizontal="right"/>
    </xf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 wrapText="1"/>
    </xf>
    <xf numFmtId="0" fontId="32" fillId="0" borderId="3" xfId="0" applyFont="1" applyBorder="1"/>
    <xf numFmtId="3" fontId="21" fillId="0" borderId="2" xfId="0" applyNumberFormat="1" applyFont="1" applyFill="1" applyBorder="1" applyAlignment="1"/>
    <xf numFmtId="3" fontId="32" fillId="0" borderId="2" xfId="0" applyNumberFormat="1" applyFont="1" applyBorder="1" applyAlignment="1"/>
    <xf numFmtId="0" fontId="32" fillId="0" borderId="3" xfId="0" applyFont="1" applyFill="1" applyBorder="1"/>
    <xf numFmtId="0" fontId="23" fillId="0" borderId="11" xfId="0" applyFont="1" applyBorder="1"/>
    <xf numFmtId="0" fontId="23" fillId="6" borderId="0" xfId="0" applyFont="1" applyFill="1"/>
    <xf numFmtId="0" fontId="47" fillId="0" borderId="3" xfId="0" applyFont="1" applyBorder="1"/>
    <xf numFmtId="0" fontId="47" fillId="0" borderId="1" xfId="0" applyFont="1" applyBorder="1"/>
    <xf numFmtId="0" fontId="23" fillId="0" borderId="17" xfId="0" applyFont="1" applyBorder="1"/>
    <xf numFmtId="0" fontId="47" fillId="0" borderId="17" xfId="0" applyFont="1" applyBorder="1"/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32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32" fillId="0" borderId="1" xfId="0" applyFont="1" applyFill="1" applyBorder="1" applyAlignment="1"/>
    <xf numFmtId="0" fontId="4" fillId="5" borderId="9" xfId="0" applyFont="1" applyFill="1" applyBorder="1" applyAlignment="1">
      <alignment horizontal="left"/>
    </xf>
    <xf numFmtId="3" fontId="1" fillId="0" borderId="3" xfId="0" applyNumberFormat="1" applyFont="1" applyFill="1" applyBorder="1" applyAlignment="1">
      <alignment horizontal="right" vertical="center"/>
    </xf>
    <xf numFmtId="0" fontId="15" fillId="3" borderId="22" xfId="0" applyFont="1" applyFill="1" applyBorder="1" applyAlignment="1">
      <alignment horizontal="center" vertical="center"/>
    </xf>
    <xf numFmtId="3" fontId="31" fillId="9" borderId="24" xfId="0" applyNumberFormat="1" applyFont="1" applyFill="1" applyBorder="1" applyAlignment="1">
      <alignment horizontal="right"/>
    </xf>
    <xf numFmtId="3" fontId="31" fillId="9" borderId="5" xfId="0" applyNumberFormat="1" applyFont="1" applyFill="1" applyBorder="1" applyAlignment="1">
      <alignment horizontal="right"/>
    </xf>
    <xf numFmtId="0" fontId="0" fillId="0" borderId="0" xfId="0" applyFont="1" applyFill="1"/>
    <xf numFmtId="0" fontId="24" fillId="0" borderId="25" xfId="0" applyFont="1" applyFill="1" applyBorder="1" applyAlignment="1">
      <alignment horizontal="center" vertical="center" wrapText="1"/>
    </xf>
    <xf numFmtId="0" fontId="23" fillId="0" borderId="26" xfId="0" applyFont="1" applyBorder="1"/>
    <xf numFmtId="3" fontId="1" fillId="8" borderId="3" xfId="0" applyNumberFormat="1" applyFont="1" applyFill="1" applyBorder="1" applyAlignment="1"/>
    <xf numFmtId="3" fontId="4" fillId="8" borderId="1" xfId="0" applyNumberFormat="1" applyFont="1" applyFill="1" applyBorder="1" applyAlignment="1"/>
    <xf numFmtId="0" fontId="6" fillId="0" borderId="0" xfId="0" applyFont="1" applyAlignment="1"/>
    <xf numFmtId="0" fontId="47" fillId="9" borderId="27" xfId="0" applyFont="1" applyFill="1" applyBorder="1" applyAlignment="1"/>
    <xf numFmtId="0" fontId="21" fillId="0" borderId="2" xfId="0" applyFont="1" applyBorder="1" applyAlignment="1">
      <alignment horizontal="center"/>
    </xf>
    <xf numFmtId="0" fontId="1" fillId="5" borderId="11" xfId="0" applyFont="1" applyFill="1" applyBorder="1" applyAlignment="1">
      <alignment horizontal="center" wrapText="1"/>
    </xf>
    <xf numFmtId="3" fontId="4" fillId="8" borderId="4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vertical="center"/>
    </xf>
    <xf numFmtId="3" fontId="30" fillId="0" borderId="16" xfId="0" applyNumberFormat="1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3" fontId="26" fillId="6" borderId="0" xfId="0" applyNumberFormat="1" applyFont="1" applyFill="1" applyBorder="1" applyAlignment="1">
      <alignment horizontal="right" vertical="center"/>
    </xf>
    <xf numFmtId="3" fontId="44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1" fillId="0" borderId="9" xfId="0" applyNumberFormat="1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right" vertical="center"/>
    </xf>
    <xf numFmtId="3" fontId="1" fillId="0" borderId="29" xfId="0" applyNumberFormat="1" applyFont="1" applyFill="1" applyBorder="1" applyAlignment="1">
      <alignment horizontal="left" vertical="center" wrapText="1"/>
    </xf>
    <xf numFmtId="3" fontId="4" fillId="8" borderId="3" xfId="0" applyNumberFormat="1" applyFont="1" applyFill="1" applyBorder="1" applyAlignment="1">
      <alignment horizontal="right" vertical="center" wrapText="1"/>
    </xf>
    <xf numFmtId="3" fontId="1" fillId="8" borderId="3" xfId="0" applyNumberFormat="1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3" fontId="2" fillId="5" borderId="5" xfId="0" applyNumberFormat="1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horizontal="right" vertical="center"/>
    </xf>
    <xf numFmtId="3" fontId="11" fillId="0" borderId="0" xfId="0" applyNumberFormat="1" applyFont="1" applyFill="1"/>
    <xf numFmtId="0" fontId="1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0" fontId="1" fillId="0" borderId="0" xfId="5" applyFont="1"/>
    <xf numFmtId="0" fontId="1" fillId="0" borderId="0" xfId="5" applyFont="1" applyAlignment="1">
      <alignment horizontal="right"/>
    </xf>
    <xf numFmtId="0" fontId="25" fillId="7" borderId="4" xfId="5" applyFont="1" applyFill="1" applyBorder="1" applyAlignment="1">
      <alignment horizontal="center" vertical="top" wrapText="1"/>
    </xf>
    <xf numFmtId="0" fontId="25" fillId="7" borderId="5" xfId="5" applyFont="1" applyFill="1" applyBorder="1" applyAlignment="1">
      <alignment horizontal="center" vertical="center" wrapText="1"/>
    </xf>
    <xf numFmtId="0" fontId="25" fillId="7" borderId="25" xfId="5" applyFont="1" applyFill="1" applyBorder="1" applyAlignment="1">
      <alignment horizontal="center" vertical="center" wrapText="1"/>
    </xf>
    <xf numFmtId="0" fontId="4" fillId="0" borderId="0" xfId="5" applyFont="1"/>
    <xf numFmtId="0" fontId="1" fillId="0" borderId="9" xfId="5" applyFont="1" applyBorder="1" applyAlignment="1">
      <alignment horizontal="center" vertical="top" wrapText="1"/>
    </xf>
    <xf numFmtId="0" fontId="1" fillId="0" borderId="3" xfId="5" applyFont="1" applyBorder="1" applyAlignment="1">
      <alignment horizontal="left" vertical="top" wrapText="1"/>
    </xf>
    <xf numFmtId="3" fontId="1" fillId="0" borderId="3" xfId="5" applyNumberFormat="1" applyFont="1" applyBorder="1" applyAlignment="1">
      <alignment horizontal="right" vertical="top" wrapText="1"/>
    </xf>
    <xf numFmtId="3" fontId="1" fillId="7" borderId="31" xfId="5" applyNumberFormat="1" applyFont="1" applyFill="1" applyBorder="1" applyAlignment="1">
      <alignment horizontal="right" vertical="top" wrapText="1"/>
    </xf>
    <xf numFmtId="0" fontId="1" fillId="0" borderId="11" xfId="5" applyFont="1" applyBorder="1" applyAlignment="1">
      <alignment horizontal="center" vertical="top" wrapText="1"/>
    </xf>
    <xf numFmtId="0" fontId="1" fillId="0" borderId="1" xfId="5" applyFont="1" applyBorder="1" applyAlignment="1">
      <alignment horizontal="left" vertical="top" wrapText="1"/>
    </xf>
    <xf numFmtId="3" fontId="1" fillId="0" borderId="1" xfId="5" applyNumberFormat="1" applyFont="1" applyBorder="1" applyAlignment="1">
      <alignment horizontal="right" vertical="top" wrapText="1"/>
    </xf>
    <xf numFmtId="3" fontId="1" fillId="7" borderId="32" xfId="5" applyNumberFormat="1" applyFont="1" applyFill="1" applyBorder="1" applyAlignment="1">
      <alignment horizontal="right" vertical="top" wrapText="1"/>
    </xf>
    <xf numFmtId="3" fontId="1" fillId="0" borderId="0" xfId="5" applyNumberFormat="1" applyFont="1"/>
    <xf numFmtId="0" fontId="4" fillId="0" borderId="11" xfId="5" applyFont="1" applyBorder="1" applyAlignment="1">
      <alignment horizontal="center" vertical="top" wrapText="1"/>
    </xf>
    <xf numFmtId="0" fontId="4" fillId="0" borderId="1" xfId="5" applyFont="1" applyBorder="1" applyAlignment="1">
      <alignment horizontal="left" vertical="top" wrapText="1"/>
    </xf>
    <xf numFmtId="3" fontId="4" fillId="0" borderId="1" xfId="5" applyNumberFormat="1" applyFont="1" applyBorder="1" applyAlignment="1">
      <alignment horizontal="right" vertical="top" wrapText="1"/>
    </xf>
    <xf numFmtId="3" fontId="4" fillId="7" borderId="32" xfId="5" applyNumberFormat="1" applyFont="1" applyFill="1" applyBorder="1" applyAlignment="1">
      <alignment horizontal="right" vertical="top" wrapText="1"/>
    </xf>
    <xf numFmtId="3" fontId="14" fillId="0" borderId="0" xfId="5" applyNumberFormat="1" applyFont="1"/>
    <xf numFmtId="3" fontId="1" fillId="0" borderId="1" xfId="5" applyNumberFormat="1" applyFont="1" applyBorder="1" applyAlignment="1">
      <alignment horizontal="right" vertical="center" wrapText="1"/>
    </xf>
    <xf numFmtId="3" fontId="1" fillId="7" borderId="32" xfId="5" applyNumberFormat="1" applyFont="1" applyFill="1" applyBorder="1" applyAlignment="1">
      <alignment horizontal="right" vertical="center" wrapText="1"/>
    </xf>
    <xf numFmtId="0" fontId="4" fillId="0" borderId="13" xfId="5" applyFont="1" applyBorder="1" applyAlignment="1">
      <alignment horizontal="center" vertical="top" wrapText="1"/>
    </xf>
    <xf numFmtId="0" fontId="4" fillId="0" borderId="8" xfId="5" applyFont="1" applyBorder="1" applyAlignment="1">
      <alignment horizontal="left" vertical="top" wrapText="1"/>
    </xf>
    <xf numFmtId="3" fontId="4" fillId="0" borderId="8" xfId="5" applyNumberFormat="1" applyFont="1" applyBorder="1" applyAlignment="1">
      <alignment horizontal="right" vertical="top" wrapText="1"/>
    </xf>
    <xf numFmtId="3" fontId="4" fillId="7" borderId="33" xfId="5" applyNumberFormat="1" applyFont="1" applyFill="1" applyBorder="1" applyAlignment="1">
      <alignment horizontal="right" vertical="top" wrapText="1"/>
    </xf>
    <xf numFmtId="0" fontId="25" fillId="7" borderId="1" xfId="5" applyFont="1" applyFill="1" applyBorder="1" applyAlignment="1">
      <alignment horizontal="center" vertical="top" wrapText="1"/>
    </xf>
    <xf numFmtId="0" fontId="25" fillId="7" borderId="1" xfId="5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top" wrapText="1"/>
    </xf>
    <xf numFmtId="3" fontId="4" fillId="0" borderId="1" xfId="5" applyNumberFormat="1" applyFont="1" applyFill="1" applyBorder="1" applyAlignment="1">
      <alignment horizontal="right" vertical="top" wrapText="1"/>
    </xf>
    <xf numFmtId="0" fontId="1" fillId="0" borderId="1" xfId="5" applyFont="1" applyBorder="1" applyAlignment="1">
      <alignment horizontal="center" vertical="center" wrapText="1"/>
    </xf>
    <xf numFmtId="3" fontId="1" fillId="0" borderId="1" xfId="5" applyNumberFormat="1" applyFont="1" applyFill="1" applyBorder="1" applyAlignment="1">
      <alignment horizontal="right" vertical="top" wrapText="1"/>
    </xf>
    <xf numFmtId="0" fontId="25" fillId="7" borderId="1" xfId="0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19" fillId="0" borderId="0" xfId="7" applyFont="1" applyAlignment="1">
      <alignment vertical="center"/>
    </xf>
    <xf numFmtId="0" fontId="1" fillId="0" borderId="0" xfId="7" applyFont="1" applyAlignment="1">
      <alignment horizontal="right" vertical="center"/>
    </xf>
    <xf numFmtId="3" fontId="19" fillId="0" borderId="0" xfId="7" applyNumberFormat="1" applyFont="1" applyAlignment="1">
      <alignment vertical="center"/>
    </xf>
    <xf numFmtId="3" fontId="17" fillId="0" borderId="0" xfId="0" applyNumberFormat="1" applyFont="1" applyAlignment="1"/>
    <xf numFmtId="0" fontId="20" fillId="0" borderId="0" xfId="7" applyFont="1" applyAlignment="1">
      <alignment horizontal="right" vertical="center"/>
    </xf>
    <xf numFmtId="0" fontId="1" fillId="0" borderId="13" xfId="7" applyFont="1" applyBorder="1" applyAlignment="1">
      <alignment horizontal="center" vertical="center" wrapText="1"/>
    </xf>
    <xf numFmtId="0" fontId="1" fillId="0" borderId="8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4" fillId="0" borderId="14" xfId="7" applyFont="1" applyBorder="1" applyAlignment="1">
      <alignment horizontal="center" vertical="center" wrapText="1"/>
    </xf>
    <xf numFmtId="0" fontId="31" fillId="0" borderId="3" xfId="7" applyFont="1" applyBorder="1" applyAlignment="1">
      <alignment horizontal="left" vertical="center" wrapText="1"/>
    </xf>
    <xf numFmtId="3" fontId="4" fillId="0" borderId="3" xfId="7" applyNumberFormat="1" applyFont="1" applyBorder="1" applyAlignment="1">
      <alignment horizontal="right" vertical="center" wrapText="1"/>
    </xf>
    <xf numFmtId="0" fontId="1" fillId="0" borderId="1" xfId="7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3" fontId="4" fillId="0" borderId="1" xfId="7" applyNumberFormat="1" applyFont="1" applyBorder="1" applyAlignment="1">
      <alignment horizontal="right" vertical="center" wrapText="1"/>
    </xf>
    <xf numFmtId="3" fontId="1" fillId="0" borderId="1" xfId="7" applyNumberFormat="1" applyFont="1" applyBorder="1" applyAlignment="1">
      <alignment horizontal="right" vertical="center" wrapText="1"/>
    </xf>
    <xf numFmtId="0" fontId="31" fillId="0" borderId="1" xfId="7" applyFont="1" applyBorder="1" applyAlignment="1">
      <alignment horizontal="left" vertical="center" wrapText="1"/>
    </xf>
    <xf numFmtId="0" fontId="31" fillId="0" borderId="1" xfId="7" applyFont="1" applyBorder="1" applyAlignment="1">
      <alignment vertical="center" wrapText="1"/>
    </xf>
    <xf numFmtId="0" fontId="53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3" fontId="4" fillId="0" borderId="1" xfId="7" applyNumberFormat="1" applyFont="1" applyFill="1" applyBorder="1" applyAlignment="1">
      <alignment horizontal="right" vertical="center" wrapText="1"/>
    </xf>
    <xf numFmtId="3" fontId="55" fillId="0" borderId="0" xfId="7" applyNumberFormat="1" applyFont="1" applyFill="1" applyAlignment="1">
      <alignment vertical="center"/>
    </xf>
    <xf numFmtId="3" fontId="19" fillId="0" borderId="0" xfId="7" applyNumberFormat="1" applyFont="1" applyFill="1" applyAlignment="1">
      <alignment vertical="center"/>
    </xf>
    <xf numFmtId="0" fontId="19" fillId="0" borderId="0" xfId="7" applyFont="1" applyFill="1" applyAlignment="1">
      <alignment vertical="center"/>
    </xf>
    <xf numFmtId="0" fontId="1" fillId="0" borderId="1" xfId="7" applyFont="1" applyFill="1" applyBorder="1" applyAlignment="1">
      <alignment horizontal="left" vertical="center" wrapText="1"/>
    </xf>
    <xf numFmtId="3" fontId="1" fillId="0" borderId="1" xfId="7" applyNumberFormat="1" applyFont="1" applyFill="1" applyBorder="1" applyAlignment="1">
      <alignment horizontal="right" vertical="center" wrapText="1"/>
    </xf>
    <xf numFmtId="0" fontId="31" fillId="0" borderId="1" xfId="7" applyFont="1" applyFill="1" applyBorder="1" applyAlignment="1">
      <alignment horizontal="left" vertical="center" wrapText="1"/>
    </xf>
    <xf numFmtId="3" fontId="14" fillId="0" borderId="1" xfId="7" applyNumberFormat="1" applyFont="1" applyFill="1" applyBorder="1" applyAlignment="1">
      <alignment horizontal="right" vertical="center" wrapText="1"/>
    </xf>
    <xf numFmtId="3" fontId="15" fillId="0" borderId="1" xfId="7" applyNumberFormat="1" applyFont="1" applyFill="1" applyBorder="1" applyAlignment="1">
      <alignment horizontal="right" vertical="center" wrapText="1"/>
    </xf>
    <xf numFmtId="0" fontId="54" fillId="0" borderId="1" xfId="7" applyFont="1" applyBorder="1" applyAlignment="1">
      <alignment horizontal="left" vertical="center" wrapText="1"/>
    </xf>
    <xf numFmtId="3" fontId="56" fillId="0" borderId="1" xfId="7" applyNumberFormat="1" applyFont="1" applyBorder="1" applyAlignment="1">
      <alignment horizontal="right" vertical="center" wrapText="1"/>
    </xf>
    <xf numFmtId="3" fontId="4" fillId="0" borderId="1" xfId="7" applyNumberFormat="1" applyFont="1" applyBorder="1" applyAlignment="1">
      <alignment horizontal="right" vertical="top" wrapText="1"/>
    </xf>
    <xf numFmtId="3" fontId="54" fillId="0" borderId="1" xfId="7" applyNumberFormat="1" applyFont="1" applyBorder="1" applyAlignment="1">
      <alignment horizontal="right" vertical="center" wrapText="1"/>
    </xf>
    <xf numFmtId="0" fontId="4" fillId="0" borderId="1" xfId="7" applyFont="1" applyBorder="1" applyAlignment="1">
      <alignment horizontal="justify" vertical="center" wrapText="1"/>
    </xf>
    <xf numFmtId="3" fontId="56" fillId="0" borderId="1" xfId="7" applyNumberFormat="1" applyFont="1" applyFill="1" applyBorder="1" applyAlignment="1">
      <alignment horizontal="right" vertical="center" wrapText="1"/>
    </xf>
    <xf numFmtId="0" fontId="53" fillId="0" borderId="1" xfId="7" applyFont="1" applyBorder="1" applyAlignment="1">
      <alignment horizontal="left" vertical="center" wrapText="1"/>
    </xf>
    <xf numFmtId="0" fontId="1" fillId="0" borderId="1" xfId="7" applyFont="1" applyBorder="1" applyAlignment="1">
      <alignment horizontal="justify" vertical="center" wrapText="1"/>
    </xf>
    <xf numFmtId="3" fontId="56" fillId="0" borderId="0" xfId="7" applyNumberFormat="1" applyFont="1" applyFill="1" applyBorder="1" applyAlignment="1">
      <alignment vertical="center" wrapText="1"/>
    </xf>
    <xf numFmtId="0" fontId="12" fillId="0" borderId="1" xfId="7" applyFont="1" applyBorder="1" applyAlignment="1">
      <alignment horizontal="left" vertical="center" wrapText="1"/>
    </xf>
    <xf numFmtId="0" fontId="57" fillId="0" borderId="1" xfId="7" applyFont="1" applyBorder="1" applyAlignment="1">
      <alignment horizontal="left" vertical="center" wrapText="1"/>
    </xf>
    <xf numFmtId="0" fontId="58" fillId="0" borderId="1" xfId="7" applyFont="1" applyBorder="1" applyAlignment="1">
      <alignment horizontal="left" vertical="center" wrapText="1"/>
    </xf>
    <xf numFmtId="3" fontId="4" fillId="4" borderId="1" xfId="7" applyNumberFormat="1" applyFont="1" applyFill="1" applyBorder="1" applyAlignment="1">
      <alignment horizontal="right" vertical="center" wrapText="1"/>
    </xf>
    <xf numFmtId="0" fontId="1" fillId="0" borderId="0" xfId="7" applyFont="1" applyAlignment="1">
      <alignment horizontal="justify" vertical="center"/>
    </xf>
    <xf numFmtId="3" fontId="51" fillId="0" borderId="0" xfId="7" applyNumberFormat="1" applyFont="1" applyAlignment="1">
      <alignment horizontal="right" vertical="center"/>
    </xf>
    <xf numFmtId="0" fontId="54" fillId="0" borderId="0" xfId="7" applyFont="1" applyBorder="1" applyAlignment="1">
      <alignment vertical="center"/>
    </xf>
    <xf numFmtId="0" fontId="54" fillId="0" borderId="0" xfId="7" applyFont="1" applyBorder="1" applyAlignment="1">
      <alignment horizontal="right" vertical="center"/>
    </xf>
    <xf numFmtId="0" fontId="4" fillId="0" borderId="6" xfId="7" applyFont="1" applyBorder="1" applyAlignment="1">
      <alignment horizontal="center" vertical="center" wrapText="1"/>
    </xf>
    <xf numFmtId="0" fontId="19" fillId="0" borderId="3" xfId="7" applyFont="1" applyBorder="1" applyAlignment="1">
      <alignment vertical="center"/>
    </xf>
    <xf numFmtId="0" fontId="54" fillId="0" borderId="3" xfId="7" applyFont="1" applyBorder="1" applyAlignment="1">
      <alignment horizontal="left" vertical="center" wrapText="1"/>
    </xf>
    <xf numFmtId="3" fontId="1" fillId="0" borderId="3" xfId="7" applyNumberFormat="1" applyFont="1" applyBorder="1" applyAlignment="1">
      <alignment horizontal="right" vertical="center" wrapText="1"/>
    </xf>
    <xf numFmtId="0" fontId="19" fillId="0" borderId="1" xfId="7" applyFont="1" applyBorder="1" applyAlignment="1">
      <alignment vertical="center"/>
    </xf>
    <xf numFmtId="0" fontId="56" fillId="0" borderId="1" xfId="7" applyFont="1" applyBorder="1" applyAlignment="1">
      <alignment horizontal="left" vertical="center" wrapText="1"/>
    </xf>
    <xf numFmtId="0" fontId="60" fillId="0" borderId="0" xfId="7" applyFont="1" applyAlignment="1">
      <alignment horizontal="left" vertical="center"/>
    </xf>
    <xf numFmtId="0" fontId="59" fillId="0" borderId="0" xfId="7" applyFont="1" applyAlignment="1">
      <alignment horizontal="center" vertical="center"/>
    </xf>
    <xf numFmtId="0" fontId="54" fillId="0" borderId="0" xfId="7" applyFont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4" fillId="0" borderId="1" xfId="7" applyFont="1" applyBorder="1" applyAlignment="1">
      <alignment horizontal="left" vertical="center"/>
    </xf>
    <xf numFmtId="3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7" applyFont="1" applyBorder="1" applyAlignment="1">
      <alignment vertical="center"/>
    </xf>
    <xf numFmtId="0" fontId="1" fillId="0" borderId="16" xfId="7" applyFont="1" applyBorder="1" applyAlignment="1">
      <alignment vertical="center"/>
    </xf>
    <xf numFmtId="0" fontId="1" fillId="0" borderId="1" xfId="7" applyFont="1" applyFill="1" applyBorder="1" applyAlignment="1">
      <alignment vertical="center"/>
    </xf>
    <xf numFmtId="0" fontId="1" fillId="0" borderId="16" xfId="7" applyFont="1" applyFill="1" applyBorder="1" applyAlignment="1">
      <alignment vertical="center"/>
    </xf>
    <xf numFmtId="0" fontId="1" fillId="0" borderId="34" xfId="7" applyFont="1" applyBorder="1" applyAlignment="1">
      <alignment horizontal="center" vertical="center"/>
    </xf>
    <xf numFmtId="0" fontId="1" fillId="0" borderId="0" xfId="7" applyFont="1" applyFill="1" applyBorder="1" applyAlignment="1">
      <alignment horizontal="center" vertical="center"/>
    </xf>
    <xf numFmtId="0" fontId="1" fillId="0" borderId="0" xfId="7" applyFont="1" applyFill="1" applyBorder="1" applyAlignment="1">
      <alignment vertical="center"/>
    </xf>
    <xf numFmtId="3" fontId="1" fillId="0" borderId="0" xfId="3" applyNumberFormat="1" applyFont="1" applyFill="1" applyBorder="1" applyAlignment="1" applyProtection="1">
      <alignment horizontal="center" vertical="center"/>
    </xf>
    <xf numFmtId="3" fontId="19" fillId="0" borderId="0" xfId="7" applyNumberFormat="1" applyFont="1" applyBorder="1" applyAlignment="1">
      <alignment vertical="center"/>
    </xf>
    <xf numFmtId="0" fontId="4" fillId="0" borderId="1" xfId="7" applyFont="1" applyFill="1" applyBorder="1" applyAlignment="1">
      <alignment horizontal="left" vertical="center"/>
    </xf>
    <xf numFmtId="0" fontId="1" fillId="0" borderId="0" xfId="7" applyFont="1" applyFill="1" applyBorder="1" applyAlignment="1">
      <alignment horizontal="left" vertical="center"/>
    </xf>
    <xf numFmtId="0" fontId="1" fillId="0" borderId="1" xfId="7" applyFont="1" applyFill="1" applyBorder="1" applyAlignment="1">
      <alignment horizontal="left" vertical="center"/>
    </xf>
    <xf numFmtId="0" fontId="1" fillId="0" borderId="0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/>
    </xf>
    <xf numFmtId="0" fontId="1" fillId="0" borderId="1" xfId="7" applyFont="1" applyFill="1" applyBorder="1" applyAlignment="1">
      <alignment vertical="center" wrapText="1"/>
    </xf>
    <xf numFmtId="3" fontId="7" fillId="0" borderId="10" xfId="0" applyNumberFormat="1" applyFont="1" applyBorder="1"/>
    <xf numFmtId="3" fontId="7" fillId="0" borderId="12" xfId="0" applyNumberFormat="1" applyFont="1" applyFill="1" applyBorder="1"/>
    <xf numFmtId="0" fontId="6" fillId="0" borderId="11" xfId="0" applyFont="1" applyBorder="1"/>
    <xf numFmtId="3" fontId="6" fillId="0" borderId="12" xfId="0" applyNumberFormat="1" applyFont="1" applyBorder="1"/>
    <xf numFmtId="0" fontId="6" fillId="0" borderId="13" xfId="0" applyFont="1" applyBorder="1"/>
    <xf numFmtId="3" fontId="6" fillId="0" borderId="14" xfId="0" applyNumberFormat="1" applyFont="1" applyBorder="1"/>
    <xf numFmtId="0" fontId="7" fillId="0" borderId="9" xfId="0" applyFont="1" applyBorder="1" applyAlignment="1">
      <alignment horizontal="left" wrapText="1"/>
    </xf>
    <xf numFmtId="0" fontId="0" fillId="0" borderId="11" xfId="0" applyFont="1" applyBorder="1"/>
    <xf numFmtId="3" fontId="0" fillId="0" borderId="12" xfId="0" applyNumberFormat="1" applyFont="1" applyBorder="1"/>
    <xf numFmtId="0" fontId="7" fillId="0" borderId="11" xfId="0" applyFont="1" applyBorder="1" applyAlignment="1">
      <alignment wrapText="1"/>
    </xf>
    <xf numFmtId="0" fontId="0" fillId="0" borderId="0" xfId="0" applyAlignment="1">
      <alignment vertical="center"/>
    </xf>
    <xf numFmtId="3" fontId="11" fillId="0" borderId="0" xfId="0" applyNumberFormat="1" applyFont="1" applyAlignment="1">
      <alignment vertical="center"/>
    </xf>
    <xf numFmtId="0" fontId="0" fillId="0" borderId="13" xfId="0" applyBorder="1"/>
    <xf numFmtId="0" fontId="7" fillId="0" borderId="9" xfId="0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/>
    </xf>
    <xf numFmtId="3" fontId="11" fillId="0" borderId="12" xfId="0" applyNumberFormat="1" applyFont="1" applyBorder="1"/>
    <xf numFmtId="0" fontId="11" fillId="0" borderId="11" xfId="0" applyFont="1" applyBorder="1" applyAlignment="1">
      <alignment horizontal="left"/>
    </xf>
    <xf numFmtId="3" fontId="0" fillId="0" borderId="12" xfId="0" applyNumberFormat="1" applyFont="1" applyFill="1" applyBorder="1"/>
    <xf numFmtId="3" fontId="1" fillId="0" borderId="3" xfId="5" applyNumberFormat="1" applyFont="1" applyFill="1" applyBorder="1" applyAlignment="1">
      <alignment horizontal="right" vertical="top" wrapText="1"/>
    </xf>
    <xf numFmtId="3" fontId="1" fillId="0" borderId="1" xfId="5" applyNumberFormat="1" applyFont="1" applyFill="1" applyBorder="1" applyAlignment="1">
      <alignment horizontal="right" vertical="center" wrapText="1"/>
    </xf>
    <xf numFmtId="3" fontId="4" fillId="0" borderId="8" xfId="5" applyNumberFormat="1" applyFont="1" applyFill="1" applyBorder="1" applyAlignment="1">
      <alignment horizontal="right" vertical="top" wrapText="1"/>
    </xf>
    <xf numFmtId="3" fontId="26" fillId="0" borderId="7" xfId="0" applyNumberFormat="1" applyFont="1" applyFill="1" applyBorder="1" applyAlignment="1">
      <alignment vertical="center"/>
    </xf>
    <xf numFmtId="3" fontId="0" fillId="0" borderId="14" xfId="0" applyNumberFormat="1" applyFont="1" applyFill="1" applyBorder="1"/>
    <xf numFmtId="3" fontId="37" fillId="7" borderId="35" xfId="0" applyNumberFormat="1" applyFont="1" applyFill="1" applyBorder="1" applyAlignment="1">
      <alignment horizontal="center" vertical="center" wrapText="1"/>
    </xf>
    <xf numFmtId="0" fontId="77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3" fontId="5" fillId="0" borderId="1" xfId="0" applyNumberFormat="1" applyFont="1" applyFill="1" applyBorder="1" applyAlignment="1">
      <alignment horizontal="right"/>
    </xf>
    <xf numFmtId="0" fontId="39" fillId="3" borderId="36" xfId="0" applyFont="1" applyFill="1" applyBorder="1" applyAlignment="1">
      <alignment horizontal="center" vertical="center" wrapText="1"/>
    </xf>
    <xf numFmtId="0" fontId="39" fillId="3" borderId="37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center"/>
    </xf>
    <xf numFmtId="0" fontId="78" fillId="0" borderId="0" xfId="6" applyFont="1"/>
    <xf numFmtId="0" fontId="78" fillId="6" borderId="0" xfId="6" applyFont="1" applyFill="1"/>
    <xf numFmtId="0" fontId="79" fillId="0" borderId="0" xfId="6" applyFont="1" applyAlignment="1"/>
    <xf numFmtId="0" fontId="79" fillId="0" borderId="0" xfId="6" applyFont="1" applyAlignment="1">
      <alignment wrapText="1"/>
    </xf>
    <xf numFmtId="0" fontId="79" fillId="0" borderId="0" xfId="6" applyFont="1"/>
    <xf numFmtId="0" fontId="80" fillId="5" borderId="8" xfId="6" applyFont="1" applyFill="1" applyBorder="1" applyAlignment="1">
      <alignment horizontal="center"/>
    </xf>
    <xf numFmtId="0" fontId="80" fillId="5" borderId="14" xfId="6" applyFont="1" applyFill="1" applyBorder="1" applyAlignment="1">
      <alignment horizontal="center"/>
    </xf>
    <xf numFmtId="0" fontId="81" fillId="0" borderId="3" xfId="6" applyFont="1" applyFill="1" applyBorder="1"/>
    <xf numFmtId="3" fontId="82" fillId="0" borderId="3" xfId="6" applyNumberFormat="1" applyFont="1" applyFill="1" applyBorder="1" applyAlignment="1">
      <alignment horizontal="right"/>
    </xf>
    <xf numFmtId="3" fontId="77" fillId="0" borderId="0" xfId="6" applyNumberFormat="1" applyFont="1"/>
    <xf numFmtId="3" fontId="82" fillId="0" borderId="1" xfId="6" applyNumberFormat="1" applyFont="1" applyFill="1" applyBorder="1" applyAlignment="1">
      <alignment horizontal="right"/>
    </xf>
    <xf numFmtId="0" fontId="81" fillId="0" borderId="7" xfId="6" applyFont="1" applyFill="1" applyBorder="1"/>
    <xf numFmtId="3" fontId="82" fillId="0" borderId="2" xfId="6" applyNumberFormat="1" applyFont="1" applyBorder="1" applyAlignment="1">
      <alignment horizontal="right"/>
    </xf>
    <xf numFmtId="3" fontId="82" fillId="0" borderId="2" xfId="6" applyNumberFormat="1" applyFont="1" applyFill="1" applyBorder="1" applyAlignment="1">
      <alignment horizontal="right"/>
    </xf>
    <xf numFmtId="0" fontId="83" fillId="7" borderId="1" xfId="6" applyFont="1" applyFill="1" applyBorder="1"/>
    <xf numFmtId="3" fontId="77" fillId="7" borderId="1" xfId="6" applyNumberFormat="1" applyFont="1" applyFill="1" applyBorder="1" applyAlignment="1">
      <alignment horizontal="right"/>
    </xf>
    <xf numFmtId="0" fontId="83" fillId="8" borderId="1" xfId="6" applyFont="1" applyFill="1" applyBorder="1"/>
    <xf numFmtId="3" fontId="77" fillId="8" borderId="1" xfId="6" applyNumberFormat="1" applyFont="1" applyFill="1" applyBorder="1" applyAlignment="1">
      <alignment horizontal="right"/>
    </xf>
    <xf numFmtId="0" fontId="83" fillId="0" borderId="3" xfId="6" applyFont="1" applyFill="1" applyBorder="1"/>
    <xf numFmtId="3" fontId="77" fillId="0" borderId="3" xfId="6" applyNumberFormat="1" applyFont="1" applyFill="1" applyBorder="1" applyAlignment="1">
      <alignment horizontal="right"/>
    </xf>
    <xf numFmtId="0" fontId="83" fillId="0" borderId="1" xfId="6" applyFont="1" applyFill="1" applyBorder="1"/>
    <xf numFmtId="3" fontId="77" fillId="0" borderId="1" xfId="6" applyNumberFormat="1" applyFont="1" applyFill="1" applyBorder="1" applyAlignment="1">
      <alignment horizontal="right"/>
    </xf>
    <xf numFmtId="3" fontId="77" fillId="0" borderId="0" xfId="6" applyNumberFormat="1" applyFont="1" applyAlignment="1"/>
    <xf numFmtId="0" fontId="84" fillId="0" borderId="1" xfId="6" applyFont="1" applyFill="1" applyBorder="1" applyAlignment="1">
      <alignment wrapText="1"/>
    </xf>
    <xf numFmtId="0" fontId="83" fillId="0" borderId="1" xfId="6" applyFont="1" applyFill="1" applyBorder="1" applyAlignment="1">
      <alignment wrapText="1"/>
    </xf>
    <xf numFmtId="0" fontId="83" fillId="0" borderId="1" xfId="6" applyFont="1" applyFill="1" applyBorder="1" applyAlignment="1">
      <alignment vertical="center" wrapText="1"/>
    </xf>
    <xf numFmtId="0" fontId="83" fillId="7" borderId="1" xfId="6" applyFont="1" applyFill="1" applyBorder="1" applyAlignment="1">
      <alignment vertical="center" wrapText="1"/>
    </xf>
    <xf numFmtId="3" fontId="80" fillId="7" borderId="1" xfId="6" applyNumberFormat="1" applyFont="1" applyFill="1" applyBorder="1" applyAlignment="1">
      <alignment horizontal="right"/>
    </xf>
    <xf numFmtId="0" fontId="83" fillId="8" borderId="2" xfId="6" applyFont="1" applyFill="1" applyBorder="1" applyAlignment="1">
      <alignment wrapText="1"/>
    </xf>
    <xf numFmtId="3" fontId="77" fillId="8" borderId="2" xfId="6" applyNumberFormat="1" applyFont="1" applyFill="1" applyBorder="1" applyAlignment="1">
      <alignment horizontal="right"/>
    </xf>
    <xf numFmtId="3" fontId="82" fillId="8" borderId="2" xfId="6" applyNumberFormat="1" applyFont="1" applyFill="1" applyBorder="1" applyAlignment="1">
      <alignment horizontal="right"/>
    </xf>
    <xf numFmtId="0" fontId="79" fillId="7" borderId="4" xfId="6" applyFont="1" applyFill="1" applyBorder="1"/>
    <xf numFmtId="3" fontId="83" fillId="7" borderId="5" xfId="6" applyNumberFormat="1" applyFont="1" applyFill="1" applyBorder="1" applyAlignment="1">
      <alignment horizontal="right"/>
    </xf>
    <xf numFmtId="3" fontId="83" fillId="7" borderId="6" xfId="6" applyNumberFormat="1" applyFont="1" applyFill="1" applyBorder="1" applyAlignment="1">
      <alignment horizontal="right"/>
    </xf>
    <xf numFmtId="3" fontId="78" fillId="0" borderId="0" xfId="6" applyNumberFormat="1" applyFont="1"/>
    <xf numFmtId="0" fontId="85" fillId="0" borderId="3" xfId="6" applyFont="1" applyBorder="1" applyAlignment="1">
      <alignment wrapText="1"/>
    </xf>
    <xf numFmtId="3" fontId="77" fillId="0" borderId="38" xfId="6" applyNumberFormat="1" applyFont="1" applyBorder="1" applyAlignment="1"/>
    <xf numFmtId="3" fontId="77" fillId="0" borderId="39" xfId="6" applyNumberFormat="1" applyFont="1" applyBorder="1" applyAlignment="1"/>
    <xf numFmtId="3" fontId="85" fillId="0" borderId="38" xfId="6" applyNumberFormat="1" applyFont="1" applyBorder="1" applyAlignment="1"/>
    <xf numFmtId="3" fontId="85" fillId="0" borderId="39" xfId="6" applyNumberFormat="1" applyFont="1" applyBorder="1" applyAlignment="1"/>
    <xf numFmtId="3" fontId="85" fillId="0" borderId="3" xfId="6" applyNumberFormat="1" applyFont="1" applyBorder="1" applyAlignment="1">
      <alignment horizontal="center"/>
    </xf>
    <xf numFmtId="0" fontId="83" fillId="0" borderId="1" xfId="6" applyFont="1" applyBorder="1"/>
    <xf numFmtId="3" fontId="80" fillId="0" borderId="17" xfId="6" applyNumberFormat="1" applyFont="1" applyBorder="1" applyAlignment="1"/>
    <xf numFmtId="3" fontId="80" fillId="0" borderId="16" xfId="6" applyNumberFormat="1" applyFont="1" applyBorder="1" applyAlignment="1"/>
    <xf numFmtId="3" fontId="83" fillId="0" borderId="1" xfId="6" applyNumberFormat="1" applyFont="1" applyBorder="1" applyAlignment="1">
      <alignment horizontal="center"/>
    </xf>
    <xf numFmtId="3" fontId="83" fillId="0" borderId="17" xfId="6" applyNumberFormat="1" applyFont="1" applyBorder="1" applyAlignment="1"/>
    <xf numFmtId="3" fontId="83" fillId="0" borderId="16" xfId="6" applyNumberFormat="1" applyFont="1" applyBorder="1" applyAlignment="1"/>
    <xf numFmtId="0" fontId="77" fillId="0" borderId="0" xfId="6" applyFont="1"/>
    <xf numFmtId="0" fontId="85" fillId="0" borderId="1" xfId="6" applyFont="1" applyBorder="1"/>
    <xf numFmtId="3" fontId="77" fillId="0" borderId="17" xfId="6" applyNumberFormat="1" applyFont="1" applyBorder="1" applyAlignment="1"/>
    <xf numFmtId="3" fontId="77" fillId="0" borderId="16" xfId="6" applyNumberFormat="1" applyFont="1" applyBorder="1" applyAlignment="1"/>
    <xf numFmtId="3" fontId="85" fillId="0" borderId="1" xfId="6" applyNumberFormat="1" applyFont="1" applyBorder="1" applyAlignment="1">
      <alignment horizontal="center"/>
    </xf>
    <xf numFmtId="3" fontId="85" fillId="0" borderId="17" xfId="6" applyNumberFormat="1" applyFont="1" applyBorder="1" applyAlignment="1"/>
    <xf numFmtId="3" fontId="85" fillId="0" borderId="16" xfId="6" applyNumberFormat="1" applyFont="1" applyBorder="1" applyAlignment="1"/>
    <xf numFmtId="3" fontId="85" fillId="0" borderId="0" xfId="6" applyNumberFormat="1" applyFont="1"/>
    <xf numFmtId="3" fontId="86" fillId="0" borderId="0" xfId="6" applyNumberFormat="1" applyFont="1"/>
    <xf numFmtId="0" fontId="77" fillId="0" borderId="0" xfId="6" applyFont="1" applyAlignment="1">
      <alignment wrapText="1"/>
    </xf>
    <xf numFmtId="3" fontId="80" fillId="0" borderId="0" xfId="6" applyNumberFormat="1" applyFont="1" applyBorder="1"/>
    <xf numFmtId="0" fontId="80" fillId="0" borderId="0" xfId="6" applyFont="1" applyAlignment="1">
      <alignment wrapText="1"/>
    </xf>
    <xf numFmtId="3" fontId="80" fillId="0" borderId="27" xfId="6" applyNumberFormat="1" applyFont="1" applyBorder="1" applyAlignment="1"/>
    <xf numFmtId="3" fontId="80" fillId="0" borderId="25" xfId="6" applyNumberFormat="1" applyFont="1" applyBorder="1" applyAlignment="1"/>
    <xf numFmtId="3" fontId="80" fillId="0" borderId="24" xfId="6" applyNumberFormat="1" applyFont="1" applyBorder="1" applyAlignment="1"/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47" fillId="0" borderId="0" xfId="0" applyFont="1" applyFill="1" applyBorder="1"/>
    <xf numFmtId="3" fontId="18" fillId="0" borderId="0" xfId="0" applyNumberFormat="1" applyFont="1" applyFill="1"/>
    <xf numFmtId="3" fontId="3" fillId="0" borderId="2" xfId="0" applyNumberFormat="1" applyFont="1" applyFill="1" applyBorder="1" applyAlignment="1"/>
    <xf numFmtId="3" fontId="87" fillId="0" borderId="1" xfId="0" applyNumberFormat="1" applyFont="1" applyFill="1" applyBorder="1" applyAlignment="1">
      <alignment horizontal="right"/>
    </xf>
    <xf numFmtId="0" fontId="1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3" fontId="4" fillId="0" borderId="0" xfId="0" applyNumberFormat="1" applyFont="1"/>
    <xf numFmtId="0" fontId="2" fillId="5" borderId="24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1" xfId="0" applyFont="1" applyBorder="1"/>
    <xf numFmtId="0" fontId="1" fillId="0" borderId="11" xfId="0" applyFont="1" applyBorder="1"/>
    <xf numFmtId="0" fontId="31" fillId="0" borderId="11" xfId="0" applyFont="1" applyBorder="1"/>
    <xf numFmtId="0" fontId="31" fillId="0" borderId="1" xfId="0" applyFont="1" applyFill="1" applyBorder="1" applyAlignment="1">
      <alignment horizontal="left" vertical="center" wrapText="1"/>
    </xf>
    <xf numFmtId="0" fontId="31" fillId="0" borderId="0" xfId="0" applyFont="1"/>
    <xf numFmtId="0" fontId="42" fillId="0" borderId="0" xfId="0" applyFont="1"/>
    <xf numFmtId="0" fontId="1" fillId="0" borderId="40" xfId="0" applyFont="1" applyBorder="1"/>
    <xf numFmtId="0" fontId="1" fillId="5" borderId="27" xfId="0" applyFont="1" applyFill="1" applyBorder="1"/>
    <xf numFmtId="3" fontId="8" fillId="5" borderId="5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/>
    <xf numFmtId="3" fontId="1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8" fillId="5" borderId="4" xfId="0" applyFont="1" applyFill="1" applyBorder="1" applyAlignment="1">
      <alignment horizontal="center" vertical="center"/>
    </xf>
    <xf numFmtId="3" fontId="1" fillId="0" borderId="0" xfId="0" applyNumberFormat="1" applyFont="1" applyBorder="1"/>
    <xf numFmtId="0" fontId="1" fillId="0" borderId="0" xfId="0" applyFont="1" applyBorder="1"/>
    <xf numFmtId="3" fontId="2" fillId="0" borderId="10" xfId="0" applyNumberFormat="1" applyFont="1" applyBorder="1" applyAlignment="1">
      <alignment vertical="center"/>
    </xf>
    <xf numFmtId="3" fontId="3" fillId="0" borderId="12" xfId="0" applyNumberFormat="1" applyFont="1" applyBorder="1" applyAlignment="1"/>
    <xf numFmtId="3" fontId="1" fillId="0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1" fillId="0" borderId="12" xfId="0" applyNumberFormat="1" applyFont="1" applyFill="1" applyBorder="1" applyAlignment="1">
      <alignment horizontal="right"/>
    </xf>
    <xf numFmtId="3" fontId="2" fillId="0" borderId="10" xfId="0" applyNumberFormat="1" applyFont="1" applyBorder="1"/>
    <xf numFmtId="3" fontId="3" fillId="0" borderId="12" xfId="0" applyNumberFormat="1" applyFont="1" applyFill="1" applyBorder="1" applyAlignment="1">
      <alignment horizontal="right"/>
    </xf>
    <xf numFmtId="3" fontId="12" fillId="0" borderId="12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0" fillId="0" borderId="0" xfId="0" applyNumberFormat="1" applyBorder="1"/>
    <xf numFmtId="3" fontId="1" fillId="0" borderId="0" xfId="0" applyNumberFormat="1" applyFont="1" applyFill="1"/>
    <xf numFmtId="3" fontId="1" fillId="0" borderId="7" xfId="0" applyNumberFormat="1" applyFont="1" applyFill="1" applyBorder="1" applyAlignment="1"/>
    <xf numFmtId="3" fontId="1" fillId="0" borderId="18" xfId="0" applyNumberFormat="1" applyFont="1" applyFill="1" applyBorder="1" applyAlignment="1"/>
    <xf numFmtId="3" fontId="8" fillId="5" borderId="41" xfId="0" applyNumberFormat="1" applyFont="1" applyFill="1" applyBorder="1" applyAlignment="1"/>
    <xf numFmtId="3" fontId="18" fillId="0" borderId="0" xfId="0" applyNumberFormat="1" applyFont="1" applyBorder="1"/>
    <xf numFmtId="3" fontId="1" fillId="9" borderId="1" xfId="0" applyNumberFormat="1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5" borderId="41" xfId="0" applyFont="1" applyFill="1" applyBorder="1" applyAlignment="1">
      <alignment horizontal="center" vertical="center" wrapText="1"/>
    </xf>
    <xf numFmtId="3" fontId="8" fillId="5" borderId="41" xfId="0" applyNumberFormat="1" applyFont="1" applyFill="1" applyBorder="1" applyAlignment="1">
      <alignment vertical="center"/>
    </xf>
    <xf numFmtId="3" fontId="24" fillId="0" borderId="1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0" fontId="11" fillId="6" borderId="0" xfId="0" applyFont="1" applyFill="1" applyBorder="1"/>
    <xf numFmtId="3" fontId="14" fillId="0" borderId="1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61" fillId="7" borderId="1" xfId="0" applyFont="1" applyFill="1" applyBorder="1"/>
    <xf numFmtId="0" fontId="11" fillId="0" borderId="1" xfId="0" applyFont="1" applyBorder="1"/>
    <xf numFmtId="3" fontId="23" fillId="0" borderId="0" xfId="0" applyNumberFormat="1" applyFont="1" applyAlignment="1"/>
    <xf numFmtId="0" fontId="11" fillId="9" borderId="19" xfId="0" applyFont="1" applyFill="1" applyBorder="1"/>
    <xf numFmtId="3" fontId="14" fillId="0" borderId="0" xfId="0" applyNumberFormat="1" applyFont="1" applyFill="1"/>
    <xf numFmtId="0" fontId="75" fillId="6" borderId="0" xfId="0" applyFont="1" applyFill="1" applyAlignment="1">
      <alignment horizontal="center"/>
    </xf>
    <xf numFmtId="3" fontId="23" fillId="9" borderId="24" xfId="0" applyNumberFormat="1" applyFont="1" applyFill="1" applyBorder="1"/>
    <xf numFmtId="3" fontId="1" fillId="9" borderId="1" xfId="0" applyNumberFormat="1" applyFont="1" applyFill="1" applyBorder="1" applyAlignment="1">
      <alignment horizontal="right" vertical="center"/>
    </xf>
    <xf numFmtId="3" fontId="21" fillId="0" borderId="3" xfId="0" applyNumberFormat="1" applyFont="1" applyFill="1" applyBorder="1" applyAlignment="1">
      <alignment horizontal="right"/>
    </xf>
    <xf numFmtId="3" fontId="1" fillId="9" borderId="25" xfId="0" applyNumberFormat="1" applyFont="1" applyFill="1" applyBorder="1" applyAlignment="1">
      <alignment horizontal="right"/>
    </xf>
    <xf numFmtId="3" fontId="0" fillId="0" borderId="0" xfId="0" applyNumberFormat="1" applyFill="1"/>
    <xf numFmtId="3" fontId="30" fillId="0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87" fillId="9" borderId="1" xfId="0" applyNumberFormat="1" applyFont="1" applyFill="1" applyBorder="1" applyAlignment="1">
      <alignment horizontal="right"/>
    </xf>
    <xf numFmtId="3" fontId="1" fillId="10" borderId="0" xfId="0" applyNumberFormat="1" applyFont="1" applyFill="1"/>
    <xf numFmtId="0" fontId="1" fillId="10" borderId="1" xfId="0" applyFont="1" applyFill="1" applyBorder="1"/>
    <xf numFmtId="0" fontId="21" fillId="6" borderId="0" xfId="0" applyFont="1" applyFill="1" applyBorder="1"/>
    <xf numFmtId="3" fontId="6" fillId="0" borderId="1" xfId="0" applyNumberFormat="1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21" fillId="0" borderId="3" xfId="0" applyNumberFormat="1" applyFont="1" applyFill="1" applyBorder="1" applyAlignment="1"/>
    <xf numFmtId="3" fontId="1" fillId="0" borderId="2" xfId="0" applyNumberFormat="1" applyFont="1" applyFill="1" applyBorder="1"/>
    <xf numFmtId="3" fontId="16" fillId="0" borderId="5" xfId="0" applyNumberFormat="1" applyFont="1" applyFill="1" applyBorder="1"/>
    <xf numFmtId="0" fontId="24" fillId="8" borderId="1" xfId="0" applyFont="1" applyFill="1" applyBorder="1" applyAlignment="1">
      <alignment horizontal="center" vertical="center" wrapText="1"/>
    </xf>
    <xf numFmtId="3" fontId="23" fillId="0" borderId="0" xfId="0" applyNumberFormat="1" applyFont="1" applyFill="1"/>
    <xf numFmtId="3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/>
    <xf numFmtId="3" fontId="1" fillId="0" borderId="0" xfId="0" applyNumberFormat="1" applyFont="1" applyBorder="1" applyAlignment="1"/>
    <xf numFmtId="3" fontId="3" fillId="0" borderId="0" xfId="0" applyNumberFormat="1" applyFont="1" applyBorder="1" applyAlignme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0" fontId="2" fillId="0" borderId="0" xfId="0" applyFont="1" applyBorder="1" applyAlignment="1">
      <alignment vertical="center"/>
    </xf>
    <xf numFmtId="0" fontId="20" fillId="0" borderId="0" xfId="0" applyFont="1"/>
    <xf numFmtId="3" fontId="20" fillId="0" borderId="0" xfId="0" applyNumberFormat="1" applyFont="1"/>
    <xf numFmtId="3" fontId="20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3" fontId="7" fillId="0" borderId="18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Border="1"/>
    <xf numFmtId="0" fontId="20" fillId="0" borderId="0" xfId="0" applyFont="1" applyBorder="1"/>
    <xf numFmtId="3" fontId="20" fillId="0" borderId="0" xfId="0" applyNumberFormat="1" applyFont="1" applyBorder="1"/>
    <xf numFmtId="3" fontId="31" fillId="0" borderId="5" xfId="0" applyNumberFormat="1" applyFont="1" applyFill="1" applyBorder="1" applyAlignment="1">
      <alignment horizontal="right"/>
    </xf>
    <xf numFmtId="0" fontId="3" fillId="11" borderId="1" xfId="0" applyFont="1" applyFill="1" applyBorder="1"/>
    <xf numFmtId="3" fontId="2" fillId="11" borderId="1" xfId="0" applyNumberFormat="1" applyFont="1" applyFill="1" applyBorder="1" applyAlignment="1"/>
    <xf numFmtId="3" fontId="3" fillId="11" borderId="1" xfId="0" applyNumberFormat="1" applyFont="1" applyFill="1" applyBorder="1" applyAlignment="1">
      <alignment horizontal="right"/>
    </xf>
    <xf numFmtId="3" fontId="88" fillId="0" borderId="0" xfId="0" applyNumberFormat="1" applyFont="1" applyFill="1"/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3" fontId="89" fillId="0" borderId="0" xfId="0" applyNumberFormat="1" applyFont="1"/>
    <xf numFmtId="3" fontId="8" fillId="5" borderId="41" xfId="0" applyNumberFormat="1" applyFont="1" applyFill="1" applyBorder="1" applyAlignment="1">
      <alignment horizontal="right"/>
    </xf>
    <xf numFmtId="3" fontId="31" fillId="9" borderId="41" xfId="0" applyNumberFormat="1" applyFont="1" applyFill="1" applyBorder="1" applyAlignment="1">
      <alignment horizontal="right"/>
    </xf>
    <xf numFmtId="3" fontId="31" fillId="9" borderId="25" xfId="0" applyNumberFormat="1" applyFont="1" applyFill="1" applyBorder="1" applyAlignment="1">
      <alignment horizontal="right"/>
    </xf>
    <xf numFmtId="3" fontId="30" fillId="0" borderId="0" xfId="0" applyNumberFormat="1" applyFont="1" applyFill="1" applyAlignment="1">
      <alignment horizontal="center"/>
    </xf>
    <xf numFmtId="3" fontId="37" fillId="7" borderId="35" xfId="0" applyNumberFormat="1" applyFont="1" applyFill="1" applyBorder="1" applyAlignment="1">
      <alignment horizontal="center" vertical="center" wrapText="1"/>
    </xf>
    <xf numFmtId="3" fontId="37" fillId="3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3" fontId="90" fillId="0" borderId="0" xfId="0" applyNumberFormat="1" applyFont="1" applyFill="1" applyAlignment="1">
      <alignment horizontal="center"/>
    </xf>
    <xf numFmtId="0" fontId="72" fillId="0" borderId="0" xfId="0" applyFont="1" applyFill="1"/>
    <xf numFmtId="3" fontId="72" fillId="0" borderId="0" xfId="1" applyNumberFormat="1" applyFont="1" applyFill="1"/>
    <xf numFmtId="3" fontId="1" fillId="0" borderId="2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" fontId="3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37" fillId="7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4" fillId="0" borderId="42" xfId="0" applyNumberFormat="1" applyFont="1" applyFill="1" applyBorder="1" applyAlignment="1">
      <alignment vertical="center"/>
    </xf>
    <xf numFmtId="3" fontId="4" fillId="0" borderId="7" xfId="2" applyNumberFormat="1" applyFont="1" applyFill="1" applyBorder="1" applyAlignment="1">
      <alignment horizontal="right" vertical="center"/>
    </xf>
    <xf numFmtId="3" fontId="1" fillId="0" borderId="7" xfId="2" applyNumberFormat="1" applyFont="1" applyFill="1" applyBorder="1" applyAlignment="1">
      <alignment horizontal="right" vertical="center"/>
    </xf>
    <xf numFmtId="3" fontId="1" fillId="8" borderId="7" xfId="0" applyNumberFormat="1" applyFont="1" applyFill="1" applyBorder="1" applyAlignment="1">
      <alignment horizontal="right" vertical="center" wrapText="1"/>
    </xf>
    <xf numFmtId="3" fontId="2" fillId="7" borderId="6" xfId="0" applyNumberFormat="1" applyFont="1" applyFill="1" applyBorder="1" applyAlignment="1">
      <alignment horizontal="right" vertical="center" wrapText="1"/>
    </xf>
    <xf numFmtId="3" fontId="63" fillId="0" borderId="0" xfId="0" applyNumberFormat="1" applyFont="1" applyFill="1" applyBorder="1" applyAlignment="1">
      <alignment vertical="center"/>
    </xf>
    <xf numFmtId="3" fontId="87" fillId="0" borderId="0" xfId="0" applyNumberFormat="1" applyFont="1"/>
    <xf numFmtId="0" fontId="4" fillId="0" borderId="11" xfId="0" applyFont="1" applyFill="1" applyBorder="1"/>
    <xf numFmtId="3" fontId="3" fillId="0" borderId="12" xfId="0" applyNumberFormat="1" applyFont="1" applyFill="1" applyBorder="1" applyAlignment="1"/>
    <xf numFmtId="0" fontId="1" fillId="0" borderId="11" xfId="0" applyFont="1" applyFill="1" applyBorder="1"/>
    <xf numFmtId="0" fontId="1" fillId="0" borderId="43" xfId="0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9" xfId="0" applyFont="1" applyFill="1" applyBorder="1"/>
    <xf numFmtId="0" fontId="4" fillId="0" borderId="1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1" fillId="0" borderId="11" xfId="0" applyFont="1" applyFill="1" applyBorder="1"/>
    <xf numFmtId="3" fontId="21" fillId="6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horizontal="right"/>
    </xf>
    <xf numFmtId="0" fontId="1" fillId="0" borderId="16" xfId="0" applyFont="1" applyFill="1" applyBorder="1"/>
    <xf numFmtId="0" fontId="4" fillId="0" borderId="0" xfId="0" applyFont="1" applyAlignment="1">
      <alignment vertical="center"/>
    </xf>
    <xf numFmtId="0" fontId="21" fillId="6" borderId="0" xfId="0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1" fillId="0" borderId="11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vertical="center"/>
    </xf>
    <xf numFmtId="3" fontId="1" fillId="0" borderId="40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5" fillId="0" borderId="12" xfId="0" applyNumberFormat="1" applyFont="1" applyBorder="1" applyAlignment="1">
      <alignment vertical="center"/>
    </xf>
    <xf numFmtId="3" fontId="16" fillId="8" borderId="4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vertical="center"/>
    </xf>
    <xf numFmtId="3" fontId="14" fillId="0" borderId="18" xfId="0" applyNumberFormat="1" applyFont="1" applyBorder="1" applyAlignment="1">
      <alignment wrapText="1"/>
    </xf>
    <xf numFmtId="0" fontId="1" fillId="0" borderId="7" xfId="0" applyFont="1" applyFill="1" applyBorder="1"/>
    <xf numFmtId="0" fontId="21" fillId="0" borderId="16" xfId="0" applyFont="1" applyBorder="1"/>
    <xf numFmtId="0" fontId="21" fillId="0" borderId="16" xfId="0" applyFont="1" applyBorder="1" applyAlignment="1">
      <alignment wrapText="1"/>
    </xf>
    <xf numFmtId="3" fontId="14" fillId="0" borderId="0" xfId="0" applyNumberFormat="1" applyFont="1" applyAlignment="1">
      <alignment horizontal="center" wrapText="1"/>
    </xf>
    <xf numFmtId="0" fontId="1" fillId="6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center"/>
    </xf>
    <xf numFmtId="3" fontId="11" fillId="10" borderId="0" xfId="0" applyNumberFormat="1" applyFont="1" applyFill="1"/>
    <xf numFmtId="0" fontId="24" fillId="7" borderId="19" xfId="0" applyFont="1" applyFill="1" applyBorder="1" applyAlignment="1">
      <alignment vertical="center" wrapText="1"/>
    </xf>
    <xf numFmtId="0" fontId="24" fillId="7" borderId="24" xfId="0" applyFont="1" applyFill="1" applyBorder="1" applyAlignment="1">
      <alignment vertical="center" wrapText="1"/>
    </xf>
    <xf numFmtId="0" fontId="4" fillId="9" borderId="1" xfId="0" applyFont="1" applyFill="1" applyBorder="1"/>
    <xf numFmtId="0" fontId="14" fillId="0" borderId="1" xfId="0" applyFont="1" applyFill="1" applyBorder="1" applyAlignment="1">
      <alignment wrapText="1"/>
    </xf>
    <xf numFmtId="0" fontId="0" fillId="12" borderId="0" xfId="0" applyFill="1"/>
    <xf numFmtId="3" fontId="23" fillId="12" borderId="0" xfId="0" applyNumberFormat="1" applyFont="1" applyFill="1"/>
    <xf numFmtId="0" fontId="11" fillId="12" borderId="0" xfId="0" applyFont="1" applyFill="1"/>
    <xf numFmtId="3" fontId="47" fillId="12" borderId="0" xfId="0" applyNumberFormat="1" applyFont="1" applyFill="1"/>
    <xf numFmtId="3" fontId="11" fillId="12" borderId="0" xfId="0" applyNumberFormat="1" applyFont="1" applyFill="1"/>
    <xf numFmtId="3" fontId="0" fillId="12" borderId="0" xfId="0" applyNumberFormat="1" applyFill="1"/>
    <xf numFmtId="0" fontId="0" fillId="12" borderId="0" xfId="0" applyFont="1" applyFill="1"/>
    <xf numFmtId="0" fontId="0" fillId="12" borderId="0" xfId="0" applyFill="1" applyAlignment="1"/>
    <xf numFmtId="3" fontId="6" fillId="0" borderId="0" xfId="0" applyNumberFormat="1" applyFont="1"/>
    <xf numFmtId="0" fontId="0" fillId="0" borderId="1" xfId="0" applyFill="1" applyBorder="1"/>
    <xf numFmtId="3" fontId="30" fillId="0" borderId="0" xfId="0" applyNumberFormat="1" applyFont="1" applyFill="1" applyBorder="1" applyAlignment="1">
      <alignment wrapText="1"/>
    </xf>
    <xf numFmtId="0" fontId="30" fillId="0" borderId="0" xfId="0" applyFont="1"/>
    <xf numFmtId="3" fontId="30" fillId="0" borderId="0" xfId="0" applyNumberFormat="1" applyFont="1" applyFill="1" applyBorder="1" applyAlignment="1"/>
    <xf numFmtId="3" fontId="44" fillId="0" borderId="0" xfId="0" applyNumberFormat="1" applyFont="1"/>
    <xf numFmtId="4" fontId="11" fillId="0" borderId="0" xfId="0" applyNumberFormat="1" applyFont="1" applyBorder="1"/>
    <xf numFmtId="3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72" fillId="0" borderId="0" xfId="0" applyNumberFormat="1" applyFont="1"/>
    <xf numFmtId="0" fontId="91" fillId="0" borderId="0" xfId="0" applyFont="1"/>
    <xf numFmtId="3" fontId="1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wrapText="1"/>
    </xf>
    <xf numFmtId="3" fontId="87" fillId="0" borderId="0" xfId="0" applyNumberFormat="1" applyFont="1" applyFill="1"/>
    <xf numFmtId="0" fontId="21" fillId="0" borderId="16" xfId="0" applyFont="1" applyFill="1" applyBorder="1"/>
    <xf numFmtId="3" fontId="1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vertical="center"/>
    </xf>
    <xf numFmtId="0" fontId="65" fillId="6" borderId="0" xfId="12" applyFill="1"/>
    <xf numFmtId="0" fontId="51" fillId="6" borderId="0" xfId="12" applyFont="1" applyFill="1"/>
    <xf numFmtId="3" fontId="65" fillId="0" borderId="0" xfId="12" applyNumberFormat="1"/>
    <xf numFmtId="0" fontId="65" fillId="0" borderId="0" xfId="12"/>
    <xf numFmtId="0" fontId="19" fillId="6" borderId="0" xfId="12" applyFont="1" applyFill="1" applyAlignment="1">
      <alignment horizontal="right"/>
    </xf>
    <xf numFmtId="0" fontId="66" fillId="8" borderId="44" xfId="12" applyFont="1" applyFill="1" applyBorder="1" applyAlignment="1">
      <alignment horizontal="center" vertical="center" wrapText="1"/>
    </xf>
    <xf numFmtId="0" fontId="66" fillId="8" borderId="37" xfId="12" applyFont="1" applyFill="1" applyBorder="1" applyAlignment="1">
      <alignment horizontal="center" vertical="center" wrapText="1"/>
    </xf>
    <xf numFmtId="0" fontId="66" fillId="8" borderId="45" xfId="12" applyFont="1" applyFill="1" applyBorder="1" applyAlignment="1">
      <alignment horizontal="center" vertical="center" wrapText="1"/>
    </xf>
    <xf numFmtId="0" fontId="66" fillId="8" borderId="25" xfId="12" applyFont="1" applyFill="1" applyBorder="1" applyAlignment="1">
      <alignment horizontal="center" vertical="center" wrapText="1"/>
    </xf>
    <xf numFmtId="0" fontId="65" fillId="0" borderId="0" xfId="12" applyAlignment="1">
      <alignment horizontal="center" vertical="center"/>
    </xf>
    <xf numFmtId="3" fontId="67" fillId="0" borderId="0" xfId="12" applyNumberFormat="1" applyFont="1" applyAlignment="1">
      <alignment horizontal="center" vertical="center" wrapText="1"/>
    </xf>
    <xf numFmtId="0" fontId="51" fillId="8" borderId="46" xfId="12" applyFont="1" applyFill="1" applyBorder="1"/>
    <xf numFmtId="3" fontId="65" fillId="0" borderId="31" xfId="12" applyNumberFormat="1" applyBorder="1"/>
    <xf numFmtId="3" fontId="19" fillId="0" borderId="16" xfId="12" applyNumberFormat="1" applyFont="1" applyBorder="1"/>
    <xf numFmtId="3" fontId="19" fillId="0" borderId="3" xfId="12" applyNumberFormat="1" applyFont="1" applyBorder="1"/>
    <xf numFmtId="3" fontId="65" fillId="0" borderId="3" xfId="12" applyNumberFormat="1" applyBorder="1"/>
    <xf numFmtId="3" fontId="65" fillId="0" borderId="47" xfId="12" applyNumberFormat="1" applyBorder="1"/>
    <xf numFmtId="3" fontId="51" fillId="0" borderId="31" xfId="12" applyNumberFormat="1" applyFont="1" applyBorder="1"/>
    <xf numFmtId="3" fontId="65" fillId="0" borderId="28" xfId="12" applyNumberFormat="1" applyBorder="1"/>
    <xf numFmtId="3" fontId="65" fillId="0" borderId="48" xfId="12" applyNumberFormat="1" applyBorder="1"/>
    <xf numFmtId="3" fontId="51" fillId="8" borderId="31" xfId="12" applyNumberFormat="1" applyFont="1" applyFill="1" applyBorder="1"/>
    <xf numFmtId="3" fontId="20" fillId="0" borderId="0" xfId="12" applyNumberFormat="1" applyFont="1"/>
    <xf numFmtId="3" fontId="65" fillId="8" borderId="49" xfId="12" applyNumberFormat="1" applyFill="1" applyBorder="1"/>
    <xf numFmtId="1" fontId="19" fillId="0" borderId="0" xfId="12" applyNumberFormat="1" applyFont="1"/>
    <xf numFmtId="0" fontId="51" fillId="8" borderId="43" xfId="12" applyFont="1" applyFill="1" applyBorder="1"/>
    <xf numFmtId="0" fontId="51" fillId="0" borderId="32" xfId="12" applyFont="1" applyBorder="1"/>
    <xf numFmtId="3" fontId="65" fillId="0" borderId="1" xfId="12" applyNumberFormat="1" applyBorder="1"/>
    <xf numFmtId="3" fontId="20" fillId="0" borderId="32" xfId="12" applyNumberFormat="1" applyFont="1" applyBorder="1"/>
    <xf numFmtId="3" fontId="65" fillId="8" borderId="32" xfId="12" applyNumberFormat="1" applyFill="1" applyBorder="1"/>
    <xf numFmtId="6" fontId="65" fillId="0" borderId="0" xfId="12" applyNumberFormat="1"/>
    <xf numFmtId="0" fontId="68" fillId="0" borderId="0" xfId="12" applyFont="1"/>
    <xf numFmtId="3" fontId="19" fillId="0" borderId="1" xfId="12" applyNumberFormat="1" applyFont="1" applyBorder="1"/>
    <xf numFmtId="3" fontId="51" fillId="0" borderId="32" xfId="12" applyNumberFormat="1" applyFont="1" applyBorder="1"/>
    <xf numFmtId="3" fontId="65" fillId="0" borderId="16" xfId="12" applyNumberFormat="1" applyBorder="1"/>
    <xf numFmtId="3" fontId="51" fillId="8" borderId="32" xfId="12" applyNumberFormat="1" applyFont="1" applyFill="1" applyBorder="1"/>
    <xf numFmtId="0" fontId="51" fillId="8" borderId="17" xfId="12" applyFont="1" applyFill="1" applyBorder="1"/>
    <xf numFmtId="3" fontId="65" fillId="0" borderId="32" xfId="12" applyNumberFormat="1" applyBorder="1"/>
    <xf numFmtId="3" fontId="65" fillId="0" borderId="17" xfId="12" applyNumberFormat="1" applyBorder="1"/>
    <xf numFmtId="0" fontId="51" fillId="8" borderId="32" xfId="12" applyFont="1" applyFill="1" applyBorder="1"/>
    <xf numFmtId="0" fontId="51" fillId="8" borderId="50" xfId="12" applyFont="1" applyFill="1" applyBorder="1"/>
    <xf numFmtId="3" fontId="51" fillId="8" borderId="51" xfId="12" applyNumberFormat="1" applyFont="1" applyFill="1" applyBorder="1"/>
    <xf numFmtId="3" fontId="51" fillId="8" borderId="44" xfId="12" applyNumberFormat="1" applyFont="1" applyFill="1" applyBorder="1"/>
    <xf numFmtId="3" fontId="51" fillId="8" borderId="37" xfId="12" applyNumberFormat="1" applyFont="1" applyFill="1" applyBorder="1"/>
    <xf numFmtId="3" fontId="51" fillId="8" borderId="52" xfId="12" applyNumberFormat="1" applyFont="1" applyFill="1" applyBorder="1"/>
    <xf numFmtId="0" fontId="51" fillId="8" borderId="51" xfId="12" applyFont="1" applyFill="1" applyBorder="1"/>
    <xf numFmtId="3" fontId="51" fillId="8" borderId="45" xfId="12" applyNumberFormat="1" applyFont="1" applyFill="1" applyBorder="1"/>
    <xf numFmtId="3" fontId="67" fillId="8" borderId="51" xfId="12" applyNumberFormat="1" applyFont="1" applyFill="1" applyBorder="1"/>
    <xf numFmtId="3" fontId="51" fillId="8" borderId="33" xfId="12" applyNumberFormat="1" applyFont="1" applyFill="1" applyBorder="1"/>
    <xf numFmtId="3" fontId="19" fillId="0" borderId="0" xfId="12" applyNumberFormat="1" applyFont="1"/>
    <xf numFmtId="0" fontId="51" fillId="0" borderId="0" xfId="12" applyFont="1"/>
    <xf numFmtId="3" fontId="20" fillId="6" borderId="0" xfId="12" applyNumberFormat="1" applyFont="1" applyFill="1"/>
    <xf numFmtId="3" fontId="51" fillId="0" borderId="0" xfId="12" applyNumberFormat="1" applyFont="1"/>
    <xf numFmtId="3" fontId="67" fillId="0" borderId="0" xfId="12" applyNumberFormat="1" applyFont="1"/>
    <xf numFmtId="1" fontId="65" fillId="0" borderId="0" xfId="12" applyNumberFormat="1"/>
    <xf numFmtId="0" fontId="66" fillId="8" borderId="4" xfId="12" applyFont="1" applyFill="1" applyBorder="1" applyAlignment="1">
      <alignment horizontal="center" vertical="center" wrapText="1"/>
    </xf>
    <xf numFmtId="0" fontId="66" fillId="8" borderId="5" xfId="12" applyFont="1" applyFill="1" applyBorder="1" applyAlignment="1">
      <alignment horizontal="center" vertical="center" wrapText="1"/>
    </xf>
    <xf numFmtId="0" fontId="69" fillId="8" borderId="24" xfId="12" applyFont="1" applyFill="1" applyBorder="1" applyAlignment="1">
      <alignment horizontal="center" vertical="center" wrapText="1"/>
    </xf>
    <xf numFmtId="3" fontId="19" fillId="0" borderId="10" xfId="12" applyNumberFormat="1" applyFont="1" applyBorder="1"/>
    <xf numFmtId="3" fontId="20" fillId="0" borderId="10" xfId="12" applyNumberFormat="1" applyFont="1" applyBorder="1"/>
    <xf numFmtId="0" fontId="51" fillId="8" borderId="31" xfId="12" applyFont="1" applyFill="1" applyBorder="1"/>
    <xf numFmtId="3" fontId="19" fillId="0" borderId="9" xfId="12" applyNumberFormat="1" applyFont="1" applyBorder="1"/>
    <xf numFmtId="3" fontId="70" fillId="0" borderId="53" xfId="12" applyNumberFormat="1" applyFont="1" applyBorder="1"/>
    <xf numFmtId="3" fontId="70" fillId="0" borderId="3" xfId="12" applyNumberFormat="1" applyFont="1" applyBorder="1"/>
    <xf numFmtId="3" fontId="65" fillId="0" borderId="10" xfId="12" applyNumberFormat="1" applyBorder="1"/>
    <xf numFmtId="3" fontId="19" fillId="0" borderId="11" xfId="12" applyNumberFormat="1" applyFont="1" applyBorder="1"/>
    <xf numFmtId="3" fontId="70" fillId="0" borderId="26" xfId="12" applyNumberFormat="1" applyFont="1" applyBorder="1"/>
    <xf numFmtId="3" fontId="70" fillId="0" borderId="1" xfId="12" applyNumberFormat="1" applyFont="1" applyBorder="1"/>
    <xf numFmtId="3" fontId="65" fillId="0" borderId="12" xfId="12" applyNumberFormat="1" applyBorder="1"/>
    <xf numFmtId="3" fontId="19" fillId="0" borderId="12" xfId="12" applyNumberFormat="1" applyFont="1" applyBorder="1"/>
    <xf numFmtId="3" fontId="20" fillId="0" borderId="12" xfId="12" applyNumberFormat="1" applyFont="1" applyBorder="1"/>
    <xf numFmtId="3" fontId="51" fillId="8" borderId="54" xfId="12" applyNumberFormat="1" applyFont="1" applyFill="1" applyBorder="1"/>
    <xf numFmtId="3" fontId="67" fillId="8" borderId="54" xfId="12" applyNumberFormat="1" applyFont="1" applyFill="1" applyBorder="1"/>
    <xf numFmtId="3" fontId="51" fillId="8" borderId="55" xfId="12" applyNumberFormat="1" applyFont="1" applyFill="1" applyBorder="1"/>
    <xf numFmtId="3" fontId="55" fillId="8" borderId="56" xfId="12" applyNumberFormat="1" applyFont="1" applyFill="1" applyBorder="1"/>
    <xf numFmtId="3" fontId="55" fillId="8" borderId="52" xfId="12" applyNumberFormat="1" applyFont="1" applyFill="1" applyBorder="1"/>
    <xf numFmtId="3" fontId="51" fillId="8" borderId="14" xfId="12" applyNumberFormat="1" applyFont="1" applyFill="1" applyBorder="1"/>
    <xf numFmtId="3" fontId="68" fillId="0" borderId="0" xfId="12" applyNumberFormat="1" applyFont="1"/>
    <xf numFmtId="0" fontId="51" fillId="9" borderId="0" xfId="12" applyFont="1" applyFill="1" applyAlignment="1">
      <alignment wrapText="1"/>
    </xf>
    <xf numFmtId="0" fontId="65" fillId="9" borderId="0" xfId="12" applyFill="1"/>
    <xf numFmtId="3" fontId="51" fillId="9" borderId="0" xfId="12" applyNumberFormat="1" applyFont="1" applyFill="1"/>
    <xf numFmtId="0" fontId="51" fillId="9" borderId="46" xfId="12" applyFont="1" applyFill="1" applyBorder="1"/>
    <xf numFmtId="3" fontId="65" fillId="9" borderId="31" xfId="12" applyNumberFormat="1" applyFill="1" applyBorder="1"/>
    <xf numFmtId="3" fontId="19" fillId="9" borderId="16" xfId="12" applyNumberFormat="1" applyFont="1" applyFill="1" applyBorder="1"/>
    <xf numFmtId="3" fontId="19" fillId="9" borderId="3" xfId="12" applyNumberFormat="1" applyFont="1" applyFill="1" applyBorder="1"/>
    <xf numFmtId="3" fontId="65" fillId="9" borderId="3" xfId="12" applyNumberFormat="1" applyFill="1" applyBorder="1"/>
    <xf numFmtId="3" fontId="65" fillId="9" borderId="47" xfId="12" applyNumberFormat="1" applyFill="1" applyBorder="1"/>
    <xf numFmtId="3" fontId="51" fillId="9" borderId="31" xfId="12" applyNumberFormat="1" applyFont="1" applyFill="1" applyBorder="1"/>
    <xf numFmtId="0" fontId="51" fillId="9" borderId="49" xfId="12" applyFont="1" applyFill="1" applyBorder="1"/>
    <xf numFmtId="3" fontId="65" fillId="9" borderId="28" xfId="12" applyNumberFormat="1" applyFill="1" applyBorder="1"/>
    <xf numFmtId="3" fontId="65" fillId="9" borderId="48" xfId="12" applyNumberFormat="1" applyFill="1" applyBorder="1"/>
    <xf numFmtId="3" fontId="20" fillId="9" borderId="49" xfId="12" applyNumberFormat="1" applyFont="1" applyFill="1" applyBorder="1"/>
    <xf numFmtId="3" fontId="51" fillId="0" borderId="1" xfId="0" applyNumberFormat="1" applyFont="1" applyBorder="1"/>
    <xf numFmtId="0" fontId="92" fillId="0" borderId="1" xfId="0" applyFont="1" applyBorder="1" applyAlignment="1">
      <alignment wrapText="1"/>
    </xf>
    <xf numFmtId="0" fontId="51" fillId="2" borderId="1" xfId="0" applyFont="1" applyFill="1" applyBorder="1"/>
    <xf numFmtId="0" fontId="51" fillId="0" borderId="1" xfId="0" applyFont="1" applyBorder="1"/>
    <xf numFmtId="0" fontId="19" fillId="0" borderId="1" xfId="0" applyFont="1" applyBorder="1" applyAlignment="1">
      <alignment wrapText="1"/>
    </xf>
    <xf numFmtId="3" fontId="4" fillId="8" borderId="3" xfId="0" applyNumberFormat="1" applyFont="1" applyFill="1" applyBorder="1" applyAlignment="1"/>
    <xf numFmtId="0" fontId="0" fillId="0" borderId="0" xfId="0" applyFill="1" applyAlignment="1"/>
    <xf numFmtId="0" fontId="22" fillId="0" borderId="0" xfId="0" applyFont="1" applyFill="1" applyAlignment="1"/>
    <xf numFmtId="0" fontId="17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5" borderId="20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7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6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22" xfId="0" applyNumberFormat="1" applyFont="1" applyFill="1" applyBorder="1" applyAlignment="1">
      <alignment horizontal="center" vertical="center" wrapText="1"/>
    </xf>
    <xf numFmtId="3" fontId="4" fillId="3" borderId="23" xfId="0" applyNumberFormat="1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3" fontId="27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3" fontId="15" fillId="3" borderId="17" xfId="0" applyNumberFormat="1" applyFont="1" applyFill="1" applyBorder="1" applyAlignment="1">
      <alignment horizontal="center" vertical="center" wrapText="1"/>
    </xf>
    <xf numFmtId="3" fontId="15" fillId="3" borderId="16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 wrapText="1"/>
    </xf>
    <xf numFmtId="3" fontId="4" fillId="3" borderId="38" xfId="0" applyNumberFormat="1" applyFont="1" applyFill="1" applyBorder="1" applyAlignment="1">
      <alignment horizontal="center" vertical="center" wrapText="1"/>
    </xf>
    <xf numFmtId="3" fontId="4" fillId="3" borderId="60" xfId="0" applyNumberFormat="1" applyFont="1" applyFill="1" applyBorder="1" applyAlignment="1">
      <alignment horizontal="center" vertical="center" wrapText="1"/>
    </xf>
    <xf numFmtId="3" fontId="4" fillId="3" borderId="39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top" wrapText="1"/>
    </xf>
    <xf numFmtId="0" fontId="17" fillId="6" borderId="0" xfId="0" applyFont="1" applyFill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24" fillId="7" borderId="6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7" borderId="5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 wrapText="1"/>
    </xf>
    <xf numFmtId="0" fontId="24" fillId="7" borderId="35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62" xfId="0" applyFont="1" applyFill="1" applyBorder="1" applyAlignment="1">
      <alignment horizontal="center" vertical="center" wrapText="1"/>
    </xf>
    <xf numFmtId="0" fontId="24" fillId="7" borderId="63" xfId="0" applyFont="1" applyFill="1" applyBorder="1" applyAlignment="1">
      <alignment horizontal="center" vertical="center" wrapText="1"/>
    </xf>
    <xf numFmtId="0" fontId="24" fillId="7" borderId="6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3" fillId="7" borderId="61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/>
    </xf>
    <xf numFmtId="3" fontId="37" fillId="7" borderId="1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37" fillId="7" borderId="17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6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3" fontId="37" fillId="7" borderId="35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3" fontId="3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7" fillId="3" borderId="62" xfId="0" applyFont="1" applyFill="1" applyBorder="1" applyAlignment="1">
      <alignment horizontal="center" vertical="center" wrapText="1"/>
    </xf>
    <xf numFmtId="0" fontId="37" fillId="3" borderId="63" xfId="0" applyFont="1" applyFill="1" applyBorder="1" applyAlignment="1">
      <alignment horizontal="center" vertical="center" wrapText="1"/>
    </xf>
    <xf numFmtId="0" fontId="37" fillId="3" borderId="64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7" fillId="3" borderId="65" xfId="0" applyFont="1" applyFill="1" applyBorder="1" applyAlignment="1">
      <alignment horizontal="center" vertical="center" wrapText="1"/>
    </xf>
    <xf numFmtId="0" fontId="37" fillId="3" borderId="48" xfId="0" applyFont="1" applyFill="1" applyBorder="1" applyAlignment="1">
      <alignment horizontal="center" vertical="center" wrapText="1"/>
    </xf>
    <xf numFmtId="0" fontId="37" fillId="3" borderId="47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center" vertical="center" wrapText="1"/>
    </xf>
    <xf numFmtId="3" fontId="37" fillId="7" borderId="16" xfId="0" applyNumberFormat="1" applyFont="1" applyFill="1" applyBorder="1" applyAlignment="1">
      <alignment horizontal="center" vertical="center" wrapText="1"/>
    </xf>
    <xf numFmtId="3" fontId="5" fillId="7" borderId="17" xfId="0" applyNumberFormat="1" applyFont="1" applyFill="1" applyBorder="1" applyAlignment="1">
      <alignment horizontal="center"/>
    </xf>
    <xf numFmtId="3" fontId="5" fillId="7" borderId="16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4" fillId="0" borderId="1" xfId="7" applyFont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4" fillId="0" borderId="22" xfId="7" applyFont="1" applyBorder="1" applyAlignment="1">
      <alignment horizontal="center" vertical="center" wrapText="1"/>
    </xf>
    <xf numFmtId="0" fontId="4" fillId="0" borderId="23" xfId="7" applyFont="1" applyBorder="1" applyAlignment="1">
      <alignment horizontal="center" vertical="center" wrapText="1"/>
    </xf>
    <xf numFmtId="0" fontId="59" fillId="0" borderId="0" xfId="7" applyFont="1" applyBorder="1" applyAlignment="1">
      <alignment horizontal="center" vertical="center" wrapText="1"/>
    </xf>
    <xf numFmtId="0" fontId="59" fillId="0" borderId="0" xfId="7" applyFont="1" applyBorder="1" applyAlignment="1">
      <alignment horizontal="center" vertical="center"/>
    </xf>
    <xf numFmtId="0" fontId="56" fillId="0" borderId="1" xfId="7" applyFont="1" applyBorder="1" applyAlignment="1">
      <alignment horizontal="left" vertical="center" wrapText="1"/>
    </xf>
    <xf numFmtId="0" fontId="4" fillId="4" borderId="1" xfId="7" applyFont="1" applyFill="1" applyBorder="1" applyAlignment="1">
      <alignment horizontal="left" vertical="center" wrapText="1"/>
    </xf>
    <xf numFmtId="0" fontId="56" fillId="0" borderId="27" xfId="7" applyFont="1" applyBorder="1" applyAlignment="1">
      <alignment horizontal="center" vertical="center" wrapText="1"/>
    </xf>
    <xf numFmtId="0" fontId="56" fillId="0" borderId="19" xfId="7" applyFont="1" applyBorder="1" applyAlignment="1">
      <alignment horizontal="center" vertical="center" wrapText="1"/>
    </xf>
    <xf numFmtId="0" fontId="56" fillId="0" borderId="41" xfId="7" applyFont="1" applyBorder="1" applyAlignment="1">
      <alignment horizontal="center" vertical="center" wrapText="1"/>
    </xf>
    <xf numFmtId="0" fontId="54" fillId="0" borderId="3" xfId="7" applyFont="1" applyBorder="1" applyAlignment="1">
      <alignment horizontal="left" vertical="center" wrapText="1"/>
    </xf>
    <xf numFmtId="0" fontId="54" fillId="0" borderId="1" xfId="7" applyFont="1" applyBorder="1" applyAlignment="1">
      <alignment horizontal="left" vertical="center" wrapText="1"/>
    </xf>
    <xf numFmtId="0" fontId="1" fillId="0" borderId="15" xfId="7" applyFont="1" applyBorder="1" applyAlignment="1">
      <alignment horizontal="center" vertical="center" wrapText="1"/>
    </xf>
    <xf numFmtId="0" fontId="1" fillId="0" borderId="22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left" vertical="center" wrapText="1"/>
    </xf>
    <xf numFmtId="3" fontId="57" fillId="0" borderId="0" xfId="7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wrapText="1"/>
    </xf>
    <xf numFmtId="0" fontId="40" fillId="2" borderId="0" xfId="0" applyFont="1" applyFill="1" applyAlignment="1">
      <alignment horizontal="center" wrapText="1"/>
    </xf>
    <xf numFmtId="0" fontId="39" fillId="3" borderId="38" xfId="0" applyFont="1" applyFill="1" applyBorder="1" applyAlignment="1">
      <alignment horizontal="center" vertical="center" wrapText="1"/>
    </xf>
    <xf numFmtId="0" fontId="39" fillId="3" borderId="60" xfId="0" applyFont="1" applyFill="1" applyBorder="1" applyAlignment="1">
      <alignment horizontal="center" vertical="center" wrapText="1"/>
    </xf>
    <xf numFmtId="0" fontId="39" fillId="3" borderId="39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39" fillId="3" borderId="37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wrapText="1"/>
    </xf>
    <xf numFmtId="0" fontId="48" fillId="3" borderId="66" xfId="0" applyFont="1" applyFill="1" applyBorder="1" applyAlignment="1">
      <alignment horizontal="center" vertical="center" wrapText="1"/>
    </xf>
    <xf numFmtId="0" fontId="48" fillId="3" borderId="42" xfId="0" applyFont="1" applyFill="1" applyBorder="1" applyAlignment="1">
      <alignment horizontal="center" vertical="center" wrapText="1"/>
    </xf>
    <xf numFmtId="0" fontId="48" fillId="3" borderId="54" xfId="0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45" fillId="3" borderId="37" xfId="0" applyFont="1" applyFill="1" applyBorder="1" applyAlignment="1">
      <alignment horizontal="center" vertical="center" wrapText="1"/>
    </xf>
    <xf numFmtId="0" fontId="39" fillId="7" borderId="21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39" fillId="7" borderId="3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 wrapText="1"/>
    </xf>
    <xf numFmtId="0" fontId="39" fillId="3" borderId="29" xfId="0" applyFont="1" applyFill="1" applyBorder="1" applyAlignment="1">
      <alignment horizontal="center" vertical="center" wrapText="1"/>
    </xf>
    <xf numFmtId="0" fontId="39" fillId="3" borderId="55" xfId="0" applyFont="1" applyFill="1" applyBorder="1" applyAlignment="1">
      <alignment horizontal="center" vertical="center" wrapText="1"/>
    </xf>
    <xf numFmtId="0" fontId="39" fillId="3" borderId="21" xfId="0" applyFont="1" applyFill="1" applyBorder="1" applyAlignment="1">
      <alignment horizontal="center" vertical="center" wrapText="1"/>
    </xf>
    <xf numFmtId="0" fontId="51" fillId="8" borderId="49" xfId="12" applyFont="1" applyFill="1" applyBorder="1" applyAlignment="1">
      <alignment horizontal="center" vertical="center"/>
    </xf>
    <xf numFmtId="0" fontId="51" fillId="8" borderId="33" xfId="12" applyFont="1" applyFill="1" applyBorder="1" applyAlignment="1">
      <alignment horizontal="center" vertical="center"/>
    </xf>
    <xf numFmtId="0" fontId="51" fillId="8" borderId="27" xfId="12" applyFont="1" applyFill="1" applyBorder="1" applyAlignment="1">
      <alignment horizontal="center" vertical="center"/>
    </xf>
    <xf numFmtId="0" fontId="51" fillId="8" borderId="19" xfId="12" applyFont="1" applyFill="1" applyBorder="1" applyAlignment="1">
      <alignment horizontal="center" vertical="center"/>
    </xf>
    <xf numFmtId="0" fontId="51" fillId="8" borderId="24" xfId="12" applyFont="1" applyFill="1" applyBorder="1" applyAlignment="1">
      <alignment horizontal="center" vertical="center"/>
    </xf>
    <xf numFmtId="0" fontId="19" fillId="0" borderId="0" xfId="12" applyFont="1" applyAlignment="1">
      <alignment horizontal="center" wrapText="1"/>
    </xf>
    <xf numFmtId="0" fontId="51" fillId="8" borderId="19" xfId="12" applyFont="1" applyFill="1" applyBorder="1" applyAlignment="1">
      <alignment horizontal="center"/>
    </xf>
    <xf numFmtId="0" fontId="51" fillId="8" borderId="67" xfId="12" applyFont="1" applyFill="1" applyBorder="1" applyAlignment="1">
      <alignment horizontal="center" vertical="center"/>
    </xf>
    <xf numFmtId="0" fontId="51" fillId="8" borderId="69" xfId="12" applyFont="1" applyFill="1" applyBorder="1" applyAlignment="1">
      <alignment horizontal="center" vertical="center"/>
    </xf>
    <xf numFmtId="0" fontId="51" fillId="8" borderId="4" xfId="12" applyFont="1" applyFill="1" applyBorder="1" applyAlignment="1">
      <alignment horizontal="center"/>
    </xf>
    <xf numFmtId="0" fontId="51" fillId="8" borderId="5" xfId="12" applyFont="1" applyFill="1" applyBorder="1" applyAlignment="1">
      <alignment horizontal="center"/>
    </xf>
    <xf numFmtId="0" fontId="51" fillId="8" borderId="30" xfId="12" applyFont="1" applyFill="1" applyBorder="1" applyAlignment="1">
      <alignment horizontal="center"/>
    </xf>
    <xf numFmtId="0" fontId="51" fillId="8" borderId="49" xfId="12" applyFont="1" applyFill="1" applyBorder="1" applyAlignment="1">
      <alignment horizontal="center" vertical="center" wrapText="1"/>
    </xf>
    <xf numFmtId="0" fontId="51" fillId="8" borderId="33" xfId="12" applyFont="1" applyFill="1" applyBorder="1" applyAlignment="1">
      <alignment horizontal="center" vertical="center" wrapText="1"/>
    </xf>
    <xf numFmtId="0" fontId="67" fillId="8" borderId="70" xfId="12" applyFont="1" applyFill="1" applyBorder="1" applyAlignment="1">
      <alignment horizontal="center" vertical="center" wrapText="1"/>
    </xf>
    <xf numFmtId="0" fontId="67" fillId="8" borderId="69" xfId="12" applyFont="1" applyFill="1" applyBorder="1" applyAlignment="1">
      <alignment horizontal="center" vertical="center" wrapText="1"/>
    </xf>
    <xf numFmtId="0" fontId="67" fillId="8" borderId="49" xfId="12" applyFont="1" applyFill="1" applyBorder="1" applyAlignment="1">
      <alignment horizontal="center" vertical="center" wrapText="1"/>
    </xf>
    <xf numFmtId="0" fontId="67" fillId="8" borderId="33" xfId="12" applyFont="1" applyFill="1" applyBorder="1" applyAlignment="1">
      <alignment horizontal="center" vertical="center" wrapText="1"/>
    </xf>
    <xf numFmtId="0" fontId="51" fillId="8" borderId="68" xfId="12" applyFont="1" applyFill="1" applyBorder="1" applyAlignment="1">
      <alignment horizontal="center" vertical="center"/>
    </xf>
    <xf numFmtId="0" fontId="66" fillId="8" borderId="49" xfId="12" applyFont="1" applyFill="1" applyBorder="1" applyAlignment="1">
      <alignment horizontal="center" vertical="center" wrapText="1"/>
    </xf>
    <xf numFmtId="0" fontId="66" fillId="8" borderId="33" xfId="12" applyFont="1" applyFill="1" applyBorder="1" applyAlignment="1">
      <alignment horizontal="center" vertical="center" wrapText="1"/>
    </xf>
    <xf numFmtId="0" fontId="51" fillId="8" borderId="61" xfId="12" applyFont="1" applyFill="1" applyBorder="1" applyAlignment="1">
      <alignment horizontal="center" vertical="center" wrapText="1"/>
    </xf>
    <xf numFmtId="0" fontId="51" fillId="8" borderId="51" xfId="12" applyFont="1" applyFill="1" applyBorder="1" applyAlignment="1">
      <alignment horizontal="center" vertical="center" wrapText="1"/>
    </xf>
    <xf numFmtId="0" fontId="20" fillId="8" borderId="61" xfId="12" applyFont="1" applyFill="1" applyBorder="1" applyAlignment="1">
      <alignment horizontal="center" vertical="center" wrapText="1"/>
    </xf>
    <xf numFmtId="0" fontId="20" fillId="8" borderId="51" xfId="12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77" fillId="0" borderId="3" xfId="6" applyNumberFormat="1" applyFont="1" applyFill="1" applyBorder="1" applyAlignment="1">
      <alignment horizontal="right"/>
    </xf>
    <xf numFmtId="3" fontId="77" fillId="0" borderId="1" xfId="6" applyNumberFormat="1" applyFont="1" applyFill="1" applyBorder="1" applyAlignment="1">
      <alignment horizontal="right"/>
    </xf>
    <xf numFmtId="3" fontId="85" fillId="0" borderId="48" xfId="6" applyNumberFormat="1" applyFont="1" applyBorder="1" applyAlignment="1">
      <alignment horizontal="center"/>
    </xf>
    <xf numFmtId="3" fontId="85" fillId="0" borderId="28" xfId="6" applyNumberFormat="1" applyFont="1" applyBorder="1" applyAlignment="1">
      <alignment horizontal="center"/>
    </xf>
    <xf numFmtId="0" fontId="93" fillId="6" borderId="0" xfId="6" applyFont="1" applyFill="1" applyAlignment="1">
      <alignment horizontal="center"/>
    </xf>
    <xf numFmtId="0" fontId="80" fillId="5" borderId="20" xfId="6" applyFont="1" applyFill="1" applyBorder="1" applyAlignment="1">
      <alignment horizontal="center" vertical="center" wrapText="1"/>
    </xf>
    <xf numFmtId="0" fontId="80" fillId="5" borderId="55" xfId="6" applyFont="1" applyFill="1" applyBorder="1" applyAlignment="1">
      <alignment horizontal="center" vertical="center"/>
    </xf>
    <xf numFmtId="0" fontId="80" fillId="5" borderId="38" xfId="6" applyFont="1" applyFill="1" applyBorder="1" applyAlignment="1">
      <alignment horizontal="center"/>
    </xf>
    <xf numFmtId="0" fontId="80" fillId="5" borderId="60" xfId="6" applyFont="1" applyFill="1" applyBorder="1" applyAlignment="1">
      <alignment horizontal="center"/>
    </xf>
    <xf numFmtId="0" fontId="80" fillId="5" borderId="39" xfId="6" applyFont="1" applyFill="1" applyBorder="1" applyAlignment="1">
      <alignment horizontal="center"/>
    </xf>
    <xf numFmtId="0" fontId="80" fillId="5" borderId="22" xfId="6" applyFont="1" applyFill="1" applyBorder="1" applyAlignment="1">
      <alignment horizontal="center"/>
    </xf>
    <xf numFmtId="0" fontId="80" fillId="5" borderId="23" xfId="6" applyFont="1" applyFill="1" applyBorder="1" applyAlignment="1">
      <alignment horizontal="center"/>
    </xf>
  </cellXfs>
  <cellStyles count="14">
    <cellStyle name="Ezres" xfId="1" builtinId="3"/>
    <cellStyle name="Ezres 2" xfId="2" xr:uid="{00000000-0005-0000-0000-000001000000}"/>
    <cellStyle name="Ezres 3" xfId="3" xr:uid="{00000000-0005-0000-0000-000002000000}"/>
    <cellStyle name="Normál" xfId="0" builtinId="0"/>
    <cellStyle name="Normál 2" xfId="4" xr:uid="{00000000-0005-0000-0000-000004000000}"/>
    <cellStyle name="Normál 2 2" xfId="5" xr:uid="{00000000-0005-0000-0000-000005000000}"/>
    <cellStyle name="Normál 3" xfId="6" xr:uid="{00000000-0005-0000-0000-000006000000}"/>
    <cellStyle name="Normál 4" xfId="7" xr:uid="{00000000-0005-0000-0000-000007000000}"/>
    <cellStyle name="Normál 5" xfId="8" xr:uid="{00000000-0005-0000-0000-000008000000}"/>
    <cellStyle name="Normál 6" xfId="9" xr:uid="{00000000-0005-0000-0000-000009000000}"/>
    <cellStyle name="Normál 7" xfId="10" xr:uid="{00000000-0005-0000-0000-00000A000000}"/>
    <cellStyle name="Normál 8" xfId="11" xr:uid="{00000000-0005-0000-0000-00000B000000}"/>
    <cellStyle name="Normál 9" xfId="12" xr:uid="{00000000-0005-0000-0000-00000C000000}"/>
    <cellStyle name="Normal_KARSZJ3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05.%20&#233;vi%20k&#246;lt&#233;sgvet&#233;s/Mell&#233;kletek/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21.%20&#233;vi%20k&#246;lts&#233;gvet&#233;s/TKT/01%20K&#246;lts&#233;gfeloszt&#225;s_2021_TK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egy&#233;b/kist&#233;rs&#233;g/2020_kist&#233;rs&#233;g/TKT%20&#252;l&#233;s_2020.10.15/Ktgfeloszt&#225;s_2020_TKT_2020.10.h&#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 gyerm.jólét"/>
      <sheetName val="Összesítő"/>
      <sheetName val="munka"/>
      <sheetName val="házi segítségnyújtás bér"/>
      <sheetName val="CSS GYJ"/>
    </sheetNames>
    <sheetDataSet>
      <sheetData sheetId="0"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34">
          <cell r="C34">
            <v>0</v>
          </cell>
          <cell r="E34">
            <v>0</v>
          </cell>
        </row>
      </sheetData>
      <sheetData sheetId="1" refreshError="1"/>
      <sheetData sheetId="2"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</sheetData>
      <sheetData sheetId="3">
        <row r="18">
          <cell r="E18">
            <v>109.48</v>
          </cell>
        </row>
        <row r="19">
          <cell r="E19">
            <v>78.2</v>
          </cell>
        </row>
        <row r="20">
          <cell r="E20">
            <v>547.4</v>
          </cell>
        </row>
        <row r="21">
          <cell r="E21">
            <v>93.84</v>
          </cell>
        </row>
        <row r="22">
          <cell r="E22">
            <v>15.64</v>
          </cell>
        </row>
        <row r="23">
          <cell r="E23">
            <v>0</v>
          </cell>
        </row>
        <row r="24">
          <cell r="E24">
            <v>46.92</v>
          </cell>
        </row>
        <row r="25">
          <cell r="E25">
            <v>15.64</v>
          </cell>
        </row>
        <row r="26">
          <cell r="E26">
            <v>46.92</v>
          </cell>
        </row>
        <row r="27">
          <cell r="E27">
            <v>15.64</v>
          </cell>
        </row>
        <row r="28">
          <cell r="E28">
            <v>186.68</v>
          </cell>
        </row>
        <row r="29">
          <cell r="E29">
            <v>15.64</v>
          </cell>
        </row>
        <row r="30">
          <cell r="E30">
            <v>0</v>
          </cell>
        </row>
        <row r="31">
          <cell r="E31">
            <v>1173</v>
          </cell>
        </row>
      </sheetData>
      <sheetData sheetId="4">
        <row r="20">
          <cell r="D20">
            <v>730</v>
          </cell>
          <cell r="E20">
            <v>3510</v>
          </cell>
        </row>
        <row r="21">
          <cell r="D21">
            <v>0</v>
          </cell>
          <cell r="E21">
            <v>165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1570</v>
          </cell>
          <cell r="E24">
            <v>165</v>
          </cell>
        </row>
        <row r="25">
          <cell r="D25">
            <v>0</v>
          </cell>
          <cell r="E25">
            <v>165</v>
          </cell>
        </row>
        <row r="26">
          <cell r="D26">
            <v>600</v>
          </cell>
          <cell r="E26">
            <v>0</v>
          </cell>
        </row>
        <row r="27">
          <cell r="D27">
            <v>0</v>
          </cell>
          <cell r="E27">
            <v>165</v>
          </cell>
        </row>
        <row r="28">
          <cell r="D28">
            <v>0</v>
          </cell>
          <cell r="E28">
            <v>165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165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2900</v>
          </cell>
        </row>
      </sheetData>
      <sheetData sheetId="5">
        <row r="9">
          <cell r="F9">
            <v>1172</v>
          </cell>
        </row>
        <row r="10">
          <cell r="F10">
            <v>275</v>
          </cell>
        </row>
        <row r="11">
          <cell r="F11">
            <v>1127</v>
          </cell>
        </row>
        <row r="12">
          <cell r="F12">
            <v>913</v>
          </cell>
        </row>
        <row r="13">
          <cell r="F13">
            <v>304</v>
          </cell>
        </row>
        <row r="14">
          <cell r="F14">
            <v>272</v>
          </cell>
        </row>
        <row r="15">
          <cell r="F15">
            <v>710</v>
          </cell>
        </row>
        <row r="16">
          <cell r="F16">
            <v>272</v>
          </cell>
        </row>
        <row r="17">
          <cell r="F17">
            <v>189</v>
          </cell>
        </row>
        <row r="18">
          <cell r="F18">
            <v>194</v>
          </cell>
        </row>
        <row r="19">
          <cell r="F19">
            <v>349</v>
          </cell>
        </row>
        <row r="20">
          <cell r="F20">
            <v>294</v>
          </cell>
        </row>
        <row r="21">
          <cell r="F21">
            <v>113</v>
          </cell>
        </row>
      </sheetData>
      <sheetData sheetId="6">
        <row r="26">
          <cell r="E26">
            <v>15200.315972449162</v>
          </cell>
        </row>
        <row r="27">
          <cell r="E27">
            <v>2909.5689608434536</v>
          </cell>
        </row>
        <row r="28">
          <cell r="E28">
            <v>11904.41915200997</v>
          </cell>
        </row>
        <row r="29">
          <cell r="E29">
            <v>9990.2631919183241</v>
          </cell>
        </row>
        <row r="30">
          <cell r="E30">
            <v>804.69041095890418</v>
          </cell>
        </row>
        <row r="31">
          <cell r="E31">
            <v>610.45479452054792</v>
          </cell>
        </row>
        <row r="32">
          <cell r="E32">
            <v>2830.2904109589044</v>
          </cell>
        </row>
        <row r="33">
          <cell r="E33">
            <v>471.71506849315074</v>
          </cell>
        </row>
        <row r="34">
          <cell r="E34">
            <v>499.46301369863016</v>
          </cell>
        </row>
        <row r="35">
          <cell r="E35">
            <v>527.21095890410959</v>
          </cell>
        </row>
        <row r="36">
          <cell r="E36">
            <v>3284.2272433270286</v>
          </cell>
        </row>
        <row r="37">
          <cell r="E37">
            <v>860.18630136986303</v>
          </cell>
        </row>
        <row r="38">
          <cell r="E38">
            <v>749.19452054794522</v>
          </cell>
        </row>
      </sheetData>
      <sheetData sheetId="7">
        <row r="27">
          <cell r="H27">
            <v>4932</v>
          </cell>
        </row>
        <row r="28">
          <cell r="H28">
            <v>1155</v>
          </cell>
        </row>
        <row r="29">
          <cell r="H29">
            <v>4742</v>
          </cell>
        </row>
        <row r="30">
          <cell r="H30">
            <v>3842</v>
          </cell>
        </row>
        <row r="31">
          <cell r="H31">
            <v>853</v>
          </cell>
        </row>
        <row r="32">
          <cell r="H32">
            <v>762</v>
          </cell>
        </row>
        <row r="33">
          <cell r="H33">
            <v>1992</v>
          </cell>
        </row>
        <row r="34">
          <cell r="H34">
            <v>763</v>
          </cell>
        </row>
        <row r="35">
          <cell r="H35">
            <v>530</v>
          </cell>
        </row>
        <row r="36">
          <cell r="H36">
            <v>546</v>
          </cell>
        </row>
        <row r="37">
          <cell r="H37">
            <v>1468</v>
          </cell>
        </row>
        <row r="38">
          <cell r="H38">
            <v>826</v>
          </cell>
        </row>
        <row r="39">
          <cell r="H39">
            <v>317</v>
          </cell>
        </row>
      </sheetData>
      <sheetData sheetId="8" refreshError="1"/>
      <sheetData sheetId="9">
        <row r="39">
          <cell r="B39">
            <v>2344</v>
          </cell>
          <cell r="E39">
            <v>125.08408796895213</v>
          </cell>
        </row>
        <row r="40">
          <cell r="B40">
            <v>549</v>
          </cell>
          <cell r="E40">
            <v>29.296571798188875</v>
          </cell>
        </row>
        <row r="41">
          <cell r="B41">
            <v>2254</v>
          </cell>
          <cell r="E41">
            <v>120.28137128072446</v>
          </cell>
        </row>
        <row r="42">
          <cell r="B42">
            <v>1826</v>
          </cell>
          <cell r="E42">
            <v>98.441785252263898</v>
          </cell>
        </row>
        <row r="43">
          <cell r="B43">
            <v>608</v>
          </cell>
          <cell r="E43">
            <v>33.445019404915911</v>
          </cell>
        </row>
        <row r="44">
          <cell r="B44">
            <v>543</v>
          </cell>
          <cell r="E44">
            <v>28.976390685640364</v>
          </cell>
        </row>
        <row r="45">
          <cell r="B45">
            <v>1420</v>
          </cell>
          <cell r="E45">
            <v>75.776196636481245</v>
          </cell>
        </row>
        <row r="46">
          <cell r="B46">
            <v>544</v>
          </cell>
          <cell r="E46">
            <v>29.029754204398451</v>
          </cell>
        </row>
        <row r="47">
          <cell r="B47">
            <v>378</v>
          </cell>
          <cell r="E47">
            <v>20.171410090556275</v>
          </cell>
        </row>
        <row r="48">
          <cell r="B48">
            <v>389</v>
          </cell>
          <cell r="E48">
            <v>20.758408796895214</v>
          </cell>
        </row>
        <row r="49">
          <cell r="B49">
            <v>698</v>
          </cell>
          <cell r="E49">
            <v>37.247736093143601</v>
          </cell>
        </row>
        <row r="50">
          <cell r="B50">
            <v>589</v>
          </cell>
          <cell r="E50">
            <v>31.431112548512292</v>
          </cell>
        </row>
        <row r="51">
          <cell r="B51">
            <v>226</v>
          </cell>
          <cell r="E51">
            <v>12.060155239327297</v>
          </cell>
        </row>
      </sheetData>
      <sheetData sheetId="10">
        <row r="41">
          <cell r="V41">
            <v>395.67390583333349</v>
          </cell>
        </row>
        <row r="42">
          <cell r="V42">
            <v>253.42884916666665</v>
          </cell>
        </row>
        <row r="43">
          <cell r="V43">
            <v>342.58200958333356</v>
          </cell>
        </row>
        <row r="44">
          <cell r="V44">
            <v>189.24688458333341</v>
          </cell>
        </row>
        <row r="45">
          <cell r="V45">
            <v>199.33695291666675</v>
          </cell>
        </row>
        <row r="46">
          <cell r="V46">
            <v>363.01323958333353</v>
          </cell>
        </row>
        <row r="47">
          <cell r="V47">
            <v>925.84468062793417</v>
          </cell>
        </row>
        <row r="49">
          <cell r="V49">
            <v>1196.8236115434283</v>
          </cell>
        </row>
        <row r="50">
          <cell r="V50">
            <v>362.30524122065719</v>
          </cell>
        </row>
        <row r="51">
          <cell r="V51">
            <v>720.61048244131439</v>
          </cell>
        </row>
        <row r="53">
          <cell r="V53">
            <v>462.37694666666653</v>
          </cell>
        </row>
        <row r="54">
          <cell r="V54">
            <v>143.80529583333333</v>
          </cell>
        </row>
        <row r="56">
          <cell r="V56">
            <v>0</v>
          </cell>
        </row>
        <row r="57">
          <cell r="V57">
            <v>0</v>
          </cell>
        </row>
      </sheetData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"/>
      <sheetName val="szoc. egyenkénti feladatok"/>
      <sheetName val="Házi segítségnyújtás"/>
      <sheetName val="Püg.,TV, étkeztetés "/>
      <sheetName val="Társulási hozzájár."/>
      <sheetName val="Ügyelet"/>
      <sheetName val="Labor"/>
      <sheetName val="TKT feladatok"/>
      <sheetName val="TKT műk."/>
      <sheetName val="Családsegítés"/>
      <sheetName val="Összesítő"/>
      <sheetName val="munka"/>
      <sheetName val="házi segítségnyújtás bér"/>
      <sheetName val="CSS GY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15"/>
  <sheetViews>
    <sheetView tabSelected="1" topLeftCell="B1" zoomScaleNormal="100" workbookViewId="0">
      <selection activeCell="C132" sqref="C132"/>
    </sheetView>
  </sheetViews>
  <sheetFormatPr defaultRowHeight="12.75" x14ac:dyDescent="0.2"/>
  <cols>
    <col min="1" max="1" width="0" hidden="1" customWidth="1"/>
    <col min="2" max="2" width="8" style="2" customWidth="1"/>
    <col min="3" max="3" width="75.7109375" customWidth="1"/>
    <col min="4" max="4" width="16.42578125" customWidth="1"/>
    <col min="5" max="5" width="13" customWidth="1"/>
    <col min="6" max="6" width="13.42578125" style="45" customWidth="1"/>
    <col min="7" max="7" width="6.42578125" hidden="1" customWidth="1"/>
    <col min="8" max="8" width="17.85546875" hidden="1" customWidth="1"/>
    <col min="9" max="9" width="17" customWidth="1"/>
  </cols>
  <sheetData>
    <row r="1" spans="2:35" ht="4.5" customHeight="1" x14ac:dyDescent="0.3">
      <c r="B1" s="65"/>
      <c r="C1" s="42"/>
      <c r="D1" s="42"/>
      <c r="E1" s="42"/>
      <c r="F1" s="6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18.75" customHeight="1" x14ac:dyDescent="0.35">
      <c r="B2" s="65"/>
      <c r="C2" s="928" t="s">
        <v>27</v>
      </c>
      <c r="D2" s="928"/>
      <c r="E2" s="928"/>
      <c r="F2" s="92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.75" customHeight="1" x14ac:dyDescent="0.35">
      <c r="B3" s="65"/>
      <c r="C3" s="928" t="s">
        <v>1261</v>
      </c>
      <c r="D3" s="928"/>
      <c r="E3" s="928"/>
      <c r="F3" s="92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0.5" customHeight="1" thickBot="1" x14ac:dyDescent="0.25">
      <c r="B4" s="65"/>
      <c r="C4" s="1"/>
      <c r="D4" s="1"/>
      <c r="E4" s="1"/>
      <c r="F4" s="66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8.75" customHeight="1" thickBot="1" x14ac:dyDescent="0.25">
      <c r="B5" s="930" t="s">
        <v>124</v>
      </c>
      <c r="C5" s="932" t="s">
        <v>820</v>
      </c>
      <c r="D5" s="934" t="s">
        <v>849</v>
      </c>
      <c r="E5" s="932"/>
      <c r="F5" s="93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6.5" thickBot="1" x14ac:dyDescent="0.25">
      <c r="B6" s="931"/>
      <c r="C6" s="933"/>
      <c r="D6" s="134" t="s">
        <v>44</v>
      </c>
      <c r="E6" s="54" t="s">
        <v>821</v>
      </c>
      <c r="F6" s="617" t="s">
        <v>47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8.75" customHeight="1" x14ac:dyDescent="0.2">
      <c r="B7" s="618" t="s">
        <v>125</v>
      </c>
      <c r="C7" s="280" t="s">
        <v>360</v>
      </c>
      <c r="D7" s="205">
        <f>SUM(D8+D30+D36+D40+D49+D52+D56)</f>
        <v>137864</v>
      </c>
      <c r="E7" s="205">
        <f>SUM(E8+E30+E36+E40+E49+E52+E56)</f>
        <v>172</v>
      </c>
      <c r="F7" s="636">
        <f>SUM(F8+F30+F36+F40+F49+F52+F56)</f>
        <v>138036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" x14ac:dyDescent="0.25">
      <c r="B8" s="756" t="s">
        <v>126</v>
      </c>
      <c r="C8" s="229" t="s">
        <v>227</v>
      </c>
      <c r="D8" s="235">
        <f>SUM(D9:D29)</f>
        <v>11470</v>
      </c>
      <c r="E8" s="235">
        <f>SUM(E9:E29)</f>
        <v>0</v>
      </c>
      <c r="F8" s="757">
        <f>SUM(F9:F29)</f>
        <v>11470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x14ac:dyDescent="0.2">
      <c r="B9" s="758" t="s">
        <v>216</v>
      </c>
      <c r="C9" s="770" t="s">
        <v>1010</v>
      </c>
      <c r="D9" s="16">
        <v>409</v>
      </c>
      <c r="E9" s="16"/>
      <c r="F9" s="638">
        <f>D9+E9</f>
        <v>409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x14ac:dyDescent="0.2">
      <c r="B10" s="758" t="s">
        <v>216</v>
      </c>
      <c r="C10" s="770" t="s">
        <v>1266</v>
      </c>
      <c r="D10" s="16">
        <v>263</v>
      </c>
      <c r="E10" s="16"/>
      <c r="F10" s="638">
        <f>D10+E10</f>
        <v>263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idden="1" x14ac:dyDescent="0.2">
      <c r="B11" s="758" t="s">
        <v>216</v>
      </c>
      <c r="C11" s="770" t="s">
        <v>1010</v>
      </c>
      <c r="D11" s="16"/>
      <c r="E11" s="16"/>
      <c r="F11" s="638">
        <f t="shared" ref="F11:F29" si="0">D11+E11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x14ac:dyDescent="0.2">
      <c r="B12" s="758" t="s">
        <v>217</v>
      </c>
      <c r="C12" s="770" t="s">
        <v>1014</v>
      </c>
      <c r="D12" s="16">
        <v>1995</v>
      </c>
      <c r="E12" s="16"/>
      <c r="F12" s="638">
        <f t="shared" si="0"/>
        <v>1995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idden="1" x14ac:dyDescent="0.2">
      <c r="B13" s="758" t="s">
        <v>217</v>
      </c>
      <c r="C13" s="770" t="s">
        <v>1049</v>
      </c>
      <c r="D13" s="16"/>
      <c r="E13" s="16"/>
      <c r="F13" s="638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x14ac:dyDescent="0.2">
      <c r="B14" s="758" t="s">
        <v>218</v>
      </c>
      <c r="C14" s="770" t="s">
        <v>1268</v>
      </c>
      <c r="D14" s="16">
        <v>135</v>
      </c>
      <c r="E14" s="16"/>
      <c r="F14" s="638">
        <f t="shared" si="0"/>
        <v>135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x14ac:dyDescent="0.2">
      <c r="B15" s="758" t="s">
        <v>218</v>
      </c>
      <c r="C15" s="770" t="s">
        <v>1015</v>
      </c>
      <c r="D15" s="16">
        <v>562</v>
      </c>
      <c r="E15" s="16"/>
      <c r="F15" s="638">
        <f t="shared" si="0"/>
        <v>562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x14ac:dyDescent="0.2">
      <c r="B16" s="758" t="s">
        <v>218</v>
      </c>
      <c r="C16" s="770" t="s">
        <v>1016</v>
      </c>
      <c r="D16" s="16">
        <v>148</v>
      </c>
      <c r="E16" s="16"/>
      <c r="F16" s="638">
        <f t="shared" si="0"/>
        <v>148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x14ac:dyDescent="0.2">
      <c r="B17" s="758" t="s">
        <v>218</v>
      </c>
      <c r="C17" s="770" t="s">
        <v>1017</v>
      </c>
      <c r="D17" s="16">
        <v>1572</v>
      </c>
      <c r="E17" s="16"/>
      <c r="F17" s="638">
        <f t="shared" si="0"/>
        <v>1572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x14ac:dyDescent="0.2">
      <c r="B18" s="758" t="s">
        <v>218</v>
      </c>
      <c r="C18" s="770" t="s">
        <v>1018</v>
      </c>
      <c r="D18" s="16">
        <v>551</v>
      </c>
      <c r="E18" s="16"/>
      <c r="F18" s="638">
        <f t="shared" si="0"/>
        <v>551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x14ac:dyDescent="0.2">
      <c r="B19" s="758" t="s">
        <v>218</v>
      </c>
      <c r="C19" s="770" t="s">
        <v>1270</v>
      </c>
      <c r="D19" s="16">
        <v>-1944</v>
      </c>
      <c r="E19" s="16"/>
      <c r="F19" s="638">
        <f t="shared" si="0"/>
        <v>-1944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x14ac:dyDescent="0.2">
      <c r="B20" s="758" t="s">
        <v>218</v>
      </c>
      <c r="C20" s="770" t="s">
        <v>1273</v>
      </c>
      <c r="D20" s="16">
        <v>11380</v>
      </c>
      <c r="E20" s="16"/>
      <c r="F20" s="638">
        <f>D20+E20</f>
        <v>11380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x14ac:dyDescent="0.2">
      <c r="B21" s="758" t="s">
        <v>219</v>
      </c>
      <c r="C21" s="770" t="s">
        <v>1019</v>
      </c>
      <c r="D21" s="16">
        <v>84</v>
      </c>
      <c r="E21" s="16"/>
      <c r="F21" s="638">
        <f t="shared" si="0"/>
        <v>84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x14ac:dyDescent="0.2">
      <c r="B22" s="758" t="s">
        <v>219</v>
      </c>
      <c r="C22" s="770" t="s">
        <v>1274</v>
      </c>
      <c r="D22" s="16">
        <v>23000</v>
      </c>
      <c r="E22" s="16"/>
      <c r="F22" s="638">
        <f t="shared" si="0"/>
        <v>23000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x14ac:dyDescent="0.2">
      <c r="B23" s="758" t="s">
        <v>220</v>
      </c>
      <c r="C23" s="770" t="s">
        <v>1275</v>
      </c>
      <c r="D23" s="16">
        <v>-11380</v>
      </c>
      <c r="E23" s="16"/>
      <c r="F23" s="638">
        <f t="shared" si="0"/>
        <v>-11380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x14ac:dyDescent="0.2">
      <c r="B24" s="758" t="s">
        <v>220</v>
      </c>
      <c r="C24" s="770" t="s">
        <v>1276</v>
      </c>
      <c r="D24" s="16">
        <v>-23000</v>
      </c>
      <c r="E24" s="16"/>
      <c r="F24" s="638">
        <f t="shared" si="0"/>
        <v>-23000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idden="1" x14ac:dyDescent="0.2">
      <c r="B25" s="758" t="s">
        <v>986</v>
      </c>
      <c r="C25" s="770" t="s">
        <v>987</v>
      </c>
      <c r="D25" s="16"/>
      <c r="E25" s="16"/>
      <c r="F25" s="638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x14ac:dyDescent="0.2">
      <c r="B26" s="758" t="s">
        <v>131</v>
      </c>
      <c r="C26" s="25" t="s">
        <v>1277</v>
      </c>
      <c r="D26" s="16">
        <v>7695</v>
      </c>
      <c r="E26" s="16"/>
      <c r="F26" s="638">
        <f>D26+E26</f>
        <v>7695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hidden="1" x14ac:dyDescent="0.2">
      <c r="B27" s="758" t="s">
        <v>131</v>
      </c>
      <c r="C27" s="25" t="s">
        <v>1022</v>
      </c>
      <c r="D27" s="16"/>
      <c r="E27" s="16"/>
      <c r="F27" s="638">
        <f>D27+E27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hidden="1" x14ac:dyDescent="0.2">
      <c r="B28" s="758" t="s">
        <v>131</v>
      </c>
      <c r="C28" s="25" t="s">
        <v>1024</v>
      </c>
      <c r="D28" s="16"/>
      <c r="E28" s="16"/>
      <c r="F28" s="638">
        <f>D28+E28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idden="1" x14ac:dyDescent="0.2">
      <c r="B29" s="758" t="s">
        <v>131</v>
      </c>
      <c r="C29" s="25" t="s">
        <v>857</v>
      </c>
      <c r="D29" s="16"/>
      <c r="E29" s="16"/>
      <c r="F29" s="638">
        <f t="shared" si="0"/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t="13.5" customHeight="1" x14ac:dyDescent="0.25">
      <c r="B30" s="756" t="s">
        <v>137</v>
      </c>
      <c r="C30" s="229" t="s">
        <v>228</v>
      </c>
      <c r="D30" s="235">
        <f>SUM(D31:D35)</f>
        <v>120704</v>
      </c>
      <c r="E30" s="235">
        <f>SUM(E31:E35)</f>
        <v>0</v>
      </c>
      <c r="F30" s="757">
        <f>SUM(F31:F35)</f>
        <v>120704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x14ac:dyDescent="0.2">
      <c r="B31" s="758" t="s">
        <v>141</v>
      </c>
      <c r="C31" s="137" t="s">
        <v>1327</v>
      </c>
      <c r="D31" s="16">
        <v>120704</v>
      </c>
      <c r="E31" s="16"/>
      <c r="F31" s="638">
        <f>D31+E31</f>
        <v>120704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hidden="1" x14ac:dyDescent="0.2">
      <c r="B32" s="758" t="s">
        <v>141</v>
      </c>
      <c r="C32" s="25" t="s">
        <v>1025</v>
      </c>
      <c r="D32" s="16"/>
      <c r="E32" s="16"/>
      <c r="F32" s="638">
        <f>D32+E32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758" t="s">
        <v>138</v>
      </c>
      <c r="C33" s="790" t="s">
        <v>1053</v>
      </c>
      <c r="D33" s="16"/>
      <c r="E33" s="16"/>
      <c r="F33" s="638">
        <f>D33+E33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758" t="s">
        <v>138</v>
      </c>
      <c r="C34" s="25"/>
      <c r="D34" s="16"/>
      <c r="E34" s="16"/>
      <c r="F34" s="638">
        <f>D34+E34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758" t="s">
        <v>138</v>
      </c>
      <c r="C35" s="137"/>
      <c r="D35" s="16"/>
      <c r="E35" s="16"/>
      <c r="F35" s="638">
        <f>D35+E35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t="15" x14ac:dyDescent="0.25">
      <c r="B36" s="756" t="s">
        <v>146</v>
      </c>
      <c r="C36" s="229" t="s">
        <v>108</v>
      </c>
      <c r="D36" s="206">
        <f>SUM(D37:D39)</f>
        <v>0</v>
      </c>
      <c r="E36" s="206">
        <f>SUM(E37:E39)</f>
        <v>0</v>
      </c>
      <c r="F36" s="642">
        <f>SUM(F37:F39)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idden="1" x14ac:dyDescent="0.2">
      <c r="B37" s="758" t="s">
        <v>870</v>
      </c>
      <c r="C37" s="25" t="s">
        <v>1027</v>
      </c>
      <c r="D37" s="16"/>
      <c r="E37" s="611"/>
      <c r="F37" s="638">
        <f>D37+E37</f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hidden="1" x14ac:dyDescent="0.2">
      <c r="B38" s="758" t="s">
        <v>982</v>
      </c>
      <c r="C38" s="25" t="s">
        <v>1026</v>
      </c>
      <c r="D38" s="16"/>
      <c r="E38" s="16"/>
      <c r="F38" s="638">
        <f>D38+E38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758" t="s">
        <v>983</v>
      </c>
      <c r="C39" s="25" t="s">
        <v>1028</v>
      </c>
      <c r="D39" s="16"/>
      <c r="E39" s="16"/>
      <c r="F39" s="638">
        <f>D39+E39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s="59" customFormat="1" ht="15" x14ac:dyDescent="0.25">
      <c r="B40" s="756" t="s">
        <v>157</v>
      </c>
      <c r="C40" s="229" t="s">
        <v>229</v>
      </c>
      <c r="D40" s="206">
        <f>SUM(D41:D48)</f>
        <v>570</v>
      </c>
      <c r="E40" s="206">
        <f>SUM(E41:E48)</f>
        <v>172</v>
      </c>
      <c r="F40" s="642">
        <f>SUM(F41:F48)</f>
        <v>742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ht="13.5" hidden="1" customHeight="1" x14ac:dyDescent="0.2">
      <c r="B41" s="758" t="s">
        <v>163</v>
      </c>
      <c r="C41" s="137" t="s">
        <v>858</v>
      </c>
      <c r="D41" s="16"/>
      <c r="E41" s="16"/>
      <c r="F41" s="638">
        <f>D41+E41</f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hidden="1" x14ac:dyDescent="0.2">
      <c r="B42" s="758" t="s">
        <v>163</v>
      </c>
      <c r="C42" s="137" t="s">
        <v>1029</v>
      </c>
      <c r="D42" s="16"/>
      <c r="E42" s="16"/>
      <c r="F42" s="638">
        <f>D42+E42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3.5" customHeight="1" x14ac:dyDescent="0.2">
      <c r="B43" s="758" t="s">
        <v>172</v>
      </c>
      <c r="C43" s="137" t="s">
        <v>1309</v>
      </c>
      <c r="D43" s="16"/>
      <c r="E43" s="16">
        <v>2</v>
      </c>
      <c r="F43" s="638">
        <f>D43+E43</f>
        <v>2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x14ac:dyDescent="0.2">
      <c r="B44" s="758" t="s">
        <v>407</v>
      </c>
      <c r="C44" s="137" t="s">
        <v>1281</v>
      </c>
      <c r="D44" s="16">
        <v>570</v>
      </c>
      <c r="E44" s="16"/>
      <c r="F44" s="638">
        <f>D44+E44</f>
        <v>570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13.5" customHeight="1" x14ac:dyDescent="0.2">
      <c r="B45" s="758" t="s">
        <v>407</v>
      </c>
      <c r="C45" s="137" t="s">
        <v>1310</v>
      </c>
      <c r="D45" s="16"/>
      <c r="E45" s="16">
        <f>167+3</f>
        <v>170</v>
      </c>
      <c r="F45" s="638">
        <f>D45+E45</f>
        <v>170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ht="13.5" hidden="1" customHeight="1" x14ac:dyDescent="0.2">
      <c r="B46" s="758"/>
      <c r="C46" s="137"/>
      <c r="D46" s="16"/>
      <c r="E46" s="16"/>
      <c r="F46" s="63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ht="13.5" hidden="1" customHeight="1" x14ac:dyDescent="0.2">
      <c r="B47" s="758"/>
      <c r="C47" s="137"/>
      <c r="D47" s="16"/>
      <c r="E47" s="16"/>
      <c r="F47" s="63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13.5" hidden="1" customHeight="1" x14ac:dyDescent="0.2">
      <c r="B48" s="758" t="s">
        <v>164</v>
      </c>
      <c r="C48" s="137"/>
      <c r="D48" s="16"/>
      <c r="E48" s="16"/>
      <c r="F48" s="63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ht="15" x14ac:dyDescent="0.25">
      <c r="B49" s="756" t="s">
        <v>184</v>
      </c>
      <c r="C49" s="229" t="s">
        <v>230</v>
      </c>
      <c r="D49" s="206">
        <f>SUM(D50:D51)</f>
        <v>0</v>
      </c>
      <c r="E49" s="206">
        <f>SUM(E50:E51)</f>
        <v>0</v>
      </c>
      <c r="F49" s="642">
        <f>SUM(F50:F51)</f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3.5" hidden="1" customHeight="1" x14ac:dyDescent="0.2">
      <c r="B50" s="759" t="s">
        <v>186</v>
      </c>
      <c r="C50" s="137" t="s">
        <v>984</v>
      </c>
      <c r="D50" s="288"/>
      <c r="E50" s="288"/>
      <c r="F50" s="638">
        <f>D50+E50</f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3.5" hidden="1" customHeight="1" x14ac:dyDescent="0.2">
      <c r="B51" s="759" t="s">
        <v>186</v>
      </c>
      <c r="C51" s="137"/>
      <c r="D51" s="288"/>
      <c r="E51" s="288"/>
      <c r="F51" s="76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5.75" customHeight="1" x14ac:dyDescent="0.25">
      <c r="B52" s="756" t="s">
        <v>195</v>
      </c>
      <c r="C52" s="229" t="s">
        <v>231</v>
      </c>
      <c r="D52" s="206">
        <f>SUM(D53:D55)</f>
        <v>5120</v>
      </c>
      <c r="E52" s="206">
        <f>SUM(E53:E55)</f>
        <v>0</v>
      </c>
      <c r="F52" s="206">
        <f>SUM(F53:F55)</f>
        <v>5120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3.5" customHeight="1" x14ac:dyDescent="0.2">
      <c r="B53" s="761" t="s">
        <v>414</v>
      </c>
      <c r="C53" s="25" t="s">
        <v>1330</v>
      </c>
      <c r="D53" s="16">
        <v>2000</v>
      </c>
      <c r="E53" s="16"/>
      <c r="F53" s="638">
        <f>D53+E53</f>
        <v>2000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3.5" customHeight="1" x14ac:dyDescent="0.2">
      <c r="B54" s="761" t="s">
        <v>414</v>
      </c>
      <c r="C54" s="25" t="s">
        <v>1331</v>
      </c>
      <c r="D54" s="16">
        <v>120</v>
      </c>
      <c r="E54" s="16"/>
      <c r="F54" s="638">
        <f>D54+E54</f>
        <v>120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3.5" customHeight="1" x14ac:dyDescent="0.2">
      <c r="B55" s="761" t="s">
        <v>414</v>
      </c>
      <c r="C55" s="25" t="s">
        <v>1332</v>
      </c>
      <c r="D55" s="16">
        <v>3000</v>
      </c>
      <c r="E55" s="16"/>
      <c r="F55" s="638">
        <f>D55+E55</f>
        <v>3000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4.25" customHeight="1" x14ac:dyDescent="0.25">
      <c r="B56" s="756" t="s">
        <v>196</v>
      </c>
      <c r="C56" s="229" t="s">
        <v>232</v>
      </c>
      <c r="D56" s="206">
        <f>SUM(D57:D57)</f>
        <v>0</v>
      </c>
      <c r="E56" s="206">
        <f>SUM(E57:E57)</f>
        <v>0</v>
      </c>
      <c r="F56" s="642">
        <f>SUM(F57:F57)</f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3.5" hidden="1" customHeight="1" x14ac:dyDescent="0.2">
      <c r="B57" s="758" t="s">
        <v>522</v>
      </c>
      <c r="C57" s="137"/>
      <c r="D57" s="16"/>
      <c r="E57" s="16"/>
      <c r="F57" s="638">
        <f>D57+E57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5.75" thickBot="1" x14ac:dyDescent="0.3">
      <c r="B58" s="762" t="s">
        <v>822</v>
      </c>
      <c r="C58" s="763" t="s">
        <v>361</v>
      </c>
      <c r="D58" s="206">
        <f>SUM(D59+D64)</f>
        <v>0</v>
      </c>
      <c r="E58" s="206">
        <f>SUM(E59+E64)</f>
        <v>0</v>
      </c>
      <c r="F58" s="642">
        <f>SUM(F59+F64)</f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8" hidden="1" customHeight="1" x14ac:dyDescent="0.25">
      <c r="B59" s="762"/>
      <c r="C59" s="229" t="s">
        <v>823</v>
      </c>
      <c r="D59" s="206">
        <f>SUM(D60+D63)</f>
        <v>0</v>
      </c>
      <c r="E59" s="206">
        <f>SUM(E60+E63)</f>
        <v>0</v>
      </c>
      <c r="F59" s="642">
        <f>SUM(F60+F63)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3.5" hidden="1" customHeight="1" x14ac:dyDescent="0.2">
      <c r="B60" s="758"/>
      <c r="C60" s="39" t="s">
        <v>824</v>
      </c>
      <c r="D60" s="16">
        <f>D61+D62</f>
        <v>0</v>
      </c>
      <c r="E60" s="16">
        <f>E61+E62</f>
        <v>0</v>
      </c>
      <c r="F60" s="638">
        <f>F61+F62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s="624" customFormat="1" ht="13.5" hidden="1" customHeight="1" x14ac:dyDescent="0.2">
      <c r="B61" s="764"/>
      <c r="C61" s="622" t="s">
        <v>825</v>
      </c>
      <c r="D61" s="244"/>
      <c r="E61" s="244"/>
      <c r="F61" s="640">
        <f>SUM(D61:E61)</f>
        <v>0</v>
      </c>
      <c r="G61" s="623"/>
      <c r="H61" s="623"/>
      <c r="I61" s="623"/>
      <c r="J61" s="623"/>
      <c r="K61" s="623"/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23"/>
    </row>
    <row r="62" spans="2:35" s="624" customFormat="1" ht="13.5" hidden="1" customHeight="1" x14ac:dyDescent="0.2">
      <c r="B62" s="621"/>
      <c r="C62" s="622" t="s">
        <v>826</v>
      </c>
      <c r="D62" s="244"/>
      <c r="E62" s="244"/>
      <c r="F62" s="640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</row>
    <row r="63" spans="2:35" s="624" customFormat="1" ht="13.5" hidden="1" customHeight="1" x14ac:dyDescent="0.2">
      <c r="B63" s="621"/>
      <c r="C63" s="39" t="s">
        <v>827</v>
      </c>
      <c r="D63" s="16"/>
      <c r="E63" s="16"/>
      <c r="F63" s="638">
        <f>D63+E63</f>
        <v>0</v>
      </c>
      <c r="G63" s="623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23"/>
    </row>
    <row r="64" spans="2:35" ht="18" hidden="1" customHeight="1" thickBot="1" x14ac:dyDescent="0.3">
      <c r="B64" s="620"/>
      <c r="C64" s="30" t="s">
        <v>828</v>
      </c>
      <c r="D64" s="51">
        <f>SUM(D65:D65)</f>
        <v>0</v>
      </c>
      <c r="E64" s="51">
        <f>SUM(E65:E65)</f>
        <v>0</v>
      </c>
      <c r="F64" s="639">
        <f>SUM(F65:F65)</f>
        <v>0</v>
      </c>
      <c r="G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13.5" hidden="1" customHeight="1" thickBot="1" x14ac:dyDescent="0.25">
      <c r="B65" s="625"/>
      <c r="C65" s="14" t="s">
        <v>829</v>
      </c>
      <c r="D65" s="14"/>
      <c r="E65" s="14"/>
      <c r="F65" s="638">
        <f>D65+E65</f>
        <v>0</v>
      </c>
      <c r="G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ht="23.25" customHeight="1" thickBot="1" x14ac:dyDescent="0.4">
      <c r="B66" s="626"/>
      <c r="C66" s="56" t="s">
        <v>830</v>
      </c>
      <c r="D66" s="627">
        <f>SUM(D7+D58)</f>
        <v>137864</v>
      </c>
      <c r="E66" s="627">
        <f>SUM(E7+E58)</f>
        <v>172</v>
      </c>
      <c r="F66" s="57">
        <f>SUM(F7+F58)</f>
        <v>138036</v>
      </c>
      <c r="G66" s="8">
        <f>F66-F154</f>
        <v>0</v>
      </c>
      <c r="H66" s="86">
        <f>'1.Bev-kiad.'!H62</f>
        <v>138036</v>
      </c>
      <c r="J66" s="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 ht="15.75" x14ac:dyDescent="0.25">
      <c r="B67" s="618" t="s">
        <v>831</v>
      </c>
      <c r="C67" s="279" t="s">
        <v>362</v>
      </c>
      <c r="D67" s="207">
        <f>SUM(D68+D130)</f>
        <v>130890</v>
      </c>
      <c r="E67" s="207">
        <f>SUM(E68+E130)</f>
        <v>7146</v>
      </c>
      <c r="F67" s="641">
        <f>SUM(F68+F130)</f>
        <v>138036</v>
      </c>
      <c r="G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 ht="15" x14ac:dyDescent="0.25">
      <c r="B68" s="619" t="s">
        <v>210</v>
      </c>
      <c r="C68" s="229" t="s">
        <v>8</v>
      </c>
      <c r="D68" s="46">
        <f>SUM(D69:D129)</f>
        <v>10186</v>
      </c>
      <c r="E68" s="46">
        <f>SUM(E69:E129)</f>
        <v>7146</v>
      </c>
      <c r="F68" s="637">
        <f>SUM(F69:F129)</f>
        <v>17332</v>
      </c>
      <c r="G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x14ac:dyDescent="0.2">
      <c r="B69" s="620" t="s">
        <v>832</v>
      </c>
      <c r="C69" s="9" t="s">
        <v>1278</v>
      </c>
      <c r="D69" s="288">
        <v>611</v>
      </c>
      <c r="E69" s="288"/>
      <c r="F69" s="638">
        <f t="shared" ref="F69:F129" si="1">D69+E69</f>
        <v>611</v>
      </c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x14ac:dyDescent="0.2">
      <c r="B70" s="620" t="s">
        <v>832</v>
      </c>
      <c r="C70" s="9" t="s">
        <v>1265</v>
      </c>
      <c r="D70" s="288"/>
      <c r="E70" s="288">
        <v>5</v>
      </c>
      <c r="F70" s="638">
        <f t="shared" si="1"/>
        <v>5</v>
      </c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x14ac:dyDescent="0.2">
      <c r="B71" s="620" t="s">
        <v>832</v>
      </c>
      <c r="C71" s="9" t="s">
        <v>1282</v>
      </c>
      <c r="D71" s="288">
        <f>48+120</f>
        <v>168</v>
      </c>
      <c r="E71" s="288">
        <f>-25</f>
        <v>-25</v>
      </c>
      <c r="F71" s="638">
        <f t="shared" si="1"/>
        <v>143</v>
      </c>
      <c r="G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x14ac:dyDescent="0.2">
      <c r="B72" s="758" t="s">
        <v>853</v>
      </c>
      <c r="C72" s="25" t="s">
        <v>1032</v>
      </c>
      <c r="D72" s="288">
        <v>15</v>
      </c>
      <c r="E72" s="288"/>
      <c r="F72" s="638">
        <f t="shared" si="1"/>
        <v>15</v>
      </c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hidden="1" x14ac:dyDescent="0.2">
      <c r="B73" s="758" t="s">
        <v>878</v>
      </c>
      <c r="C73" s="25" t="s">
        <v>1045</v>
      </c>
      <c r="D73" s="288"/>
      <c r="E73" s="288"/>
      <c r="F73" s="638">
        <f t="shared" si="1"/>
        <v>0</v>
      </c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hidden="1" x14ac:dyDescent="0.2">
      <c r="B74" s="758" t="s">
        <v>866</v>
      </c>
      <c r="C74" s="25" t="s">
        <v>1033</v>
      </c>
      <c r="D74" s="288"/>
      <c r="E74" s="288"/>
      <c r="F74" s="638">
        <f t="shared" si="1"/>
        <v>0</v>
      </c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hidden="1" x14ac:dyDescent="0.2">
      <c r="B75" s="758" t="s">
        <v>866</v>
      </c>
      <c r="C75" s="25" t="s">
        <v>1011</v>
      </c>
      <c r="D75" s="288"/>
      <c r="E75" s="288"/>
      <c r="F75" s="638">
        <f t="shared" si="1"/>
        <v>0</v>
      </c>
      <c r="G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x14ac:dyDescent="0.2">
      <c r="B76" s="758" t="s">
        <v>877</v>
      </c>
      <c r="C76" s="25" t="s">
        <v>1012</v>
      </c>
      <c r="D76" s="288"/>
      <c r="E76" s="288">
        <v>54</v>
      </c>
      <c r="F76" s="638">
        <f t="shared" si="1"/>
        <v>54</v>
      </c>
      <c r="G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hidden="1" x14ac:dyDescent="0.2">
      <c r="B77" s="758" t="s">
        <v>877</v>
      </c>
      <c r="C77" s="25" t="s">
        <v>1046</v>
      </c>
      <c r="D77" s="288"/>
      <c r="E77" s="288"/>
      <c r="F77" s="638">
        <f t="shared" si="1"/>
        <v>0</v>
      </c>
      <c r="G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x14ac:dyDescent="0.2">
      <c r="B78" s="758" t="s">
        <v>833</v>
      </c>
      <c r="C78" s="25" t="s">
        <v>1013</v>
      </c>
      <c r="D78" s="288"/>
      <c r="E78" s="288">
        <f>200+150</f>
        <v>350</v>
      </c>
      <c r="F78" s="638">
        <f t="shared" si="1"/>
        <v>350</v>
      </c>
      <c r="G78" s="2"/>
      <c r="I78" s="8"/>
      <c r="J78" s="8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x14ac:dyDescent="0.2">
      <c r="B79" s="758" t="s">
        <v>833</v>
      </c>
      <c r="C79" s="25" t="s">
        <v>1279</v>
      </c>
      <c r="D79" s="288">
        <v>5</v>
      </c>
      <c r="E79" s="288"/>
      <c r="F79" s="638">
        <f t="shared" si="1"/>
        <v>5</v>
      </c>
      <c r="G79" s="2"/>
      <c r="I79" s="8"/>
      <c r="J79" s="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x14ac:dyDescent="0.2">
      <c r="B80" s="758" t="s">
        <v>833</v>
      </c>
      <c r="C80" s="25" t="s">
        <v>1047</v>
      </c>
      <c r="D80" s="288">
        <v>300</v>
      </c>
      <c r="E80" s="288">
        <f>25</f>
        <v>25</v>
      </c>
      <c r="F80" s="638">
        <f t="shared" si="1"/>
        <v>325</v>
      </c>
      <c r="G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x14ac:dyDescent="0.2">
      <c r="B81" s="758" t="s">
        <v>833</v>
      </c>
      <c r="C81" s="25" t="s">
        <v>1308</v>
      </c>
      <c r="D81" s="288"/>
      <c r="E81" s="288">
        <v>147</v>
      </c>
      <c r="F81" s="638">
        <f t="shared" si="1"/>
        <v>147</v>
      </c>
      <c r="G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x14ac:dyDescent="0.2">
      <c r="B82" s="758" t="s">
        <v>833</v>
      </c>
      <c r="C82" s="25" t="s">
        <v>1333</v>
      </c>
      <c r="D82" s="288"/>
      <c r="E82" s="288">
        <v>5000</v>
      </c>
      <c r="F82" s="638">
        <f t="shared" si="1"/>
        <v>5000</v>
      </c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x14ac:dyDescent="0.2">
      <c r="B83" s="758" t="s">
        <v>1283</v>
      </c>
      <c r="C83" s="25" t="s">
        <v>1284</v>
      </c>
      <c r="D83" s="288">
        <f>-48-15-300-228-150</f>
        <v>-741</v>
      </c>
      <c r="E83" s="288"/>
      <c r="F83" s="638">
        <f t="shared" si="1"/>
        <v>-741</v>
      </c>
      <c r="G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x14ac:dyDescent="0.2">
      <c r="B84" s="758" t="s">
        <v>834</v>
      </c>
      <c r="C84" s="25" t="s">
        <v>1034</v>
      </c>
      <c r="D84" s="288">
        <f>228+150</f>
        <v>378</v>
      </c>
      <c r="E84" s="288"/>
      <c r="F84" s="638">
        <f t="shared" si="1"/>
        <v>378</v>
      </c>
      <c r="G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x14ac:dyDescent="0.2">
      <c r="B85" s="758" t="s">
        <v>223</v>
      </c>
      <c r="C85" s="25" t="s">
        <v>1009</v>
      </c>
      <c r="D85" s="288">
        <f>95</f>
        <v>95</v>
      </c>
      <c r="E85" s="288">
        <f>20+775</f>
        <v>795</v>
      </c>
      <c r="F85" s="638">
        <f t="shared" si="1"/>
        <v>890</v>
      </c>
      <c r="G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x14ac:dyDescent="0.2">
      <c r="B86" s="758" t="s">
        <v>1311</v>
      </c>
      <c r="C86" s="25" t="s">
        <v>1313</v>
      </c>
      <c r="D86" s="288"/>
      <c r="E86" s="288">
        <v>-43</v>
      </c>
      <c r="F86" s="638">
        <f t="shared" si="1"/>
        <v>-43</v>
      </c>
      <c r="G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x14ac:dyDescent="0.2">
      <c r="B87" s="758" t="s">
        <v>1006</v>
      </c>
      <c r="C87" s="25" t="s">
        <v>1312</v>
      </c>
      <c r="D87" s="288"/>
      <c r="E87" s="288">
        <v>43</v>
      </c>
      <c r="F87" s="638">
        <f t="shared" si="1"/>
        <v>43</v>
      </c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x14ac:dyDescent="0.2">
      <c r="B88" s="758" t="s">
        <v>1006</v>
      </c>
      <c r="C88" s="25" t="s">
        <v>1314</v>
      </c>
      <c r="D88" s="288"/>
      <c r="E88" s="288">
        <v>-600</v>
      </c>
      <c r="F88" s="638">
        <f t="shared" si="1"/>
        <v>-600</v>
      </c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x14ac:dyDescent="0.2">
      <c r="B89" s="758" t="s">
        <v>1315</v>
      </c>
      <c r="C89" s="25" t="s">
        <v>1316</v>
      </c>
      <c r="D89" s="288"/>
      <c r="E89" s="288">
        <v>-60</v>
      </c>
      <c r="F89" s="638">
        <f t="shared" si="1"/>
        <v>-60</v>
      </c>
      <c r="G89" s="2"/>
      <c r="I89" s="8"/>
      <c r="J89" s="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x14ac:dyDescent="0.2">
      <c r="B90" s="758" t="s">
        <v>835</v>
      </c>
      <c r="C90" s="25" t="s">
        <v>1285</v>
      </c>
      <c r="D90" s="288">
        <f>3000+1000</f>
        <v>4000</v>
      </c>
      <c r="E90" s="288">
        <v>600</v>
      </c>
      <c r="F90" s="638">
        <f t="shared" si="1"/>
        <v>4600</v>
      </c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x14ac:dyDescent="0.2">
      <c r="B91" s="758" t="s">
        <v>1286</v>
      </c>
      <c r="C91" s="25" t="s">
        <v>1287</v>
      </c>
      <c r="D91" s="288">
        <v>2000</v>
      </c>
      <c r="E91" s="288"/>
      <c r="F91" s="638">
        <f t="shared" si="1"/>
        <v>2000</v>
      </c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x14ac:dyDescent="0.2">
      <c r="B92" s="758" t="s">
        <v>1317</v>
      </c>
      <c r="C92" s="25" t="s">
        <v>1318</v>
      </c>
      <c r="D92" s="288"/>
      <c r="E92" s="288">
        <f>-100-50</f>
        <v>-150</v>
      </c>
      <c r="F92" s="638">
        <f t="shared" si="1"/>
        <v>-150</v>
      </c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758" t="s">
        <v>836</v>
      </c>
      <c r="C93" s="25" t="s">
        <v>1280</v>
      </c>
      <c r="D93" s="288">
        <f>570+530</f>
        <v>1100</v>
      </c>
      <c r="E93" s="288"/>
      <c r="F93" s="638">
        <f t="shared" si="1"/>
        <v>1100</v>
      </c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x14ac:dyDescent="0.2">
      <c r="B94" s="758" t="s">
        <v>836</v>
      </c>
      <c r="C94" s="25" t="s">
        <v>1298</v>
      </c>
      <c r="D94" s="288">
        <v>515</v>
      </c>
      <c r="E94" s="288"/>
      <c r="F94" s="638">
        <f t="shared" si="1"/>
        <v>515</v>
      </c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hidden="1" x14ac:dyDescent="0.2">
      <c r="B95" s="758" t="s">
        <v>836</v>
      </c>
      <c r="C95" s="25" t="s">
        <v>1035</v>
      </c>
      <c r="D95" s="288"/>
      <c r="E95" s="288"/>
      <c r="F95" s="638">
        <f t="shared" si="1"/>
        <v>0</v>
      </c>
      <c r="G95" s="2"/>
      <c r="I95" s="8"/>
      <c r="J95" s="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758" t="s">
        <v>836</v>
      </c>
      <c r="C96" s="25" t="s">
        <v>1288</v>
      </c>
      <c r="D96" s="288">
        <v>400</v>
      </c>
      <c r="E96" s="288"/>
      <c r="F96" s="638">
        <f t="shared" si="1"/>
        <v>400</v>
      </c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x14ac:dyDescent="0.2">
      <c r="B97" s="758" t="s">
        <v>836</v>
      </c>
      <c r="C97" s="25" t="s">
        <v>1291</v>
      </c>
      <c r="D97" s="288">
        <v>-360</v>
      </c>
      <c r="E97" s="288"/>
      <c r="F97" s="638">
        <f t="shared" si="1"/>
        <v>-360</v>
      </c>
      <c r="G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hidden="1" x14ac:dyDescent="0.2">
      <c r="B98" s="758" t="s">
        <v>836</v>
      </c>
      <c r="C98" s="25" t="s">
        <v>1039</v>
      </c>
      <c r="D98" s="288"/>
      <c r="E98" s="288"/>
      <c r="F98" s="638">
        <f t="shared" si="1"/>
        <v>0</v>
      </c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hidden="1" x14ac:dyDescent="0.2">
      <c r="B99" s="758" t="s">
        <v>836</v>
      </c>
      <c r="C99" s="25" t="s">
        <v>1040</v>
      </c>
      <c r="D99" s="288"/>
      <c r="E99" s="288"/>
      <c r="F99" s="638">
        <f t="shared" si="1"/>
        <v>0</v>
      </c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hidden="1" x14ac:dyDescent="0.2">
      <c r="B100" s="758" t="s">
        <v>836</v>
      </c>
      <c r="C100" s="25" t="s">
        <v>1041</v>
      </c>
      <c r="D100" s="288"/>
      <c r="E100" s="288"/>
      <c r="F100" s="638">
        <f t="shared" si="1"/>
        <v>0</v>
      </c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hidden="1" x14ac:dyDescent="0.2">
      <c r="B101" s="758" t="s">
        <v>836</v>
      </c>
      <c r="C101" s="25" t="s">
        <v>1042</v>
      </c>
      <c r="D101" s="288"/>
      <c r="E101" s="288"/>
      <c r="F101" s="638">
        <f t="shared" si="1"/>
        <v>0</v>
      </c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x14ac:dyDescent="0.2">
      <c r="B102" s="758" t="s">
        <v>837</v>
      </c>
      <c r="C102" s="25" t="s">
        <v>1264</v>
      </c>
      <c r="D102" s="288">
        <v>9815</v>
      </c>
      <c r="E102" s="288"/>
      <c r="F102" s="638">
        <f>D102+E102</f>
        <v>9815</v>
      </c>
      <c r="G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x14ac:dyDescent="0.2">
      <c r="B103" s="758" t="s">
        <v>837</v>
      </c>
      <c r="C103" s="25" t="s">
        <v>1290</v>
      </c>
      <c r="D103" s="288">
        <f>440+2000</f>
        <v>2440</v>
      </c>
      <c r="E103" s="288"/>
      <c r="F103" s="638">
        <f>D103+E103</f>
        <v>2440</v>
      </c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hidden="1" x14ac:dyDescent="0.2">
      <c r="B104" s="758" t="s">
        <v>837</v>
      </c>
      <c r="C104" s="25" t="s">
        <v>1036</v>
      </c>
      <c r="D104" s="288"/>
      <c r="E104" s="288"/>
      <c r="F104" s="638">
        <f>D104+E104</f>
        <v>0</v>
      </c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hidden="1" x14ac:dyDescent="0.2">
      <c r="B105" s="758" t="s">
        <v>837</v>
      </c>
      <c r="C105" s="25" t="s">
        <v>1037</v>
      </c>
      <c r="D105" s="288"/>
      <c r="E105" s="288"/>
      <c r="F105" s="638">
        <f>D105+E105</f>
        <v>0</v>
      </c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hidden="1" x14ac:dyDescent="0.2">
      <c r="B106" s="758" t="s">
        <v>837</v>
      </c>
      <c r="C106" s="25" t="s">
        <v>1038</v>
      </c>
      <c r="D106" s="288"/>
      <c r="E106" s="288"/>
      <c r="F106" s="638">
        <f>D106+E106</f>
        <v>0</v>
      </c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hidden="1" x14ac:dyDescent="0.2">
      <c r="B107" s="758" t="s">
        <v>1030</v>
      </c>
      <c r="C107" s="25" t="s">
        <v>1031</v>
      </c>
      <c r="D107" s="288"/>
      <c r="E107" s="288"/>
      <c r="F107" s="638">
        <f t="shared" si="1"/>
        <v>0</v>
      </c>
      <c r="G107" s="2"/>
      <c r="I107" s="8"/>
      <c r="J107" s="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ht="12" customHeight="1" x14ac:dyDescent="0.2">
      <c r="B108" s="758" t="s">
        <v>838</v>
      </c>
      <c r="C108" s="25" t="s">
        <v>839</v>
      </c>
      <c r="D108" s="288">
        <f>2650+97</f>
        <v>2747</v>
      </c>
      <c r="E108" s="288"/>
      <c r="F108" s="638">
        <f t="shared" si="1"/>
        <v>2747</v>
      </c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hidden="1" x14ac:dyDescent="0.2">
      <c r="B109" s="758" t="s">
        <v>872</v>
      </c>
      <c r="C109" s="25" t="s">
        <v>873</v>
      </c>
      <c r="D109" s="288"/>
      <c r="E109" s="288"/>
      <c r="F109" s="638">
        <f t="shared" si="1"/>
        <v>0</v>
      </c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hidden="1" x14ac:dyDescent="0.2">
      <c r="B110" s="758" t="s">
        <v>872</v>
      </c>
      <c r="C110" s="25" t="s">
        <v>1054</v>
      </c>
      <c r="D110" s="288"/>
      <c r="E110" s="288"/>
      <c r="F110" s="638">
        <f t="shared" si="1"/>
        <v>0</v>
      </c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x14ac:dyDescent="0.2">
      <c r="B111" s="758" t="s">
        <v>840</v>
      </c>
      <c r="C111" s="25" t="s">
        <v>1294</v>
      </c>
      <c r="D111" s="288">
        <f>143+1000</f>
        <v>1143</v>
      </c>
      <c r="E111" s="288">
        <f>5+60+150+790</f>
        <v>1005</v>
      </c>
      <c r="F111" s="638">
        <f t="shared" si="1"/>
        <v>2148</v>
      </c>
      <c r="G111" s="2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x14ac:dyDescent="0.2">
      <c r="B112" s="758" t="s">
        <v>989</v>
      </c>
      <c r="C112" s="25" t="s">
        <v>1292</v>
      </c>
      <c r="D112" s="288">
        <v>360</v>
      </c>
      <c r="E112" s="288"/>
      <c r="F112" s="638">
        <f t="shared" si="1"/>
        <v>360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x14ac:dyDescent="0.2">
      <c r="B113" s="758" t="s">
        <v>1293</v>
      </c>
      <c r="C113" s="9" t="s">
        <v>1296</v>
      </c>
      <c r="D113" s="288">
        <v>317</v>
      </c>
      <c r="E113" s="288"/>
      <c r="F113" s="638">
        <f t="shared" si="1"/>
        <v>317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x14ac:dyDescent="0.2">
      <c r="B114" s="628" t="s">
        <v>1293</v>
      </c>
      <c r="C114" s="20" t="s">
        <v>1325</v>
      </c>
      <c r="D114" s="288">
        <v>12</v>
      </c>
      <c r="E114" s="288"/>
      <c r="F114" s="638">
        <f t="shared" si="1"/>
        <v>12</v>
      </c>
      <c r="G114" s="2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628" t="s">
        <v>841</v>
      </c>
      <c r="C115" s="26" t="s">
        <v>1021</v>
      </c>
      <c r="D115" s="288">
        <f>1995+562+148+1572+551</f>
        <v>4828</v>
      </c>
      <c r="E115" s="288"/>
      <c r="F115" s="638">
        <f t="shared" si="1"/>
        <v>4828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628" t="s">
        <v>841</v>
      </c>
      <c r="C116" s="9" t="s">
        <v>1295</v>
      </c>
      <c r="D116" s="288">
        <v>-143</v>
      </c>
      <c r="E116" s="288"/>
      <c r="F116" s="638">
        <f t="shared" si="1"/>
        <v>-143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hidden="1" x14ac:dyDescent="0.2">
      <c r="B117" s="628" t="s">
        <v>841</v>
      </c>
      <c r="C117" s="20" t="s">
        <v>1044</v>
      </c>
      <c r="D117" s="288"/>
      <c r="E117" s="288"/>
      <c r="F117" s="638">
        <f t="shared" si="1"/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hidden="1" x14ac:dyDescent="0.2">
      <c r="B118" s="628" t="s">
        <v>841</v>
      </c>
      <c r="C118" s="20" t="s">
        <v>1048</v>
      </c>
      <c r="D118" s="288"/>
      <c r="E118" s="288"/>
      <c r="F118" s="638">
        <f t="shared" si="1"/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x14ac:dyDescent="0.2">
      <c r="B119" s="628" t="s">
        <v>841</v>
      </c>
      <c r="C119" s="20" t="s">
        <v>1271</v>
      </c>
      <c r="D119" s="288">
        <v>-1944</v>
      </c>
      <c r="E119" s="288"/>
      <c r="F119" s="638">
        <f t="shared" si="1"/>
        <v>-1944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s="231" customFormat="1" ht="12" customHeight="1" x14ac:dyDescent="0.2">
      <c r="B120" s="628" t="s">
        <v>841</v>
      </c>
      <c r="C120" s="20" t="s">
        <v>1269</v>
      </c>
      <c r="D120" s="16">
        <v>135</v>
      </c>
      <c r="E120" s="16"/>
      <c r="F120" s="638">
        <f t="shared" si="1"/>
        <v>135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s="231" customFormat="1" ht="12" hidden="1" customHeight="1" x14ac:dyDescent="0.2">
      <c r="B121" s="628" t="s">
        <v>841</v>
      </c>
      <c r="C121" s="25" t="s">
        <v>985</v>
      </c>
      <c r="D121" s="16"/>
      <c r="E121" s="16"/>
      <c r="F121" s="638">
        <f t="shared" si="1"/>
        <v>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s="231" customFormat="1" ht="12" hidden="1" customHeight="1" x14ac:dyDescent="0.2">
      <c r="B122" s="628" t="s">
        <v>841</v>
      </c>
      <c r="C122" s="25" t="s">
        <v>1023</v>
      </c>
      <c r="D122" s="16"/>
      <c r="E122" s="16"/>
      <c r="F122" s="638">
        <f t="shared" si="1"/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s="231" customFormat="1" ht="12" hidden="1" customHeight="1" x14ac:dyDescent="0.2">
      <c r="B123" s="628" t="s">
        <v>841</v>
      </c>
      <c r="C123" s="25" t="s">
        <v>1052</v>
      </c>
      <c r="D123" s="16"/>
      <c r="E123" s="16"/>
      <c r="F123" s="638">
        <f t="shared" si="1"/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s="231" customFormat="1" x14ac:dyDescent="0.2">
      <c r="B124" s="620" t="s">
        <v>842</v>
      </c>
      <c r="C124" s="27" t="s">
        <v>1267</v>
      </c>
      <c r="D124" s="16">
        <v>263</v>
      </c>
      <c r="E124" s="16"/>
      <c r="F124" s="638">
        <f t="shared" si="1"/>
        <v>263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s="231" customFormat="1" x14ac:dyDescent="0.2">
      <c r="B125" s="620" t="s">
        <v>842</v>
      </c>
      <c r="C125" s="25" t="s">
        <v>1020</v>
      </c>
      <c r="D125" s="16">
        <v>84</v>
      </c>
      <c r="E125" s="16"/>
      <c r="F125" s="638">
        <f t="shared" si="1"/>
        <v>84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s="231" customFormat="1" hidden="1" x14ac:dyDescent="0.2">
      <c r="B126" s="620" t="s">
        <v>842</v>
      </c>
      <c r="C126" s="9" t="s">
        <v>1004</v>
      </c>
      <c r="D126" s="16"/>
      <c r="E126" s="16"/>
      <c r="F126" s="638">
        <f t="shared" si="1"/>
        <v>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s="231" customFormat="1" hidden="1" x14ac:dyDescent="0.2">
      <c r="B127" s="620" t="s">
        <v>842</v>
      </c>
      <c r="C127" s="27" t="s">
        <v>1055</v>
      </c>
      <c r="D127" s="16"/>
      <c r="E127" s="16"/>
      <c r="F127" s="638">
        <f t="shared" si="1"/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ht="13.5" customHeight="1" x14ac:dyDescent="0.2">
      <c r="B128" s="620" t="s">
        <v>843</v>
      </c>
      <c r="C128" s="25" t="s">
        <v>844</v>
      </c>
      <c r="D128" s="16">
        <f>-12465+6984-3000-2000-930-2440-329-612-790+3000-5775</f>
        <v>-18357</v>
      </c>
      <c r="E128" s="16"/>
      <c r="F128" s="638">
        <f t="shared" si="1"/>
        <v>-18357</v>
      </c>
      <c r="G128" s="2"/>
      <c r="H128" s="8">
        <f>'2.működés'!H122</f>
        <v>-18357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ht="13.5" hidden="1" customHeight="1" x14ac:dyDescent="0.2">
      <c r="B129" s="620" t="s">
        <v>843</v>
      </c>
      <c r="C129" s="25" t="s">
        <v>845</v>
      </c>
      <c r="D129" s="16"/>
      <c r="E129" s="16"/>
      <c r="F129" s="638">
        <f t="shared" si="1"/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ht="15" x14ac:dyDescent="0.25">
      <c r="B130" s="619" t="s">
        <v>211</v>
      </c>
      <c r="C130" s="229" t="s">
        <v>233</v>
      </c>
      <c r="D130" s="206">
        <f>SUM(D131:D147)+D150+D151</f>
        <v>120704</v>
      </c>
      <c r="E130" s="206">
        <f>SUM(E131:E147)+E150</f>
        <v>0</v>
      </c>
      <c r="F130" s="642">
        <f>SUM(F131:F147)+F150+F151</f>
        <v>120704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s="629" customFormat="1" x14ac:dyDescent="0.2">
      <c r="B131" s="628" t="s">
        <v>260</v>
      </c>
      <c r="C131" s="24" t="s">
        <v>1334</v>
      </c>
      <c r="D131" s="16">
        <v>1</v>
      </c>
      <c r="E131" s="288"/>
      <c r="F131" s="638">
        <f t="shared" ref="F131:F139" si="2">D131+E131</f>
        <v>1</v>
      </c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</row>
    <row r="132" spans="2:35" s="59" customFormat="1" ht="13.5" customHeight="1" x14ac:dyDescent="0.2">
      <c r="B132" s="628" t="s">
        <v>260</v>
      </c>
      <c r="C132" s="25" t="s">
        <v>1300</v>
      </c>
      <c r="D132" s="16">
        <v>-27796</v>
      </c>
      <c r="E132" s="16"/>
      <c r="F132" s="638">
        <f t="shared" si="2"/>
        <v>-27796</v>
      </c>
      <c r="G132" s="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s="59" customFormat="1" ht="13.5" customHeight="1" x14ac:dyDescent="0.2">
      <c r="B133" s="628" t="s">
        <v>260</v>
      </c>
      <c r="C133" s="25" t="s">
        <v>1305</v>
      </c>
      <c r="D133" s="16">
        <v>408</v>
      </c>
      <c r="E133" s="16"/>
      <c r="F133" s="638">
        <f t="shared" si="2"/>
        <v>408</v>
      </c>
      <c r="G133" s="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s="59" customFormat="1" ht="13.5" customHeight="1" x14ac:dyDescent="0.2">
      <c r="B134" s="628" t="s">
        <v>260</v>
      </c>
      <c r="C134" s="25" t="s">
        <v>1306</v>
      </c>
      <c r="D134" s="16">
        <v>1455</v>
      </c>
      <c r="E134" s="16"/>
      <c r="F134" s="638">
        <f t="shared" si="2"/>
        <v>1455</v>
      </c>
      <c r="G134" s="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s="59" customFormat="1" ht="13.5" customHeight="1" x14ac:dyDescent="0.2">
      <c r="B135" s="628" t="s">
        <v>260</v>
      </c>
      <c r="C135" s="25" t="s">
        <v>1307</v>
      </c>
      <c r="D135" s="16">
        <v>650</v>
      </c>
      <c r="E135" s="16"/>
      <c r="F135" s="638">
        <f t="shared" si="2"/>
        <v>650</v>
      </c>
      <c r="G135" s="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s="59" customFormat="1" ht="13.5" customHeight="1" x14ac:dyDescent="0.2">
      <c r="B136" s="628" t="s">
        <v>377</v>
      </c>
      <c r="C136" s="25" t="s">
        <v>1301</v>
      </c>
      <c r="D136" s="16">
        <f>27796+16</f>
        <v>27812</v>
      </c>
      <c r="E136" s="16"/>
      <c r="F136" s="638">
        <f t="shared" si="2"/>
        <v>27812</v>
      </c>
      <c r="G136" s="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s="59" customFormat="1" ht="13.5" hidden="1" customHeight="1" x14ac:dyDescent="0.2">
      <c r="B137" s="628" t="s">
        <v>377</v>
      </c>
      <c r="C137" s="24" t="s">
        <v>1005</v>
      </c>
      <c r="D137" s="16"/>
      <c r="E137" s="16"/>
      <c r="F137" s="638">
        <f t="shared" si="2"/>
        <v>0</v>
      </c>
      <c r="G137" s="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s="59" customFormat="1" ht="13.5" hidden="1" customHeight="1" x14ac:dyDescent="0.2">
      <c r="B138" s="628" t="s">
        <v>377</v>
      </c>
      <c r="C138" s="24" t="s">
        <v>1007</v>
      </c>
      <c r="D138" s="16"/>
      <c r="E138" s="16">
        <f>SUM('3.felh'!H57)</f>
        <v>0</v>
      </c>
      <c r="F138" s="638">
        <f t="shared" si="2"/>
        <v>0</v>
      </c>
      <c r="G138" s="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s="59" customFormat="1" ht="13.5" hidden="1" customHeight="1" x14ac:dyDescent="0.2">
      <c r="B139" s="628" t="s">
        <v>377</v>
      </c>
      <c r="C139" s="25" t="s">
        <v>1008</v>
      </c>
      <c r="D139" s="16"/>
      <c r="E139" s="16"/>
      <c r="F139" s="638">
        <f t="shared" si="2"/>
        <v>0</v>
      </c>
      <c r="G139" s="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s="59" customFormat="1" ht="13.5" hidden="1" customHeight="1" x14ac:dyDescent="0.2">
      <c r="B140" s="628"/>
      <c r="C140" s="25"/>
      <c r="D140" s="16"/>
      <c r="E140" s="16"/>
      <c r="F140" s="638">
        <f t="shared" ref="F140:F153" si="3">D140+E140</f>
        <v>0</v>
      </c>
      <c r="G140" s="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s="59" customFormat="1" ht="13.5" hidden="1" customHeight="1" x14ac:dyDescent="0.2">
      <c r="B141" s="628"/>
      <c r="C141" s="25"/>
      <c r="D141" s="16"/>
      <c r="E141" s="16"/>
      <c r="F141" s="638">
        <f t="shared" si="3"/>
        <v>0</v>
      </c>
      <c r="G141" s="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s="59" customFormat="1" hidden="1" x14ac:dyDescent="0.2">
      <c r="B142" s="628"/>
      <c r="C142" s="137" t="s">
        <v>988</v>
      </c>
      <c r="D142" s="16"/>
      <c r="E142" s="16"/>
      <c r="F142" s="638">
        <f t="shared" si="3"/>
        <v>0</v>
      </c>
      <c r="G142" s="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s="59" customFormat="1" ht="13.5" hidden="1" customHeight="1" x14ac:dyDescent="0.2">
      <c r="B143" s="628"/>
      <c r="C143" s="25"/>
      <c r="D143" s="16"/>
      <c r="E143" s="16"/>
      <c r="F143" s="638">
        <f t="shared" si="3"/>
        <v>0</v>
      </c>
      <c r="G143" s="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s="59" customFormat="1" ht="13.5" hidden="1" customHeight="1" x14ac:dyDescent="0.2">
      <c r="B144" s="628" t="s">
        <v>850</v>
      </c>
      <c r="C144" s="9" t="s">
        <v>861</v>
      </c>
      <c r="D144" s="16"/>
      <c r="E144" s="16"/>
      <c r="F144" s="638">
        <f t="shared" si="3"/>
        <v>0</v>
      </c>
      <c r="G144" s="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s="59" customFormat="1" ht="13.5" hidden="1" customHeight="1" x14ac:dyDescent="0.2">
      <c r="B145" s="628" t="s">
        <v>850</v>
      </c>
      <c r="C145" s="9" t="s">
        <v>862</v>
      </c>
      <c r="D145" s="16"/>
      <c r="E145" s="16"/>
      <c r="F145" s="638">
        <f t="shared" si="3"/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s="59" customFormat="1" ht="13.5" hidden="1" customHeight="1" x14ac:dyDescent="0.2">
      <c r="B146" s="628" t="s">
        <v>850</v>
      </c>
      <c r="C146" s="25" t="s">
        <v>865</v>
      </c>
      <c r="D146" s="16"/>
      <c r="E146" s="16"/>
      <c r="F146" s="638">
        <f t="shared" si="3"/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 s="59" customFormat="1" ht="13.5" customHeight="1" x14ac:dyDescent="0.25">
      <c r="B147" s="620" t="s">
        <v>376</v>
      </c>
      <c r="C147" s="630" t="s">
        <v>1321</v>
      </c>
      <c r="D147" s="631">
        <f>SUM(D148:D149)</f>
        <v>1</v>
      </c>
      <c r="E147" s="631">
        <f>SUM(E148:E149)</f>
        <v>0</v>
      </c>
      <c r="F147" s="643">
        <f>SUM(F148:F149)</f>
        <v>1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s="59" customFormat="1" ht="13.5" customHeight="1" x14ac:dyDescent="0.2">
      <c r="B148" s="620" t="s">
        <v>1328</v>
      </c>
      <c r="C148" s="278" t="s">
        <v>1322</v>
      </c>
      <c r="D148" s="16">
        <v>1</v>
      </c>
      <c r="E148" s="16"/>
      <c r="F148" s="638">
        <f t="shared" si="3"/>
        <v>1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s="59" customFormat="1" ht="13.5" hidden="1" customHeight="1" x14ac:dyDescent="0.2">
      <c r="B149" s="620"/>
      <c r="C149" s="278"/>
      <c r="D149" s="16"/>
      <c r="E149" s="16"/>
      <c r="F149" s="638">
        <f t="shared" si="3"/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s="59" customFormat="1" ht="13.5" customHeight="1" x14ac:dyDescent="0.2">
      <c r="B150" s="620"/>
      <c r="C150" s="9" t="s">
        <v>846</v>
      </c>
      <c r="D150" s="16">
        <f>-1-16-2513-1+120704</f>
        <v>118173</v>
      </c>
      <c r="E150" s="16"/>
      <c r="F150" s="638">
        <f t="shared" si="3"/>
        <v>118173</v>
      </c>
      <c r="G150" s="2"/>
      <c r="H150" s="8">
        <f>'3.felh'!H75</f>
        <v>0</v>
      </c>
      <c r="I150" s="2"/>
      <c r="J150" s="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s="59" customFormat="1" ht="13.5" hidden="1" customHeight="1" x14ac:dyDescent="0.2">
      <c r="B151" s="620"/>
      <c r="C151" s="9" t="s">
        <v>847</v>
      </c>
      <c r="D151" s="16"/>
      <c r="E151" s="16"/>
      <c r="F151" s="638">
        <f t="shared" si="3"/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ht="16.5" customHeight="1" thickBot="1" x14ac:dyDescent="0.3">
      <c r="B152" s="619" t="s">
        <v>212</v>
      </c>
      <c r="C152" s="222" t="s">
        <v>365</v>
      </c>
      <c r="D152" s="632">
        <f>SUM(D153:D153)</f>
        <v>0</v>
      </c>
      <c r="E152" s="632">
        <f>SUM(E153:E153)</f>
        <v>0</v>
      </c>
      <c r="F152" s="644">
        <f>SUM(F153:F153)</f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s="59" customFormat="1" ht="13.5" hidden="1" customHeight="1" thickBot="1" x14ac:dyDescent="0.25">
      <c r="B153" s="625" t="s">
        <v>408</v>
      </c>
      <c r="C153" s="9" t="s">
        <v>412</v>
      </c>
      <c r="D153" s="14"/>
      <c r="E153" s="14"/>
      <c r="F153" s="638">
        <f t="shared" si="3"/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s="3" customFormat="1" ht="24" customHeight="1" thickBot="1" x14ac:dyDescent="0.4">
      <c r="B154" s="626"/>
      <c r="C154" s="633" t="s">
        <v>848</v>
      </c>
      <c r="D154" s="627">
        <f>SUM(D67+D152)</f>
        <v>130890</v>
      </c>
      <c r="E154" s="627">
        <f>SUM(E67+E152)</f>
        <v>7146</v>
      </c>
      <c r="F154" s="57">
        <f>SUM(F67+F152)</f>
        <v>138036</v>
      </c>
      <c r="G154" s="634">
        <f>F66-F154</f>
        <v>0</v>
      </c>
      <c r="H154" s="634">
        <f>'1.Bev-kiad.'!H82</f>
        <v>138036</v>
      </c>
      <c r="I154" s="634"/>
      <c r="J154" s="635"/>
      <c r="K154" s="635"/>
      <c r="L154" s="635"/>
      <c r="M154" s="635"/>
      <c r="N154" s="635"/>
      <c r="O154" s="635"/>
      <c r="P154" s="635"/>
      <c r="Q154" s="635"/>
      <c r="R154" s="635"/>
      <c r="S154" s="635"/>
      <c r="T154" s="635"/>
      <c r="U154" s="635"/>
      <c r="V154" s="635"/>
      <c r="W154" s="635"/>
      <c r="X154" s="635"/>
      <c r="Y154" s="635"/>
      <c r="Z154" s="635"/>
      <c r="AA154" s="635"/>
      <c r="AB154" s="635"/>
      <c r="AC154" s="635"/>
      <c r="AD154" s="635"/>
      <c r="AE154" s="635"/>
      <c r="AF154" s="635"/>
      <c r="AG154" s="635"/>
      <c r="AH154" s="635"/>
      <c r="AI154" s="635"/>
    </row>
    <row r="155" spans="2:35" ht="15.75" customHeight="1" x14ac:dyDescent="0.2">
      <c r="F155" s="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ht="15.75" hidden="1" customHeight="1" x14ac:dyDescent="0.2">
      <c r="D156" s="86">
        <f>D66-D154</f>
        <v>6974</v>
      </c>
      <c r="E156" s="86">
        <f>E66-E154</f>
        <v>-6974</v>
      </c>
      <c r="F156" s="86">
        <f>F66-F154</f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ht="15.75" hidden="1" customHeight="1" x14ac:dyDescent="0.2">
      <c r="C157" t="s">
        <v>1050</v>
      </c>
      <c r="E157" s="86">
        <f>SUM(E154-E66)</f>
        <v>6974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ht="15.75" customHeight="1" x14ac:dyDescent="0.2"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ht="15.75" customHeight="1" x14ac:dyDescent="0.2">
      <c r="B15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ht="15.75" customHeight="1" x14ac:dyDescent="0.2">
      <c r="B16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ht="15.75" customHeight="1" x14ac:dyDescent="0.2">
      <c r="B16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ht="15.75" customHeight="1" x14ac:dyDescent="0.2">
      <c r="B16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ht="15.75" customHeight="1" x14ac:dyDescent="0.2">
      <c r="B16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2:35" ht="15.75" customHeight="1" x14ac:dyDescent="0.2">
      <c r="B16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ht="15.75" customHeight="1" x14ac:dyDescent="0.2">
      <c r="B16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ht="15.75" customHeight="1" x14ac:dyDescent="0.2">
      <c r="B16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ht="15.75" customHeight="1" x14ac:dyDescent="0.2">
      <c r="B16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ht="15.75" customHeight="1" x14ac:dyDescent="0.2">
      <c r="B16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ht="15.75" customHeight="1" x14ac:dyDescent="0.2">
      <c r="B16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2:35" ht="15.75" customHeight="1" x14ac:dyDescent="0.2">
      <c r="B17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ht="15.75" customHeight="1" x14ac:dyDescent="0.2">
      <c r="B17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ht="15.75" customHeight="1" x14ac:dyDescent="0.2">
      <c r="B17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ht="15.75" customHeight="1" x14ac:dyDescent="0.2">
      <c r="B17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ht="15.75" customHeight="1" x14ac:dyDescent="0.2">
      <c r="B17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ht="15.75" customHeight="1" x14ac:dyDescent="0.2">
      <c r="B17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ht="15.75" customHeight="1" x14ac:dyDescent="0.2">
      <c r="B17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ht="15.75" customHeight="1" x14ac:dyDescent="0.2">
      <c r="B17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ht="15.75" customHeight="1" x14ac:dyDescent="0.2">
      <c r="B17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ht="15.75" customHeight="1" x14ac:dyDescent="0.2">
      <c r="B17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ht="15.75" customHeight="1" x14ac:dyDescent="0.2">
      <c r="B18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ht="15.75" customHeight="1" x14ac:dyDescent="0.2">
      <c r="B18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ht="15.75" customHeight="1" x14ac:dyDescent="0.2">
      <c r="B18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ht="15.75" customHeight="1" x14ac:dyDescent="0.2">
      <c r="B18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ht="15.75" customHeight="1" x14ac:dyDescent="0.2">
      <c r="B18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ht="15.75" customHeight="1" x14ac:dyDescent="0.2">
      <c r="B18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ht="15.75" customHeight="1" x14ac:dyDescent="0.2">
      <c r="B18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ht="15.75" customHeight="1" x14ac:dyDescent="0.2">
      <c r="B18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ht="15.75" customHeight="1" x14ac:dyDescent="0.2">
      <c r="B18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ht="15.75" customHeight="1" x14ac:dyDescent="0.2">
      <c r="B18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ht="15.75" customHeight="1" x14ac:dyDescent="0.2">
      <c r="B19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ht="15.75" customHeight="1" x14ac:dyDescent="0.2">
      <c r="B19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ht="15.75" customHeight="1" x14ac:dyDescent="0.2">
      <c r="B19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ht="15.75" customHeight="1" x14ac:dyDescent="0.2">
      <c r="B19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ht="15.75" customHeight="1" x14ac:dyDescent="0.2">
      <c r="B19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ht="15.75" customHeight="1" x14ac:dyDescent="0.2">
      <c r="B19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ht="15.75" customHeight="1" x14ac:dyDescent="0.2">
      <c r="B19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ht="15.75" customHeight="1" x14ac:dyDescent="0.2">
      <c r="B19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ht="15.75" customHeight="1" x14ac:dyDescent="0.2">
      <c r="B19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ht="15.75" customHeight="1" x14ac:dyDescent="0.2">
      <c r="B19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ht="15.75" customHeight="1" x14ac:dyDescent="0.2">
      <c r="B20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ht="15.75" customHeight="1" x14ac:dyDescent="0.2">
      <c r="B20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ht="15.75" customHeight="1" x14ac:dyDescent="0.2">
      <c r="B20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ht="15.75" customHeight="1" x14ac:dyDescent="0.2">
      <c r="B20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ht="15.75" customHeight="1" x14ac:dyDescent="0.2">
      <c r="B20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ht="15.75" customHeight="1" x14ac:dyDescent="0.2">
      <c r="B20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ht="15.75" customHeight="1" x14ac:dyDescent="0.2">
      <c r="B20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ht="15.75" customHeight="1" x14ac:dyDescent="0.2">
      <c r="B20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ht="15.75" customHeight="1" x14ac:dyDescent="0.2">
      <c r="B20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ht="15.75" customHeight="1" x14ac:dyDescent="0.2">
      <c r="B20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ht="15.75" customHeight="1" x14ac:dyDescent="0.2">
      <c r="B2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ht="15.75" customHeight="1" x14ac:dyDescent="0.2">
      <c r="B2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ht="15.75" customHeight="1" x14ac:dyDescent="0.2">
      <c r="B2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ht="15.75" customHeight="1" x14ac:dyDescent="0.2">
      <c r="B2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ht="15.75" customHeight="1" x14ac:dyDescent="0.2">
      <c r="B2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ht="15.75" customHeight="1" x14ac:dyDescent="0.2">
      <c r="B2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ht="15.75" customHeight="1" x14ac:dyDescent="0.2">
      <c r="B2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ht="15.75" customHeight="1" x14ac:dyDescent="0.2">
      <c r="B21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ht="15.75" customHeight="1" x14ac:dyDescent="0.2">
      <c r="B2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ht="15.75" customHeight="1" x14ac:dyDescent="0.2">
      <c r="B2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ht="15.75" customHeight="1" x14ac:dyDescent="0.2">
      <c r="B2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ht="15.75" customHeight="1" x14ac:dyDescent="0.2">
      <c r="B2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ht="15.75" customHeight="1" x14ac:dyDescent="0.2">
      <c r="B2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ht="15.75" customHeight="1" x14ac:dyDescent="0.2">
      <c r="B2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ht="15.75" customHeight="1" x14ac:dyDescent="0.2">
      <c r="B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ht="15.75" customHeight="1" x14ac:dyDescent="0.2">
      <c r="B22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ht="15.75" customHeight="1" x14ac:dyDescent="0.2">
      <c r="B22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ht="15.75" customHeight="1" x14ac:dyDescent="0.2">
      <c r="B22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ht="15.75" customHeight="1" x14ac:dyDescent="0.2">
      <c r="B2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ht="15.75" customHeight="1" x14ac:dyDescent="0.2">
      <c r="B22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ht="15.75" customHeight="1" x14ac:dyDescent="0.2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ht="15.75" customHeight="1" x14ac:dyDescent="0.2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ht="15.75" customHeight="1" x14ac:dyDescent="0.2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ht="15.75" customHeight="1" x14ac:dyDescent="0.2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ht="15.75" customHeight="1" x14ac:dyDescent="0.2">
      <c r="B2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ht="15.75" customHeight="1" x14ac:dyDescent="0.2">
      <c r="B23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ht="15.75" customHeight="1" x14ac:dyDescent="0.2">
      <c r="B2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ht="15.75" customHeight="1" x14ac:dyDescent="0.2">
      <c r="B2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ht="15.75" customHeight="1" x14ac:dyDescent="0.2">
      <c r="B23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ht="15.75" customHeight="1" x14ac:dyDescent="0.2">
      <c r="B239"/>
      <c r="C239" s="2"/>
      <c r="D239" s="2"/>
      <c r="E239" s="2"/>
      <c r="F239" s="3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ht="15.75" customHeight="1" x14ac:dyDescent="0.2">
      <c r="B240"/>
      <c r="C240" s="2"/>
      <c r="D240" s="2"/>
      <c r="E240" s="2"/>
      <c r="F240" s="3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ht="15.75" customHeight="1" x14ac:dyDescent="0.2">
      <c r="B241"/>
      <c r="C241" s="2"/>
      <c r="D241" s="2"/>
      <c r="E241" s="2"/>
      <c r="F241" s="3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ht="15.75" customHeight="1" x14ac:dyDescent="0.2">
      <c r="B242"/>
      <c r="C242" s="2"/>
      <c r="D242" s="2"/>
      <c r="E242" s="2"/>
      <c r="F242" s="3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ht="15.75" customHeight="1" x14ac:dyDescent="0.2">
      <c r="B243"/>
      <c r="C243" s="2"/>
      <c r="D243" s="2"/>
      <c r="E243" s="2"/>
      <c r="F243" s="3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ht="15.75" customHeight="1" x14ac:dyDescent="0.2">
      <c r="B244"/>
      <c r="C244" s="2"/>
      <c r="D244" s="2"/>
      <c r="E244" s="2"/>
      <c r="F244" s="3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ht="15.75" customHeight="1" x14ac:dyDescent="0.2">
      <c r="B245"/>
      <c r="C245" s="2"/>
      <c r="D245" s="2"/>
      <c r="E245" s="2"/>
      <c r="F245" s="3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ht="15.75" customHeight="1" x14ac:dyDescent="0.2">
      <c r="B246"/>
      <c r="C246" s="2"/>
      <c r="D246" s="2"/>
      <c r="E246" s="2"/>
      <c r="F246" s="3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ht="15.75" customHeight="1" x14ac:dyDescent="0.2">
      <c r="B247"/>
      <c r="C247" s="2"/>
      <c r="D247" s="2"/>
      <c r="E247" s="2"/>
      <c r="F247" s="3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ht="15.75" customHeight="1" x14ac:dyDescent="0.2">
      <c r="B248"/>
      <c r="C248" s="2"/>
      <c r="D248" s="2"/>
      <c r="E248" s="2"/>
      <c r="F248" s="3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ht="15.75" customHeight="1" x14ac:dyDescent="0.2">
      <c r="B249"/>
      <c r="C249" s="2"/>
      <c r="D249" s="2"/>
      <c r="E249" s="2"/>
      <c r="F249" s="3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ht="15.75" customHeight="1" x14ac:dyDescent="0.2">
      <c r="B250"/>
      <c r="C250" s="2"/>
      <c r="D250" s="2"/>
      <c r="E250" s="2"/>
      <c r="F250" s="3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ht="15.75" customHeight="1" x14ac:dyDescent="0.2">
      <c r="B251"/>
      <c r="C251" s="2"/>
      <c r="D251" s="2"/>
      <c r="E251" s="2"/>
      <c r="F251" s="3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ht="15.75" customHeight="1" x14ac:dyDescent="0.2">
      <c r="B252"/>
      <c r="C252" s="2"/>
      <c r="D252" s="2"/>
      <c r="E252" s="2"/>
      <c r="F252" s="3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ht="15.75" customHeight="1" x14ac:dyDescent="0.2">
      <c r="B253"/>
      <c r="C253" s="2"/>
      <c r="D253" s="2"/>
      <c r="E253" s="2"/>
      <c r="F253" s="3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ht="15.75" customHeight="1" x14ac:dyDescent="0.2">
      <c r="B254"/>
      <c r="C254" s="2"/>
      <c r="D254" s="2"/>
      <c r="E254" s="2"/>
      <c r="F254" s="3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ht="15.75" customHeight="1" x14ac:dyDescent="0.2">
      <c r="B255"/>
      <c r="C255" s="2"/>
      <c r="D255" s="2"/>
      <c r="E255" s="2"/>
      <c r="F255" s="3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ht="15.75" customHeight="1" x14ac:dyDescent="0.2">
      <c r="B256"/>
      <c r="C256" s="2"/>
      <c r="D256" s="2"/>
      <c r="E256" s="2"/>
      <c r="F256" s="3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ht="15.75" customHeight="1" x14ac:dyDescent="0.2">
      <c r="B257"/>
      <c r="C257" s="2"/>
      <c r="D257" s="2"/>
      <c r="E257" s="2"/>
      <c r="F257" s="3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ht="15.75" customHeight="1" x14ac:dyDescent="0.2">
      <c r="B258"/>
      <c r="C258" s="2"/>
      <c r="D258" s="2"/>
      <c r="E258" s="2"/>
      <c r="F258" s="3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ht="15.75" customHeight="1" x14ac:dyDescent="0.2">
      <c r="B259"/>
      <c r="C259" s="2"/>
      <c r="D259" s="2"/>
      <c r="E259" s="2"/>
      <c r="F259" s="3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ht="15.75" customHeight="1" x14ac:dyDescent="0.2">
      <c r="B260"/>
      <c r="C260" s="2"/>
      <c r="D260" s="2"/>
      <c r="E260" s="2"/>
      <c r="F260" s="3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ht="15.75" customHeight="1" x14ac:dyDescent="0.2">
      <c r="B261"/>
      <c r="C261" s="2"/>
      <c r="D261" s="2"/>
      <c r="E261" s="2"/>
      <c r="F261" s="3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ht="15.75" customHeight="1" x14ac:dyDescent="0.2">
      <c r="B262"/>
      <c r="C262" s="2"/>
      <c r="D262" s="2"/>
      <c r="E262" s="2"/>
      <c r="F262" s="3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ht="15.75" customHeight="1" x14ac:dyDescent="0.2">
      <c r="B263"/>
      <c r="C263" s="2"/>
      <c r="D263" s="2"/>
      <c r="E263" s="2"/>
      <c r="F263" s="3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ht="15.75" customHeight="1" x14ac:dyDescent="0.2">
      <c r="B264"/>
      <c r="C264" s="2"/>
      <c r="D264" s="2"/>
      <c r="E264" s="2"/>
      <c r="F264" s="3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ht="15.75" customHeight="1" x14ac:dyDescent="0.2">
      <c r="B265"/>
      <c r="C265" s="2"/>
      <c r="D265" s="2"/>
      <c r="E265" s="2"/>
      <c r="F265" s="3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ht="15.75" customHeight="1" x14ac:dyDescent="0.2">
      <c r="B266"/>
      <c r="C266" s="2"/>
      <c r="D266" s="2"/>
      <c r="E266" s="2"/>
      <c r="F266" s="3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2:35" ht="15.75" customHeight="1" x14ac:dyDescent="0.2">
      <c r="B267"/>
      <c r="C267" s="2"/>
      <c r="D267" s="2"/>
      <c r="E267" s="2"/>
      <c r="F267" s="3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2:35" ht="15.75" customHeight="1" x14ac:dyDescent="0.2">
      <c r="B268"/>
      <c r="C268" s="2"/>
      <c r="D268" s="2"/>
      <c r="E268" s="2"/>
      <c r="F268" s="3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2:35" ht="15.75" customHeight="1" x14ac:dyDescent="0.2">
      <c r="B269"/>
      <c r="C269" s="2"/>
      <c r="D269" s="2"/>
      <c r="E269" s="2"/>
      <c r="F269" s="3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2:35" ht="15.75" customHeight="1" x14ac:dyDescent="0.2">
      <c r="B270"/>
      <c r="C270" s="2"/>
      <c r="D270" s="2"/>
      <c r="E270" s="2"/>
      <c r="F270" s="3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35" ht="15.75" customHeight="1" x14ac:dyDescent="0.2">
      <c r="B271"/>
      <c r="C271" s="2"/>
      <c r="D271" s="2"/>
      <c r="E271" s="2"/>
      <c r="F271" s="3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35" ht="15.75" customHeight="1" x14ac:dyDescent="0.2">
      <c r="B272"/>
      <c r="C272" s="2"/>
      <c r="D272" s="2"/>
      <c r="E272" s="2"/>
      <c r="F272" s="3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2:35" ht="15.75" customHeight="1" x14ac:dyDescent="0.2">
      <c r="B273"/>
      <c r="C273" s="2"/>
      <c r="D273" s="2"/>
      <c r="E273" s="2"/>
      <c r="F273" s="3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2:35" ht="15.75" customHeight="1" x14ac:dyDescent="0.2">
      <c r="B274"/>
      <c r="C274" s="2"/>
      <c r="D274" s="2"/>
      <c r="E274" s="2"/>
      <c r="F274" s="3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2:35" ht="15.75" customHeight="1" x14ac:dyDescent="0.2">
      <c r="B275"/>
      <c r="C275" s="2"/>
      <c r="D275" s="2"/>
      <c r="E275" s="2"/>
      <c r="F275" s="3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2:35" ht="15.75" customHeight="1" x14ac:dyDescent="0.2">
      <c r="B276"/>
      <c r="C276" s="2"/>
      <c r="D276" s="2"/>
      <c r="E276" s="2"/>
      <c r="F276" s="3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2:35" ht="15.75" customHeight="1" x14ac:dyDescent="0.2">
      <c r="B277"/>
      <c r="C277" s="2"/>
      <c r="D277" s="2"/>
      <c r="E277" s="2"/>
      <c r="F277" s="3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2:35" ht="15.75" customHeight="1" x14ac:dyDescent="0.2">
      <c r="B278"/>
      <c r="C278" s="2"/>
      <c r="D278" s="2"/>
      <c r="E278" s="2"/>
      <c r="F278" s="3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2:35" ht="15.75" customHeight="1" x14ac:dyDescent="0.2">
      <c r="B279"/>
      <c r="C279" s="2"/>
      <c r="D279" s="2"/>
      <c r="E279" s="2"/>
      <c r="F279" s="3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2:35" ht="15.75" customHeight="1" x14ac:dyDescent="0.2">
      <c r="B280"/>
      <c r="C280" s="2"/>
      <c r="D280" s="2"/>
      <c r="E280" s="2"/>
      <c r="F280" s="3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2:35" ht="15.75" customHeight="1" x14ac:dyDescent="0.2">
      <c r="B281"/>
      <c r="C281" s="2"/>
      <c r="D281" s="2"/>
      <c r="E281" s="2"/>
      <c r="F281" s="3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2:35" ht="15.75" customHeight="1" x14ac:dyDescent="0.2">
      <c r="B282"/>
      <c r="C282" s="2"/>
      <c r="D282" s="2"/>
      <c r="E282" s="2"/>
      <c r="F282" s="3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2:35" ht="15.75" customHeight="1" x14ac:dyDescent="0.2">
      <c r="B283"/>
      <c r="C283" s="2"/>
      <c r="D283" s="2"/>
      <c r="E283" s="2"/>
      <c r="F283" s="3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2:35" ht="15.75" customHeight="1" x14ac:dyDescent="0.2">
      <c r="B284"/>
      <c r="C284" s="2"/>
      <c r="D284" s="2"/>
      <c r="E284" s="2"/>
      <c r="F284" s="3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2:35" ht="15.75" customHeight="1" x14ac:dyDescent="0.2">
      <c r="B285"/>
      <c r="C285" s="2"/>
      <c r="D285" s="2"/>
      <c r="E285" s="2"/>
      <c r="F285" s="3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2:35" ht="15.75" customHeight="1" x14ac:dyDescent="0.2">
      <c r="B286"/>
      <c r="C286" s="2"/>
      <c r="D286" s="2"/>
      <c r="E286" s="2"/>
      <c r="F286" s="3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2:35" ht="15.75" customHeight="1" x14ac:dyDescent="0.2">
      <c r="B287"/>
      <c r="C287" s="2"/>
      <c r="D287" s="2"/>
      <c r="E287" s="2"/>
      <c r="F287" s="3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2:35" ht="15.75" customHeight="1" x14ac:dyDescent="0.2">
      <c r="B288"/>
      <c r="C288" s="2"/>
      <c r="D288" s="2"/>
      <c r="E288" s="2"/>
      <c r="F288" s="3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2:35" ht="15.75" customHeight="1" x14ac:dyDescent="0.2">
      <c r="B289"/>
      <c r="C289" s="2"/>
      <c r="D289" s="2"/>
      <c r="E289" s="2"/>
      <c r="F289" s="3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2:35" ht="15.75" customHeight="1" x14ac:dyDescent="0.2">
      <c r="B290"/>
      <c r="C290" s="2"/>
      <c r="D290" s="2"/>
      <c r="E290" s="2"/>
      <c r="F290" s="3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2:35" ht="15.75" customHeight="1" x14ac:dyDescent="0.2">
      <c r="B291"/>
      <c r="C291" s="2"/>
      <c r="D291" s="2"/>
      <c r="E291" s="2"/>
      <c r="F291" s="3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2:35" ht="15.75" customHeight="1" x14ac:dyDescent="0.2">
      <c r="B292"/>
      <c r="C292" s="2"/>
      <c r="D292" s="2"/>
      <c r="E292" s="2"/>
      <c r="F292" s="3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2:35" ht="15.75" customHeight="1" x14ac:dyDescent="0.2">
      <c r="B293"/>
      <c r="C293" s="2"/>
      <c r="D293" s="2"/>
      <c r="E293" s="2"/>
      <c r="F293" s="3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2:35" ht="15.75" customHeight="1" x14ac:dyDescent="0.2">
      <c r="B294"/>
      <c r="C294" s="2"/>
      <c r="D294" s="2"/>
      <c r="E294" s="2"/>
      <c r="F294" s="3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2:35" ht="15.75" customHeight="1" x14ac:dyDescent="0.2">
      <c r="B295"/>
      <c r="C295" s="2"/>
      <c r="D295" s="2"/>
      <c r="E295" s="2"/>
      <c r="F295" s="3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2:35" ht="15.75" customHeight="1" x14ac:dyDescent="0.2">
      <c r="B296"/>
      <c r="C296" s="2"/>
      <c r="D296" s="2"/>
      <c r="E296" s="2"/>
      <c r="F296" s="3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2:35" ht="15.75" customHeight="1" x14ac:dyDescent="0.2">
      <c r="B297"/>
      <c r="C297" s="2"/>
      <c r="D297" s="2"/>
      <c r="E297" s="2"/>
      <c r="F297" s="3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2:35" ht="15.75" customHeight="1" x14ac:dyDescent="0.2">
      <c r="B298"/>
      <c r="C298" s="2"/>
      <c r="D298" s="2"/>
      <c r="E298" s="2"/>
      <c r="F298" s="3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2:35" ht="15.75" customHeight="1" x14ac:dyDescent="0.2">
      <c r="B299"/>
      <c r="C299" s="2"/>
      <c r="D299" s="2"/>
      <c r="E299" s="2"/>
      <c r="F299" s="3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2:35" ht="15.75" customHeight="1" x14ac:dyDescent="0.2">
      <c r="B300"/>
      <c r="C300" s="2"/>
      <c r="D300" s="2"/>
      <c r="E300" s="2"/>
      <c r="F300" s="3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2:35" ht="15.75" customHeight="1" x14ac:dyDescent="0.2">
      <c r="B301"/>
      <c r="C301" s="2"/>
      <c r="D301" s="2"/>
      <c r="E301" s="2"/>
      <c r="F301" s="3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2:35" ht="15.75" customHeight="1" x14ac:dyDescent="0.2">
      <c r="B302"/>
      <c r="C302" s="2"/>
      <c r="D302" s="2"/>
      <c r="E302" s="2"/>
      <c r="F302" s="3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2:35" ht="15.75" customHeight="1" x14ac:dyDescent="0.2">
      <c r="B303"/>
      <c r="C303" s="2"/>
      <c r="D303" s="2"/>
      <c r="E303" s="2"/>
      <c r="F303" s="3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2:35" ht="15.75" customHeight="1" x14ac:dyDescent="0.2">
      <c r="B304"/>
      <c r="C304" s="2"/>
      <c r="D304" s="2"/>
      <c r="E304" s="2"/>
      <c r="F304" s="3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2:35" ht="15.75" customHeight="1" x14ac:dyDescent="0.2">
      <c r="B305"/>
      <c r="C305" s="2"/>
      <c r="D305" s="2"/>
      <c r="E305" s="2"/>
      <c r="F305" s="3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2:35" ht="15.75" customHeight="1" x14ac:dyDescent="0.2">
      <c r="B306"/>
      <c r="C306" s="2"/>
      <c r="D306" s="2"/>
      <c r="E306" s="2"/>
      <c r="F306" s="3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2:35" ht="15.75" customHeight="1" x14ac:dyDescent="0.2">
      <c r="B307"/>
      <c r="C307" s="2"/>
      <c r="D307" s="2"/>
      <c r="E307" s="2"/>
      <c r="F307" s="3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2:35" ht="15.75" customHeight="1" x14ac:dyDescent="0.2">
      <c r="B308"/>
      <c r="C308" s="2"/>
      <c r="D308" s="2"/>
      <c r="E308" s="2"/>
      <c r="F308" s="3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2:35" ht="15.75" customHeight="1" x14ac:dyDescent="0.2">
      <c r="B309"/>
      <c r="C309" s="2"/>
      <c r="D309" s="2"/>
      <c r="E309" s="2"/>
      <c r="F309" s="3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2:35" ht="15.75" customHeight="1" x14ac:dyDescent="0.2">
      <c r="B310"/>
      <c r="C310" s="2"/>
      <c r="D310" s="2"/>
      <c r="E310" s="2"/>
      <c r="F310" s="3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2:35" ht="15.75" customHeight="1" x14ac:dyDescent="0.2">
      <c r="B311"/>
      <c r="C311" s="2"/>
      <c r="D311" s="2"/>
      <c r="E311" s="2"/>
      <c r="F311" s="3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2:35" ht="15.75" customHeight="1" x14ac:dyDescent="0.2">
      <c r="B312"/>
      <c r="C312" s="2"/>
      <c r="D312" s="2"/>
      <c r="E312" s="2"/>
      <c r="F312" s="3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2:35" ht="15.75" customHeight="1" x14ac:dyDescent="0.2">
      <c r="B313"/>
      <c r="C313" s="2"/>
      <c r="D313" s="2"/>
      <c r="E313" s="2"/>
      <c r="F313" s="3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2:35" ht="15.75" customHeight="1" x14ac:dyDescent="0.2">
      <c r="B314"/>
      <c r="C314" s="2"/>
      <c r="D314" s="2"/>
      <c r="E314" s="2"/>
      <c r="F314" s="3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2:35" ht="15.75" customHeight="1" x14ac:dyDescent="0.2">
      <c r="B315"/>
      <c r="C315" s="2"/>
      <c r="D315" s="2"/>
      <c r="E315" s="2"/>
      <c r="F315" s="3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2:35" ht="15.75" customHeight="1" x14ac:dyDescent="0.2">
      <c r="B316"/>
      <c r="C316" s="2"/>
      <c r="D316" s="2"/>
      <c r="E316" s="2"/>
      <c r="F316" s="3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2:35" ht="15.75" customHeight="1" x14ac:dyDescent="0.2">
      <c r="B317"/>
      <c r="C317" s="2"/>
      <c r="D317" s="2"/>
      <c r="E317" s="2"/>
      <c r="F317" s="3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2:35" ht="15.75" customHeight="1" x14ac:dyDescent="0.2">
      <c r="B318"/>
      <c r="C318" s="2"/>
      <c r="D318" s="2"/>
      <c r="E318" s="2"/>
      <c r="F318" s="3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2:35" ht="15.75" customHeight="1" x14ac:dyDescent="0.2">
      <c r="B319"/>
      <c r="C319" s="2"/>
      <c r="D319" s="2"/>
      <c r="E319" s="2"/>
      <c r="F319" s="3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2:35" ht="15.75" customHeight="1" x14ac:dyDescent="0.2">
      <c r="B320"/>
      <c r="C320" s="2"/>
      <c r="D320" s="2"/>
      <c r="E320" s="2"/>
      <c r="F320" s="3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2:35" ht="15.75" customHeight="1" x14ac:dyDescent="0.2">
      <c r="B321"/>
      <c r="C321" s="2"/>
      <c r="D321" s="2"/>
      <c r="E321" s="2"/>
      <c r="F321" s="3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2:35" ht="15.75" customHeight="1" x14ac:dyDescent="0.2">
      <c r="B322"/>
      <c r="C322" s="2"/>
      <c r="D322" s="2"/>
      <c r="E322" s="2"/>
      <c r="F322" s="3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2:35" ht="15.75" customHeight="1" x14ac:dyDescent="0.2">
      <c r="B323"/>
      <c r="C323" s="2"/>
      <c r="D323" s="2"/>
      <c r="E323" s="2"/>
      <c r="F323" s="3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2:35" ht="15.75" customHeight="1" x14ac:dyDescent="0.2">
      <c r="B324"/>
      <c r="C324" s="2"/>
      <c r="D324" s="2"/>
      <c r="E324" s="2"/>
      <c r="F324" s="3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2:35" ht="15.75" customHeight="1" x14ac:dyDescent="0.2">
      <c r="B325"/>
      <c r="C325" s="2"/>
      <c r="D325" s="2"/>
      <c r="E325" s="2"/>
      <c r="F325" s="3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2:35" ht="15.75" customHeight="1" x14ac:dyDescent="0.2">
      <c r="B326"/>
      <c r="C326" s="2"/>
      <c r="D326" s="2"/>
      <c r="E326" s="2"/>
      <c r="F326" s="3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2:35" ht="15.75" customHeight="1" x14ac:dyDescent="0.2">
      <c r="B327"/>
      <c r="C327" s="2"/>
      <c r="D327" s="2"/>
      <c r="E327" s="2"/>
      <c r="F327" s="3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2:35" ht="15.75" customHeight="1" x14ac:dyDescent="0.2">
      <c r="B328"/>
      <c r="C328" s="2"/>
      <c r="D328" s="2"/>
      <c r="E328" s="2"/>
      <c r="F328" s="3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2:35" ht="15.75" customHeight="1" x14ac:dyDescent="0.2">
      <c r="B329"/>
      <c r="C329" s="2"/>
      <c r="D329" s="2"/>
      <c r="E329" s="2"/>
      <c r="F329" s="3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2:35" ht="15.75" customHeight="1" x14ac:dyDescent="0.2">
      <c r="B330"/>
      <c r="C330" s="2"/>
      <c r="D330" s="2"/>
      <c r="E330" s="2"/>
      <c r="F330" s="3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2:35" ht="15.75" customHeight="1" x14ac:dyDescent="0.2">
      <c r="B331"/>
      <c r="C331" s="2"/>
      <c r="D331" s="2"/>
      <c r="E331" s="2"/>
      <c r="F331" s="3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2:35" ht="15.75" customHeight="1" x14ac:dyDescent="0.2">
      <c r="B332"/>
      <c r="C332" s="2"/>
      <c r="D332" s="2"/>
      <c r="E332" s="2"/>
      <c r="F332" s="3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2:35" ht="15.75" customHeight="1" x14ac:dyDescent="0.2">
      <c r="B333"/>
      <c r="C333" s="2"/>
      <c r="D333" s="2"/>
      <c r="E333" s="2"/>
      <c r="F333" s="3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2:35" ht="15.75" customHeight="1" x14ac:dyDescent="0.2">
      <c r="B334"/>
      <c r="C334" s="2"/>
      <c r="D334" s="2"/>
      <c r="E334" s="2"/>
      <c r="F334" s="3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2:35" ht="15.75" customHeight="1" x14ac:dyDescent="0.2">
      <c r="B335"/>
      <c r="C335" s="2"/>
      <c r="D335" s="2"/>
      <c r="E335" s="2"/>
      <c r="F335" s="3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2:35" ht="15.75" customHeight="1" x14ac:dyDescent="0.2">
      <c r="B336"/>
      <c r="C336" s="2"/>
      <c r="D336" s="2"/>
      <c r="E336" s="2"/>
      <c r="F336" s="3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2:35" ht="15.75" customHeight="1" x14ac:dyDescent="0.2">
      <c r="B337"/>
      <c r="C337" s="2"/>
      <c r="D337" s="2"/>
      <c r="E337" s="2"/>
      <c r="F337" s="3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2:35" ht="15.75" customHeight="1" x14ac:dyDescent="0.2">
      <c r="B338"/>
      <c r="C338" s="2"/>
      <c r="D338" s="2"/>
      <c r="E338" s="2"/>
      <c r="F338" s="3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2:35" ht="15.75" customHeight="1" x14ac:dyDescent="0.2">
      <c r="B339"/>
      <c r="C339" s="2"/>
      <c r="D339" s="2"/>
      <c r="E339" s="2"/>
      <c r="F339" s="3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2:35" ht="15.75" customHeight="1" x14ac:dyDescent="0.2">
      <c r="B340"/>
      <c r="C340" s="2"/>
      <c r="D340" s="2"/>
      <c r="E340" s="2"/>
      <c r="F340" s="3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2:35" ht="15.75" customHeight="1" x14ac:dyDescent="0.2">
      <c r="B341"/>
      <c r="C341" s="2"/>
      <c r="D341" s="2"/>
      <c r="E341" s="2"/>
      <c r="F341" s="3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2:35" ht="15.75" customHeight="1" x14ac:dyDescent="0.2">
      <c r="B342"/>
      <c r="C342" s="2"/>
      <c r="D342" s="2"/>
      <c r="E342" s="2"/>
      <c r="F342" s="3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2:35" ht="15.75" customHeight="1" x14ac:dyDescent="0.2">
      <c r="B343"/>
      <c r="C343" s="2"/>
      <c r="D343" s="2"/>
      <c r="E343" s="2"/>
      <c r="F343" s="3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2:35" ht="15.75" customHeight="1" x14ac:dyDescent="0.2">
      <c r="B344"/>
      <c r="C344" s="2"/>
      <c r="D344" s="2"/>
      <c r="E344" s="2"/>
      <c r="F344" s="3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2:35" ht="15.75" customHeight="1" x14ac:dyDescent="0.2">
      <c r="B345"/>
      <c r="C345" s="2"/>
      <c r="D345" s="2"/>
      <c r="E345" s="2"/>
      <c r="F345" s="3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2:35" ht="15.75" customHeight="1" x14ac:dyDescent="0.2">
      <c r="B346"/>
      <c r="C346" s="2"/>
      <c r="D346" s="2"/>
      <c r="E346" s="2"/>
      <c r="F346" s="3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2:35" ht="15.75" customHeight="1" x14ac:dyDescent="0.2">
      <c r="B347"/>
      <c r="C347" s="2"/>
      <c r="D347" s="2"/>
      <c r="E347" s="2"/>
      <c r="F347" s="3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2:35" ht="15.75" customHeight="1" x14ac:dyDescent="0.2">
      <c r="B348"/>
      <c r="C348" s="2"/>
      <c r="D348" s="2"/>
      <c r="E348" s="2"/>
      <c r="F348" s="3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2:35" ht="15.75" customHeight="1" x14ac:dyDescent="0.2">
      <c r="B349"/>
      <c r="C349" s="2"/>
      <c r="D349" s="2"/>
      <c r="E349" s="2"/>
      <c r="F349" s="3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2:35" ht="15.75" customHeight="1" x14ac:dyDescent="0.2">
      <c r="B350"/>
      <c r="C350" s="2"/>
      <c r="D350" s="2"/>
      <c r="E350" s="2"/>
      <c r="F350" s="3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2:35" ht="15.75" customHeight="1" x14ac:dyDescent="0.2">
      <c r="B351"/>
      <c r="C351" s="2"/>
      <c r="D351" s="2"/>
      <c r="E351" s="2"/>
      <c r="F351" s="3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2:35" ht="15.75" customHeight="1" x14ac:dyDescent="0.2">
      <c r="B352"/>
      <c r="C352" s="2"/>
      <c r="D352" s="2"/>
      <c r="E352" s="2"/>
      <c r="F352" s="3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2:35" ht="15.75" customHeight="1" x14ac:dyDescent="0.2">
      <c r="B353"/>
      <c r="C353" s="2"/>
      <c r="D353" s="2"/>
      <c r="E353" s="2"/>
      <c r="F353" s="3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2:35" ht="15.75" customHeight="1" x14ac:dyDescent="0.2">
      <c r="B354"/>
      <c r="C354" s="2"/>
      <c r="D354" s="2"/>
      <c r="E354" s="2"/>
      <c r="F354" s="3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2:35" ht="15.75" customHeight="1" x14ac:dyDescent="0.2">
      <c r="B355"/>
      <c r="C355" s="2"/>
      <c r="D355" s="2"/>
      <c r="E355" s="2"/>
      <c r="F355" s="3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2:35" ht="15.75" customHeight="1" x14ac:dyDescent="0.2">
      <c r="B356"/>
      <c r="C356" s="2"/>
      <c r="D356" s="2"/>
      <c r="E356" s="2"/>
      <c r="F356" s="3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2:35" ht="15.75" customHeight="1" x14ac:dyDescent="0.2">
      <c r="B357"/>
      <c r="C357" s="2"/>
      <c r="D357" s="2"/>
      <c r="E357" s="2"/>
      <c r="F357" s="3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2:35" ht="15.75" customHeight="1" x14ac:dyDescent="0.2">
      <c r="B358"/>
      <c r="C358" s="2"/>
      <c r="D358" s="2"/>
      <c r="E358" s="2"/>
      <c r="F358" s="3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2:35" ht="15.75" customHeight="1" x14ac:dyDescent="0.2">
      <c r="B359"/>
      <c r="C359" s="2"/>
      <c r="D359" s="2"/>
      <c r="E359" s="2"/>
      <c r="F359" s="3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2:35" ht="15.75" customHeight="1" x14ac:dyDescent="0.2">
      <c r="B360"/>
      <c r="C360" s="2"/>
      <c r="D360" s="2"/>
      <c r="E360" s="2"/>
      <c r="F360" s="3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2:35" ht="15.75" customHeight="1" x14ac:dyDescent="0.2">
      <c r="B361"/>
      <c r="C361" s="2"/>
      <c r="D361" s="2"/>
      <c r="E361" s="2"/>
      <c r="F361" s="3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2:35" ht="15.75" customHeight="1" x14ac:dyDescent="0.2">
      <c r="B362"/>
      <c r="C362" s="2"/>
      <c r="D362" s="2"/>
      <c r="E362" s="2"/>
      <c r="F362" s="3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2:35" ht="15.75" customHeight="1" x14ac:dyDescent="0.2">
      <c r="B363"/>
      <c r="C363" s="2"/>
      <c r="D363" s="2"/>
      <c r="E363" s="2"/>
      <c r="F363" s="3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2:35" ht="15.75" customHeight="1" x14ac:dyDescent="0.2">
      <c r="B364"/>
      <c r="C364" s="2"/>
      <c r="D364" s="2"/>
      <c r="E364" s="2"/>
      <c r="F364" s="3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2:35" ht="15.75" customHeight="1" x14ac:dyDescent="0.2">
      <c r="B365"/>
      <c r="C365" s="2"/>
      <c r="D365" s="2"/>
      <c r="E365" s="2"/>
      <c r="F365" s="3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2:35" ht="15.75" customHeight="1" x14ac:dyDescent="0.2">
      <c r="B366"/>
      <c r="C366" s="2"/>
      <c r="D366" s="2"/>
      <c r="E366" s="2"/>
      <c r="F366" s="3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2:35" ht="15.75" customHeight="1" x14ac:dyDescent="0.2">
      <c r="B367"/>
      <c r="C367" s="2"/>
      <c r="D367" s="2"/>
      <c r="E367" s="2"/>
      <c r="F367" s="3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2:35" ht="15.75" customHeight="1" x14ac:dyDescent="0.2">
      <c r="B368"/>
      <c r="C368" s="2"/>
      <c r="D368" s="2"/>
      <c r="E368" s="2"/>
      <c r="F368" s="3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2:35" ht="15.75" customHeight="1" x14ac:dyDescent="0.2">
      <c r="B369"/>
      <c r="C369" s="2"/>
      <c r="D369" s="2"/>
      <c r="E369" s="2"/>
      <c r="F369" s="3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2:35" ht="15.75" customHeight="1" x14ac:dyDescent="0.2">
      <c r="B370"/>
      <c r="C370" s="2"/>
      <c r="D370" s="2"/>
      <c r="E370" s="2"/>
      <c r="F370" s="3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2:35" ht="15.75" customHeight="1" x14ac:dyDescent="0.2">
      <c r="B371"/>
      <c r="C371" s="2"/>
      <c r="D371" s="2"/>
      <c r="E371" s="2"/>
      <c r="F371" s="3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2:35" ht="15.75" customHeight="1" x14ac:dyDescent="0.2">
      <c r="B372"/>
      <c r="C372" s="2"/>
      <c r="D372" s="2"/>
      <c r="E372" s="2"/>
      <c r="F372" s="3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2:35" ht="15.75" customHeight="1" x14ac:dyDescent="0.2">
      <c r="B373"/>
      <c r="C373" s="2"/>
      <c r="D373" s="2"/>
      <c r="E373" s="2"/>
      <c r="F373" s="3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2:35" ht="15.75" customHeight="1" x14ac:dyDescent="0.2">
      <c r="B374"/>
      <c r="C374" s="2"/>
      <c r="D374" s="2"/>
      <c r="E374" s="2"/>
      <c r="F374" s="3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2:35" ht="15.75" customHeight="1" x14ac:dyDescent="0.2">
      <c r="B375"/>
      <c r="C375" s="2"/>
      <c r="D375" s="2"/>
      <c r="E375" s="2"/>
      <c r="F375" s="3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2:35" ht="15.75" customHeight="1" x14ac:dyDescent="0.2">
      <c r="B376"/>
      <c r="C376" s="2"/>
      <c r="D376" s="2"/>
      <c r="E376" s="2"/>
      <c r="F376" s="3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2:35" ht="15.75" customHeight="1" x14ac:dyDescent="0.2">
      <c r="B377"/>
      <c r="C377" s="2"/>
      <c r="D377" s="2"/>
      <c r="E377" s="2"/>
      <c r="F377" s="3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2:35" ht="15.75" customHeight="1" x14ac:dyDescent="0.2">
      <c r="B378"/>
      <c r="C378" s="2"/>
      <c r="D378" s="2"/>
      <c r="E378" s="2"/>
      <c r="F378" s="3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2:35" ht="15.75" customHeight="1" x14ac:dyDescent="0.2">
      <c r="B379"/>
      <c r="C379" s="2"/>
      <c r="D379" s="2"/>
      <c r="E379" s="2"/>
      <c r="F379" s="3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2:35" ht="15.75" customHeight="1" x14ac:dyDescent="0.2">
      <c r="B380"/>
      <c r="C380" s="2"/>
      <c r="D380" s="2"/>
      <c r="E380" s="2"/>
      <c r="F380" s="3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2:35" ht="15.75" customHeight="1" x14ac:dyDescent="0.2">
      <c r="B381"/>
      <c r="C381" s="2"/>
      <c r="D381" s="2"/>
      <c r="E381" s="2"/>
      <c r="F381" s="3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2:35" ht="15.75" customHeight="1" x14ac:dyDescent="0.2">
      <c r="B382"/>
      <c r="C382" s="2"/>
      <c r="D382" s="2"/>
      <c r="E382" s="2"/>
      <c r="F382" s="3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2:35" ht="15.75" customHeight="1" x14ac:dyDescent="0.2">
      <c r="B383"/>
      <c r="C383" s="2"/>
      <c r="D383" s="2"/>
      <c r="E383" s="2"/>
      <c r="F383" s="3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2:35" ht="15.75" customHeight="1" x14ac:dyDescent="0.2">
      <c r="B384"/>
      <c r="C384" s="2"/>
      <c r="D384" s="2"/>
      <c r="E384" s="2"/>
      <c r="F384" s="3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2:35" ht="15.75" customHeight="1" x14ac:dyDescent="0.2">
      <c r="B385"/>
      <c r="C385" s="2"/>
      <c r="D385" s="2"/>
      <c r="E385" s="2"/>
      <c r="F385" s="3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2:35" ht="15.75" customHeight="1" x14ac:dyDescent="0.2">
      <c r="B386"/>
      <c r="C386" s="2"/>
      <c r="D386" s="2"/>
      <c r="E386" s="2"/>
      <c r="F386" s="3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2:35" ht="15.75" customHeight="1" x14ac:dyDescent="0.2">
      <c r="B387"/>
      <c r="C387" s="2"/>
      <c r="D387" s="2"/>
      <c r="E387" s="2"/>
      <c r="F387" s="3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2:35" ht="15.75" customHeight="1" x14ac:dyDescent="0.2">
      <c r="B388"/>
      <c r="C388" s="2"/>
      <c r="D388" s="2"/>
      <c r="E388" s="2"/>
      <c r="F388" s="3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2:35" ht="15.75" customHeight="1" x14ac:dyDescent="0.2">
      <c r="B389"/>
      <c r="C389" s="2"/>
      <c r="D389" s="2"/>
      <c r="E389" s="2"/>
      <c r="F389" s="3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2:35" ht="15.75" customHeight="1" x14ac:dyDescent="0.2">
      <c r="B390"/>
      <c r="C390" s="2"/>
      <c r="D390" s="2"/>
      <c r="E390" s="2"/>
      <c r="F390" s="3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2:35" ht="15.75" customHeight="1" x14ac:dyDescent="0.2">
      <c r="B391"/>
      <c r="C391" s="2"/>
      <c r="D391" s="2"/>
      <c r="E391" s="2"/>
      <c r="F391" s="3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2:35" ht="15.75" customHeight="1" x14ac:dyDescent="0.2">
      <c r="B392"/>
      <c r="C392" s="2"/>
      <c r="D392" s="2"/>
      <c r="E392" s="2"/>
      <c r="F392" s="3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2:35" ht="15.75" customHeight="1" x14ac:dyDescent="0.2">
      <c r="B393"/>
      <c r="C393" s="2"/>
      <c r="D393" s="2"/>
      <c r="E393" s="2"/>
      <c r="F393" s="3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2:35" ht="15.75" customHeight="1" x14ac:dyDescent="0.2">
      <c r="B394"/>
      <c r="C394" s="2"/>
      <c r="D394" s="2"/>
      <c r="E394" s="2"/>
      <c r="F394" s="3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2:35" ht="15.75" customHeight="1" x14ac:dyDescent="0.2">
      <c r="B395"/>
      <c r="C395" s="2"/>
      <c r="D395" s="2"/>
      <c r="E395" s="2"/>
      <c r="F395" s="3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2:35" ht="15.75" customHeight="1" x14ac:dyDescent="0.2">
      <c r="B396"/>
      <c r="C396" s="2"/>
      <c r="D396" s="2"/>
      <c r="E396" s="2"/>
      <c r="F396" s="3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2:35" ht="15.75" customHeight="1" x14ac:dyDescent="0.2">
      <c r="B397"/>
      <c r="C397" s="2"/>
      <c r="D397" s="2"/>
      <c r="E397" s="2"/>
      <c r="F397" s="3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2:35" ht="15.75" customHeight="1" x14ac:dyDescent="0.2">
      <c r="B398"/>
      <c r="C398" s="2"/>
      <c r="D398" s="2"/>
      <c r="E398" s="2"/>
      <c r="F398" s="3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2:35" ht="15.75" customHeight="1" x14ac:dyDescent="0.2">
      <c r="B399"/>
      <c r="C399" s="2"/>
      <c r="D399" s="2"/>
      <c r="E399" s="2"/>
      <c r="F399" s="3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2:35" ht="15.75" customHeight="1" x14ac:dyDescent="0.2">
      <c r="B400"/>
      <c r="C400" s="2"/>
      <c r="D400" s="2"/>
      <c r="E400" s="2"/>
      <c r="F400" s="3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2:35" ht="15.75" customHeight="1" x14ac:dyDescent="0.2">
      <c r="B401"/>
      <c r="C401" s="2"/>
      <c r="D401" s="2"/>
      <c r="E401" s="2"/>
      <c r="F401" s="3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2:35" ht="15.75" customHeight="1" x14ac:dyDescent="0.2">
      <c r="B402"/>
      <c r="C402" s="2"/>
      <c r="D402" s="2"/>
      <c r="E402" s="2"/>
      <c r="F402" s="3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2:35" ht="15.75" customHeight="1" x14ac:dyDescent="0.2">
      <c r="B403"/>
      <c r="C403" s="2"/>
      <c r="D403" s="2"/>
      <c r="E403" s="2"/>
      <c r="F403" s="3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2:35" ht="15.75" customHeight="1" x14ac:dyDescent="0.2">
      <c r="B404"/>
      <c r="C404" s="2"/>
      <c r="D404" s="2"/>
      <c r="E404" s="2"/>
      <c r="F404" s="3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2:35" ht="15.75" customHeight="1" x14ac:dyDescent="0.2">
      <c r="B405"/>
      <c r="C405" s="2"/>
      <c r="D405" s="2"/>
      <c r="E405" s="2"/>
      <c r="F405" s="3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2:35" ht="15.75" customHeight="1" x14ac:dyDescent="0.2">
      <c r="B406"/>
      <c r="C406" s="2"/>
      <c r="D406" s="2"/>
      <c r="E406" s="2"/>
      <c r="F406" s="3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2:35" ht="15.75" customHeight="1" x14ac:dyDescent="0.2">
      <c r="B407"/>
      <c r="C407" s="2"/>
      <c r="D407" s="2"/>
      <c r="E407" s="2"/>
      <c r="F407" s="3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2:35" ht="15.75" customHeight="1" x14ac:dyDescent="0.2">
      <c r="B408"/>
      <c r="C408" s="2"/>
      <c r="D408" s="2"/>
      <c r="E408" s="2"/>
      <c r="F408" s="3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2:35" ht="15.75" customHeight="1" x14ac:dyDescent="0.2">
      <c r="B409"/>
      <c r="C409" s="2"/>
      <c r="D409" s="2"/>
      <c r="E409" s="2"/>
      <c r="F409" s="3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2:35" ht="15.75" customHeight="1" x14ac:dyDescent="0.2">
      <c r="B410"/>
      <c r="C410" s="2"/>
      <c r="D410" s="2"/>
      <c r="E410" s="2"/>
      <c r="F410" s="3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2:35" ht="15.75" customHeight="1" x14ac:dyDescent="0.2">
      <c r="B411"/>
      <c r="C411" s="2"/>
      <c r="D411" s="2"/>
      <c r="E411" s="2"/>
      <c r="F411" s="3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2:35" ht="15.75" customHeight="1" x14ac:dyDescent="0.2">
      <c r="B412"/>
      <c r="C412" s="2"/>
      <c r="D412" s="2"/>
      <c r="E412" s="2"/>
      <c r="F412" s="3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2:35" ht="15.75" customHeight="1" x14ac:dyDescent="0.2">
      <c r="B413"/>
      <c r="C413" s="2"/>
      <c r="D413" s="2"/>
      <c r="E413" s="2"/>
      <c r="F413" s="3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2:35" ht="15.75" customHeight="1" x14ac:dyDescent="0.2">
      <c r="B414"/>
      <c r="C414" s="2"/>
      <c r="D414" s="2"/>
      <c r="E414" s="2"/>
      <c r="F414" s="3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2:35" ht="15.75" customHeight="1" x14ac:dyDescent="0.2">
      <c r="B415"/>
      <c r="C415" s="2"/>
      <c r="D415" s="2"/>
      <c r="E415" s="2"/>
      <c r="F415" s="3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2:35" ht="15.75" customHeight="1" x14ac:dyDescent="0.2">
      <c r="B416"/>
      <c r="C416" s="2"/>
      <c r="D416" s="2"/>
      <c r="E416" s="2"/>
      <c r="F416" s="3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2:35" ht="15.75" customHeight="1" x14ac:dyDescent="0.2">
      <c r="B417"/>
      <c r="C417" s="2"/>
      <c r="D417" s="2"/>
      <c r="E417" s="2"/>
      <c r="F417" s="3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2:35" ht="15.75" customHeight="1" x14ac:dyDescent="0.2">
      <c r="B418"/>
      <c r="C418" s="2"/>
      <c r="D418" s="2"/>
      <c r="E418" s="2"/>
      <c r="F418" s="3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2:35" ht="15.75" customHeight="1" x14ac:dyDescent="0.2">
      <c r="B419"/>
      <c r="C419" s="2"/>
      <c r="D419" s="2"/>
      <c r="E419" s="2"/>
      <c r="F419" s="3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2:35" ht="15.75" customHeight="1" x14ac:dyDescent="0.2">
      <c r="B420"/>
      <c r="C420" s="2"/>
      <c r="D420" s="2"/>
      <c r="E420" s="2"/>
      <c r="F420" s="3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2:35" ht="15.75" customHeight="1" x14ac:dyDescent="0.2">
      <c r="B421"/>
      <c r="C421" s="2"/>
      <c r="D421" s="2"/>
      <c r="E421" s="2"/>
      <c r="F421" s="3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2:35" ht="15.75" customHeight="1" x14ac:dyDescent="0.2">
      <c r="B422"/>
      <c r="C422" s="2"/>
      <c r="D422" s="2"/>
      <c r="E422" s="2"/>
      <c r="F422" s="3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2:35" ht="15.75" customHeight="1" x14ac:dyDescent="0.2">
      <c r="B423"/>
      <c r="C423" s="2"/>
      <c r="D423" s="2"/>
      <c r="E423" s="2"/>
      <c r="F423" s="3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2:35" ht="15.75" customHeight="1" x14ac:dyDescent="0.2">
      <c r="B424"/>
      <c r="C424" s="2"/>
      <c r="D424" s="2"/>
      <c r="E424" s="2"/>
      <c r="F424" s="3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2:35" ht="15.75" customHeight="1" x14ac:dyDescent="0.2">
      <c r="B425"/>
      <c r="C425" s="2"/>
      <c r="D425" s="2"/>
      <c r="E425" s="2"/>
      <c r="F425" s="3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2:35" ht="15.75" customHeight="1" x14ac:dyDescent="0.2">
      <c r="B426"/>
      <c r="C426" s="2"/>
      <c r="D426" s="2"/>
      <c r="E426" s="2"/>
      <c r="F426" s="3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2:35" ht="15.75" customHeight="1" x14ac:dyDescent="0.2">
      <c r="B427"/>
      <c r="C427" s="2"/>
      <c r="D427" s="2"/>
      <c r="E427" s="2"/>
      <c r="F427" s="3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2:35" ht="15.75" customHeight="1" x14ac:dyDescent="0.2">
      <c r="B428"/>
      <c r="C428" s="2"/>
      <c r="D428" s="2"/>
      <c r="E428" s="2"/>
      <c r="F428" s="3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2:35" ht="15.75" customHeight="1" x14ac:dyDescent="0.2">
      <c r="B429"/>
      <c r="C429" s="2"/>
      <c r="D429" s="2"/>
      <c r="E429" s="2"/>
      <c r="F429" s="3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2:35" ht="15.75" customHeight="1" x14ac:dyDescent="0.2">
      <c r="B430"/>
      <c r="C430" s="2"/>
      <c r="D430" s="2"/>
      <c r="E430" s="2"/>
      <c r="F430" s="3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2:35" ht="15.75" customHeight="1" x14ac:dyDescent="0.2">
      <c r="B431"/>
      <c r="C431" s="2"/>
      <c r="D431" s="2"/>
      <c r="E431" s="2"/>
      <c r="F431" s="3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2:35" ht="15.75" customHeight="1" x14ac:dyDescent="0.2">
      <c r="B432"/>
      <c r="C432" s="2"/>
      <c r="D432" s="2"/>
      <c r="E432" s="2"/>
      <c r="F432" s="3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2:35" ht="15.75" customHeight="1" x14ac:dyDescent="0.2">
      <c r="B433"/>
      <c r="C433" s="2"/>
      <c r="D433" s="2"/>
      <c r="E433" s="2"/>
      <c r="F433" s="3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2:35" ht="15.75" customHeight="1" x14ac:dyDescent="0.2">
      <c r="B434"/>
      <c r="C434" s="2"/>
      <c r="D434" s="2"/>
      <c r="E434" s="2"/>
      <c r="F434" s="3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2:35" ht="15.75" customHeight="1" x14ac:dyDescent="0.2">
      <c r="B435"/>
      <c r="C435" s="2"/>
      <c r="D435" s="2"/>
      <c r="E435" s="2"/>
      <c r="F435" s="3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2:35" ht="15.75" customHeight="1" x14ac:dyDescent="0.2">
      <c r="B436"/>
      <c r="C436" s="2"/>
      <c r="D436" s="2"/>
      <c r="E436" s="2"/>
      <c r="F436" s="3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2:35" ht="15.75" customHeight="1" x14ac:dyDescent="0.2">
      <c r="B437"/>
      <c r="C437" s="2"/>
      <c r="D437" s="2"/>
      <c r="E437" s="2"/>
      <c r="F437" s="3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2:35" ht="15.75" customHeight="1" x14ac:dyDescent="0.2">
      <c r="B438"/>
      <c r="C438" s="2"/>
      <c r="D438" s="2"/>
      <c r="E438" s="2"/>
      <c r="F438" s="3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2:35" ht="15.75" customHeight="1" x14ac:dyDescent="0.2">
      <c r="B439"/>
      <c r="C439" s="2"/>
      <c r="D439" s="2"/>
      <c r="E439" s="2"/>
      <c r="F439" s="3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2:35" ht="15.75" customHeight="1" x14ac:dyDescent="0.2">
      <c r="B440"/>
      <c r="C440" s="2"/>
      <c r="D440" s="2"/>
      <c r="E440" s="2"/>
      <c r="F440" s="3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2:35" ht="15.75" customHeight="1" x14ac:dyDescent="0.2">
      <c r="B441"/>
      <c r="C441" s="2"/>
      <c r="D441" s="2"/>
      <c r="E441" s="2"/>
      <c r="F441" s="3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2:35" ht="15.75" customHeight="1" x14ac:dyDescent="0.2">
      <c r="B442"/>
      <c r="C442" s="2"/>
      <c r="D442" s="2"/>
      <c r="E442" s="2"/>
      <c r="F442" s="3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2:35" ht="15.75" customHeight="1" x14ac:dyDescent="0.2">
      <c r="B443"/>
      <c r="C443" s="2"/>
      <c r="D443" s="2"/>
      <c r="E443" s="2"/>
      <c r="F443" s="3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2:35" ht="15.75" customHeight="1" x14ac:dyDescent="0.2">
      <c r="B444"/>
      <c r="C444" s="2"/>
      <c r="D444" s="2"/>
      <c r="E444" s="2"/>
      <c r="F444" s="3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2:35" ht="15.75" customHeight="1" x14ac:dyDescent="0.2">
      <c r="B445"/>
      <c r="C445" s="2"/>
      <c r="D445" s="2"/>
      <c r="E445" s="2"/>
      <c r="F445" s="3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2:35" ht="15.75" customHeight="1" x14ac:dyDescent="0.2">
      <c r="B446"/>
      <c r="C446" s="2"/>
      <c r="D446" s="2"/>
      <c r="E446" s="2"/>
      <c r="F446" s="3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2:35" ht="15.75" customHeight="1" x14ac:dyDescent="0.2">
      <c r="B447"/>
      <c r="C447" s="2"/>
      <c r="D447" s="2"/>
      <c r="E447" s="2"/>
      <c r="F447" s="3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2:35" ht="15.75" customHeight="1" x14ac:dyDescent="0.2">
      <c r="B448"/>
      <c r="C448" s="2"/>
      <c r="D448" s="2"/>
      <c r="E448" s="2"/>
      <c r="F448" s="3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2:35" ht="15.75" customHeight="1" x14ac:dyDescent="0.2">
      <c r="B449"/>
      <c r="C449" s="2"/>
      <c r="D449" s="2"/>
      <c r="E449" s="2"/>
      <c r="F449" s="3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2:35" ht="15.75" customHeight="1" x14ac:dyDescent="0.2">
      <c r="B450"/>
      <c r="C450" s="2"/>
      <c r="D450" s="2"/>
      <c r="E450" s="2"/>
      <c r="F450" s="3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2:35" ht="15.75" customHeight="1" x14ac:dyDescent="0.2">
      <c r="B451"/>
      <c r="C451" s="2"/>
      <c r="D451" s="2"/>
      <c r="E451" s="2"/>
      <c r="F451" s="3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2:35" ht="15.75" customHeight="1" x14ac:dyDescent="0.2">
      <c r="B452"/>
      <c r="C452" s="2"/>
      <c r="D452" s="2"/>
      <c r="E452" s="2"/>
      <c r="F452" s="3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2:35" ht="15.75" customHeight="1" x14ac:dyDescent="0.2">
      <c r="B453"/>
      <c r="C453" s="2"/>
      <c r="D453" s="2"/>
      <c r="E453" s="2"/>
      <c r="F453" s="3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2:35" ht="15.75" customHeight="1" x14ac:dyDescent="0.2">
      <c r="B454"/>
      <c r="C454" s="2"/>
      <c r="D454" s="2"/>
      <c r="E454" s="2"/>
      <c r="F454" s="3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2:35" ht="15.75" customHeight="1" x14ac:dyDescent="0.2">
      <c r="B455"/>
      <c r="C455" s="2"/>
      <c r="D455" s="2"/>
      <c r="E455" s="2"/>
      <c r="F455" s="3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2:35" ht="15.75" customHeight="1" x14ac:dyDescent="0.2">
      <c r="B456"/>
      <c r="C456" s="2"/>
      <c r="D456" s="2"/>
      <c r="E456" s="2"/>
      <c r="F456" s="3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2:35" ht="15.75" customHeight="1" x14ac:dyDescent="0.2">
      <c r="B457"/>
      <c r="C457" s="2"/>
      <c r="D457" s="2"/>
      <c r="E457" s="2"/>
      <c r="F457" s="3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2:35" ht="15.75" customHeight="1" x14ac:dyDescent="0.2">
      <c r="B458"/>
      <c r="C458" s="2"/>
      <c r="D458" s="2"/>
      <c r="E458" s="2"/>
      <c r="F458" s="3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2:35" ht="15.75" customHeight="1" x14ac:dyDescent="0.2">
      <c r="B459"/>
      <c r="C459" s="2"/>
      <c r="D459" s="2"/>
      <c r="E459" s="2"/>
      <c r="F459" s="3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2:35" ht="15.75" customHeight="1" x14ac:dyDescent="0.2">
      <c r="B460"/>
      <c r="C460" s="2"/>
      <c r="D460" s="2"/>
      <c r="E460" s="2"/>
      <c r="F460" s="3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2:35" ht="15.75" customHeight="1" x14ac:dyDescent="0.2">
      <c r="B461"/>
      <c r="C461" s="2"/>
      <c r="D461" s="2"/>
      <c r="E461" s="2"/>
      <c r="F461" s="3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2:35" ht="15.75" customHeight="1" x14ac:dyDescent="0.2">
      <c r="B462"/>
      <c r="C462" s="2"/>
      <c r="D462" s="2"/>
      <c r="E462" s="2"/>
      <c r="F462" s="3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2:35" ht="15.75" customHeight="1" x14ac:dyDescent="0.2">
      <c r="B463"/>
      <c r="C463" s="2"/>
      <c r="D463" s="2"/>
      <c r="E463" s="2"/>
      <c r="F463" s="3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2:35" ht="15.75" customHeight="1" x14ac:dyDescent="0.2">
      <c r="B464"/>
      <c r="C464" s="2"/>
      <c r="D464" s="2"/>
      <c r="E464" s="2"/>
      <c r="F464" s="3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2:35" ht="15.75" customHeight="1" x14ac:dyDescent="0.2">
      <c r="B465"/>
      <c r="C465" s="2"/>
      <c r="D465" s="2"/>
      <c r="E465" s="2"/>
      <c r="F465" s="3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2:35" ht="15.75" customHeight="1" x14ac:dyDescent="0.2">
      <c r="B466"/>
      <c r="C466" s="2"/>
      <c r="D466" s="2"/>
      <c r="E466" s="2"/>
      <c r="F466" s="3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2:35" ht="15.75" customHeight="1" x14ac:dyDescent="0.2">
      <c r="B467"/>
      <c r="C467" s="2"/>
      <c r="D467" s="2"/>
      <c r="E467" s="2"/>
      <c r="F467" s="3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2:35" ht="15.75" customHeight="1" x14ac:dyDescent="0.2">
      <c r="B468"/>
      <c r="C468" s="2"/>
      <c r="D468" s="2"/>
      <c r="E468" s="2"/>
      <c r="F468" s="3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2:35" ht="15.75" customHeight="1" x14ac:dyDescent="0.2">
      <c r="B469"/>
      <c r="C469" s="2"/>
      <c r="D469" s="2"/>
      <c r="E469" s="2"/>
      <c r="F469" s="3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2:35" ht="15.75" customHeight="1" x14ac:dyDescent="0.2">
      <c r="B470"/>
      <c r="C470" s="2"/>
      <c r="D470" s="2"/>
      <c r="E470" s="2"/>
      <c r="F470" s="3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2:35" ht="15.75" customHeight="1" x14ac:dyDescent="0.2">
      <c r="B471"/>
      <c r="C471" s="2"/>
      <c r="D471" s="2"/>
      <c r="E471" s="2"/>
      <c r="F471" s="3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2:35" ht="15.75" customHeight="1" x14ac:dyDescent="0.2">
      <c r="B472"/>
      <c r="C472" s="2"/>
      <c r="D472" s="2"/>
      <c r="E472" s="2"/>
      <c r="F472" s="3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2:35" ht="15.75" customHeight="1" x14ac:dyDescent="0.2">
      <c r="B473"/>
      <c r="C473" s="2"/>
      <c r="D473" s="2"/>
      <c r="E473" s="2"/>
      <c r="F473" s="3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2:35" ht="15.75" customHeight="1" x14ac:dyDescent="0.2">
      <c r="B474"/>
      <c r="C474" s="2"/>
      <c r="D474" s="2"/>
      <c r="E474" s="2"/>
      <c r="F474" s="3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2:35" ht="15.75" customHeight="1" x14ac:dyDescent="0.2">
      <c r="B475"/>
      <c r="C475" s="2"/>
      <c r="D475" s="2"/>
      <c r="E475" s="2"/>
      <c r="F475" s="3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2:35" ht="15.75" customHeight="1" x14ac:dyDescent="0.2">
      <c r="B476"/>
      <c r="C476" s="2"/>
      <c r="D476" s="2"/>
      <c r="E476" s="2"/>
      <c r="F476" s="3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2:35" ht="15.75" customHeight="1" x14ac:dyDescent="0.2">
      <c r="B477"/>
      <c r="C477" s="2"/>
      <c r="D477" s="2"/>
      <c r="E477" s="2"/>
      <c r="F477" s="3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2:35" ht="15.75" customHeight="1" x14ac:dyDescent="0.2">
      <c r="B478"/>
      <c r="C478" s="2"/>
      <c r="D478" s="2"/>
      <c r="E478" s="2"/>
      <c r="F478" s="3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2:35" ht="15.75" customHeight="1" x14ac:dyDescent="0.2">
      <c r="B479"/>
      <c r="C479" s="2"/>
      <c r="D479" s="2"/>
      <c r="E479" s="2"/>
      <c r="F479" s="3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2:35" ht="15.75" customHeight="1" x14ac:dyDescent="0.2">
      <c r="B480"/>
      <c r="C480" s="2"/>
      <c r="D480" s="2"/>
      <c r="E480" s="2"/>
      <c r="F480" s="3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2:35" ht="15.75" customHeight="1" x14ac:dyDescent="0.2">
      <c r="B481"/>
      <c r="C481" s="2"/>
      <c r="D481" s="2"/>
      <c r="E481" s="2"/>
      <c r="F481" s="3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2:35" ht="15.75" customHeight="1" x14ac:dyDescent="0.2">
      <c r="B482"/>
      <c r="C482" s="2"/>
      <c r="D482" s="2"/>
      <c r="E482" s="2"/>
      <c r="F482" s="3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2:35" ht="15.75" customHeight="1" x14ac:dyDescent="0.2">
      <c r="B483"/>
      <c r="C483" s="2"/>
      <c r="D483" s="2"/>
      <c r="E483" s="2"/>
      <c r="F483" s="3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2:35" ht="15.75" customHeight="1" x14ac:dyDescent="0.2">
      <c r="B484"/>
      <c r="C484" s="2"/>
      <c r="D484" s="2"/>
      <c r="E484" s="2"/>
      <c r="F484" s="3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2:35" ht="15.75" customHeight="1" x14ac:dyDescent="0.2">
      <c r="B485"/>
      <c r="C485" s="2"/>
      <c r="D485" s="2"/>
      <c r="E485" s="2"/>
      <c r="F485" s="3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2:35" ht="15.75" customHeight="1" x14ac:dyDescent="0.2">
      <c r="B486"/>
      <c r="C486" s="2"/>
      <c r="D486" s="2"/>
      <c r="E486" s="2"/>
      <c r="F486" s="3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2:35" ht="15.75" customHeight="1" x14ac:dyDescent="0.2">
      <c r="B487"/>
      <c r="C487" s="2"/>
      <c r="D487" s="2"/>
      <c r="E487" s="2"/>
      <c r="F487" s="3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2:35" ht="15.75" customHeight="1" x14ac:dyDescent="0.2">
      <c r="B488"/>
      <c r="C488" s="2"/>
      <c r="D488" s="2"/>
      <c r="E488" s="2"/>
      <c r="F488" s="3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2:35" ht="15.75" customHeight="1" x14ac:dyDescent="0.2">
      <c r="B489"/>
      <c r="C489" s="2"/>
      <c r="D489" s="2"/>
      <c r="E489" s="2"/>
      <c r="F489" s="3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2:35" ht="15.75" customHeight="1" x14ac:dyDescent="0.2">
      <c r="B490"/>
      <c r="C490" s="2"/>
      <c r="D490" s="2"/>
      <c r="E490" s="2"/>
      <c r="F490" s="3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2:35" ht="15.75" customHeight="1" x14ac:dyDescent="0.2">
      <c r="B491"/>
      <c r="C491" s="2"/>
      <c r="D491" s="2"/>
      <c r="E491" s="2"/>
      <c r="F491" s="3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2:35" ht="15.75" customHeight="1" x14ac:dyDescent="0.2">
      <c r="B492"/>
      <c r="C492" s="2"/>
      <c r="D492" s="2"/>
      <c r="E492" s="2"/>
      <c r="F492" s="3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2:35" ht="15.75" customHeight="1" x14ac:dyDescent="0.2">
      <c r="B493"/>
      <c r="C493" s="2"/>
      <c r="D493" s="2"/>
      <c r="E493" s="2"/>
      <c r="F493" s="3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2:35" ht="15.75" customHeight="1" x14ac:dyDescent="0.2">
      <c r="B494"/>
      <c r="C494" s="2"/>
      <c r="D494" s="2"/>
      <c r="E494" s="2"/>
      <c r="F494" s="3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2:35" ht="15.75" customHeight="1" x14ac:dyDescent="0.2">
      <c r="B495"/>
      <c r="C495" s="2"/>
      <c r="D495" s="2"/>
      <c r="E495" s="2"/>
      <c r="F495" s="3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2:35" ht="15.75" customHeight="1" x14ac:dyDescent="0.2">
      <c r="B496"/>
      <c r="C496" s="2"/>
      <c r="D496" s="2"/>
      <c r="E496" s="2"/>
      <c r="F496" s="3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2:35" ht="15.75" customHeight="1" x14ac:dyDescent="0.2">
      <c r="B497"/>
      <c r="C497" s="2"/>
      <c r="D497" s="2"/>
      <c r="E497" s="2"/>
      <c r="F497" s="3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2:35" ht="15.75" customHeight="1" x14ac:dyDescent="0.2">
      <c r="B498"/>
      <c r="C498" s="2"/>
      <c r="D498" s="2"/>
      <c r="E498" s="2"/>
      <c r="F498" s="3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2:35" ht="15.75" customHeight="1" x14ac:dyDescent="0.2">
      <c r="B499"/>
      <c r="C499" s="2"/>
      <c r="D499" s="2"/>
      <c r="E499" s="2"/>
      <c r="F499" s="3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2:35" ht="15.75" customHeight="1" x14ac:dyDescent="0.2">
      <c r="B500"/>
      <c r="C500" s="2"/>
      <c r="D500" s="2"/>
      <c r="E500" s="2"/>
      <c r="F500" s="3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2:35" ht="15.75" customHeight="1" x14ac:dyDescent="0.2">
      <c r="B501"/>
      <c r="C501" s="2"/>
      <c r="D501" s="2"/>
      <c r="E501" s="2"/>
      <c r="F501" s="3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2:35" ht="15.75" customHeight="1" x14ac:dyDescent="0.2">
      <c r="B502"/>
      <c r="C502" s="2"/>
      <c r="D502" s="2"/>
      <c r="E502" s="2"/>
      <c r="F502" s="3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2:35" ht="15.75" customHeight="1" x14ac:dyDescent="0.2">
      <c r="B503"/>
      <c r="C503" s="2"/>
      <c r="D503" s="2"/>
      <c r="E503" s="2"/>
      <c r="F503" s="3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2:35" ht="15.75" customHeight="1" x14ac:dyDescent="0.2">
      <c r="B504"/>
      <c r="C504" s="2"/>
      <c r="D504" s="2"/>
      <c r="E504" s="2"/>
      <c r="F504" s="3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2:35" ht="15.75" customHeight="1" x14ac:dyDescent="0.2">
      <c r="B505"/>
      <c r="C505" s="2"/>
      <c r="D505" s="2"/>
      <c r="E505" s="2"/>
      <c r="F505" s="3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2:35" ht="15.75" customHeight="1" x14ac:dyDescent="0.2">
      <c r="B506"/>
      <c r="C506" s="2"/>
      <c r="D506" s="2"/>
      <c r="E506" s="2"/>
      <c r="F506" s="3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2:35" ht="15.75" customHeight="1" x14ac:dyDescent="0.2">
      <c r="B507"/>
      <c r="C507" s="2"/>
      <c r="D507" s="2"/>
      <c r="E507" s="2"/>
      <c r="F507" s="3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2:35" ht="15.75" customHeight="1" x14ac:dyDescent="0.2">
      <c r="B508"/>
      <c r="C508" s="2"/>
      <c r="D508" s="2"/>
      <c r="E508" s="2"/>
      <c r="F508" s="3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2:35" ht="15.75" customHeight="1" x14ac:dyDescent="0.2">
      <c r="B509"/>
      <c r="C509" s="2"/>
      <c r="D509" s="2"/>
      <c r="E509" s="2"/>
      <c r="F509" s="3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2:35" ht="15.75" customHeight="1" x14ac:dyDescent="0.2">
      <c r="B510"/>
      <c r="C510" s="2"/>
      <c r="D510" s="2"/>
      <c r="E510" s="2"/>
      <c r="F510" s="3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2:35" ht="15.75" customHeight="1" x14ac:dyDescent="0.2">
      <c r="B511"/>
      <c r="C511" s="2"/>
      <c r="D511" s="2"/>
      <c r="E511" s="2"/>
      <c r="F511" s="3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2:35" ht="15.75" customHeight="1" x14ac:dyDescent="0.2">
      <c r="B512"/>
      <c r="C512" s="2"/>
      <c r="D512" s="2"/>
      <c r="E512" s="2"/>
      <c r="F512" s="3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2:35" ht="15.75" customHeight="1" x14ac:dyDescent="0.2">
      <c r="B513"/>
      <c r="C513" s="2"/>
      <c r="D513" s="2"/>
      <c r="E513" s="2"/>
      <c r="F513" s="3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2:35" ht="15.75" customHeight="1" x14ac:dyDescent="0.2">
      <c r="B514"/>
      <c r="C514" s="2"/>
      <c r="D514" s="2"/>
      <c r="E514" s="2"/>
      <c r="F514" s="3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2:35" ht="15.75" customHeight="1" x14ac:dyDescent="0.2">
      <c r="B515"/>
      <c r="C515" s="2"/>
      <c r="D515" s="2"/>
      <c r="E515" s="2"/>
      <c r="F515" s="3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2:35" ht="15.75" customHeight="1" x14ac:dyDescent="0.2">
      <c r="B516"/>
      <c r="C516" s="2"/>
      <c r="D516" s="2"/>
      <c r="E516" s="2"/>
      <c r="F516" s="3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2:35" ht="15.75" customHeight="1" x14ac:dyDescent="0.2">
      <c r="B517"/>
      <c r="C517" s="2"/>
      <c r="D517" s="2"/>
      <c r="E517" s="2"/>
      <c r="F517" s="3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2:35" ht="15.75" customHeight="1" x14ac:dyDescent="0.2">
      <c r="B518"/>
      <c r="C518" s="2"/>
      <c r="D518" s="2"/>
      <c r="E518" s="2"/>
      <c r="F518" s="3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2:35" ht="15.75" customHeight="1" x14ac:dyDescent="0.2">
      <c r="B519"/>
      <c r="C519" s="2"/>
      <c r="D519" s="2"/>
      <c r="E519" s="2"/>
      <c r="F519" s="3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2:35" ht="15.75" customHeight="1" x14ac:dyDescent="0.2">
      <c r="B520"/>
      <c r="C520" s="2"/>
      <c r="D520" s="2"/>
      <c r="E520" s="2"/>
      <c r="F520" s="3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2:35" ht="15.75" customHeight="1" x14ac:dyDescent="0.2">
      <c r="B521"/>
      <c r="C521" s="2"/>
      <c r="D521" s="2"/>
      <c r="E521" s="2"/>
      <c r="F521" s="3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2:35" ht="15.75" customHeight="1" x14ac:dyDescent="0.2">
      <c r="B522"/>
      <c r="C522" s="2"/>
      <c r="D522" s="2"/>
      <c r="E522" s="2"/>
      <c r="F522" s="3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2:35" ht="15.75" customHeight="1" x14ac:dyDescent="0.2">
      <c r="B523"/>
      <c r="C523" s="2"/>
      <c r="D523" s="2"/>
      <c r="E523" s="2"/>
      <c r="F523" s="3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2:35" ht="15.75" customHeight="1" x14ac:dyDescent="0.2">
      <c r="B524"/>
      <c r="C524" s="2"/>
      <c r="D524" s="2"/>
      <c r="E524" s="2"/>
      <c r="F524" s="3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2:35" ht="15.75" customHeight="1" x14ac:dyDescent="0.2">
      <c r="B525"/>
      <c r="C525" s="2"/>
      <c r="D525" s="2"/>
      <c r="E525" s="2"/>
      <c r="F525" s="3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2:35" ht="15.75" customHeight="1" x14ac:dyDescent="0.2">
      <c r="B526"/>
      <c r="C526" s="2"/>
      <c r="D526" s="2"/>
      <c r="E526" s="2"/>
      <c r="F526" s="3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2:35" ht="15.75" customHeight="1" x14ac:dyDescent="0.2">
      <c r="B527"/>
      <c r="C527" s="2"/>
      <c r="D527" s="2"/>
      <c r="E527" s="2"/>
      <c r="F527" s="3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2:35" ht="15.75" customHeight="1" x14ac:dyDescent="0.2">
      <c r="B528"/>
      <c r="C528" s="2"/>
      <c r="D528" s="2"/>
      <c r="E528" s="2"/>
      <c r="F528" s="3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2:35" ht="15.75" customHeight="1" x14ac:dyDescent="0.2">
      <c r="B529"/>
      <c r="C529" s="2"/>
      <c r="D529" s="2"/>
      <c r="E529" s="2"/>
      <c r="F529" s="3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2:35" ht="15.75" customHeight="1" x14ac:dyDescent="0.2">
      <c r="B530"/>
      <c r="C530" s="2"/>
      <c r="D530" s="2"/>
      <c r="E530" s="2"/>
      <c r="F530" s="3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2:35" ht="15.75" customHeight="1" x14ac:dyDescent="0.2">
      <c r="B531"/>
      <c r="C531" s="2"/>
      <c r="D531" s="2"/>
      <c r="E531" s="2"/>
      <c r="F531" s="3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2:35" ht="15.75" customHeight="1" x14ac:dyDescent="0.2">
      <c r="B532"/>
      <c r="C532" s="2"/>
      <c r="D532" s="2"/>
      <c r="E532" s="2"/>
      <c r="F532" s="3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2:35" ht="15.75" customHeight="1" x14ac:dyDescent="0.2">
      <c r="B533"/>
      <c r="C533" s="2"/>
      <c r="D533" s="2"/>
      <c r="E533" s="2"/>
      <c r="F533" s="3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2:35" ht="15.75" customHeight="1" x14ac:dyDescent="0.2">
      <c r="B534"/>
      <c r="C534" s="2"/>
      <c r="D534" s="2"/>
      <c r="E534" s="2"/>
      <c r="F534" s="3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2:35" ht="15.75" customHeight="1" x14ac:dyDescent="0.2">
      <c r="B535"/>
      <c r="C535" s="2"/>
      <c r="D535" s="2"/>
      <c r="E535" s="2"/>
      <c r="F535" s="3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2:35" ht="15.75" customHeight="1" x14ac:dyDescent="0.2">
      <c r="B536"/>
      <c r="C536" s="2"/>
      <c r="D536" s="2"/>
      <c r="E536" s="2"/>
      <c r="F536" s="3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2:35" ht="15.75" customHeight="1" x14ac:dyDescent="0.2">
      <c r="B537"/>
      <c r="C537" s="2"/>
      <c r="D537" s="2"/>
      <c r="E537" s="2"/>
      <c r="F537" s="3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2:35" ht="15.75" customHeight="1" x14ac:dyDescent="0.2">
      <c r="B538"/>
      <c r="C538" s="2"/>
      <c r="D538" s="2"/>
      <c r="E538" s="2"/>
      <c r="F538" s="3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2:35" ht="15.75" customHeight="1" x14ac:dyDescent="0.2">
      <c r="B539"/>
      <c r="C539" s="2"/>
      <c r="D539" s="2"/>
      <c r="E539" s="2"/>
      <c r="F539" s="3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2:35" ht="15.75" customHeight="1" x14ac:dyDescent="0.2">
      <c r="B540"/>
      <c r="C540" s="2"/>
      <c r="D540" s="2"/>
      <c r="E540" s="2"/>
      <c r="F540" s="3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2:35" ht="15.75" customHeight="1" x14ac:dyDescent="0.2">
      <c r="B541"/>
      <c r="C541" s="2"/>
      <c r="D541" s="2"/>
      <c r="E541" s="2"/>
      <c r="F541" s="3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2:35" ht="15.75" customHeight="1" x14ac:dyDescent="0.2">
      <c r="B542"/>
      <c r="C542" s="2"/>
      <c r="D542" s="2"/>
      <c r="E542" s="2"/>
      <c r="F542" s="3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2:35" ht="15.75" customHeight="1" x14ac:dyDescent="0.2">
      <c r="B543"/>
      <c r="C543" s="2"/>
      <c r="D543" s="2"/>
      <c r="E543" s="2"/>
      <c r="F543" s="3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2:35" ht="15.75" customHeight="1" x14ac:dyDescent="0.2">
      <c r="B544"/>
      <c r="C544" s="2"/>
      <c r="D544" s="2"/>
      <c r="E544" s="2"/>
      <c r="F544" s="3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2:35" ht="15.75" customHeight="1" x14ac:dyDescent="0.2">
      <c r="B545"/>
      <c r="C545" s="2"/>
      <c r="D545" s="2"/>
      <c r="E545" s="2"/>
      <c r="F545" s="3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2:35" ht="15.75" customHeight="1" x14ac:dyDescent="0.2">
      <c r="B546"/>
      <c r="C546" s="2"/>
      <c r="D546" s="2"/>
      <c r="E546" s="2"/>
      <c r="F546" s="3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2:35" ht="15.75" customHeight="1" x14ac:dyDescent="0.2">
      <c r="B547"/>
      <c r="C547" s="2"/>
      <c r="D547" s="2"/>
      <c r="E547" s="2"/>
      <c r="F547" s="3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2:35" ht="15.75" customHeight="1" x14ac:dyDescent="0.2">
      <c r="B548"/>
      <c r="C548" s="2"/>
      <c r="D548" s="2"/>
      <c r="E548" s="2"/>
      <c r="F548" s="3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2:35" ht="15.75" customHeight="1" x14ac:dyDescent="0.2">
      <c r="B549"/>
      <c r="C549" s="2"/>
      <c r="D549" s="2"/>
      <c r="E549" s="2"/>
      <c r="F549" s="3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2:35" ht="15.75" customHeight="1" x14ac:dyDescent="0.2">
      <c r="B550"/>
      <c r="C550" s="2"/>
      <c r="D550" s="2"/>
      <c r="E550" s="2"/>
      <c r="F550" s="3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2:35" ht="15.75" customHeight="1" x14ac:dyDescent="0.2">
      <c r="B551"/>
      <c r="C551" s="2"/>
      <c r="D551" s="2"/>
      <c r="E551" s="2"/>
      <c r="F551" s="3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2:35" ht="15.75" customHeight="1" x14ac:dyDescent="0.2">
      <c r="B552"/>
      <c r="C552" s="2"/>
      <c r="D552" s="2"/>
      <c r="E552" s="2"/>
      <c r="F552" s="3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2:35" ht="15.75" customHeight="1" x14ac:dyDescent="0.2">
      <c r="B553"/>
      <c r="C553" s="2"/>
      <c r="D553" s="2"/>
      <c r="E553" s="2"/>
      <c r="F553" s="3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2:35" ht="15.75" customHeight="1" x14ac:dyDescent="0.2">
      <c r="B554"/>
      <c r="C554" s="2"/>
      <c r="D554" s="2"/>
      <c r="E554" s="2"/>
      <c r="F554" s="3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2:35" ht="15.75" customHeight="1" x14ac:dyDescent="0.2">
      <c r="B555"/>
      <c r="C555" s="2"/>
      <c r="D555" s="2"/>
      <c r="E555" s="2"/>
      <c r="F555" s="3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2:35" ht="15.75" customHeight="1" x14ac:dyDescent="0.2">
      <c r="B556"/>
      <c r="C556" s="2"/>
      <c r="D556" s="2"/>
      <c r="E556" s="2"/>
      <c r="F556" s="3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2:35" ht="15.75" customHeight="1" x14ac:dyDescent="0.2">
      <c r="B557"/>
      <c r="C557" s="2"/>
      <c r="D557" s="2"/>
      <c r="E557" s="2"/>
      <c r="F557" s="3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2:35" ht="15.75" customHeight="1" x14ac:dyDescent="0.2">
      <c r="B558"/>
      <c r="C558" s="2"/>
      <c r="D558" s="2"/>
      <c r="E558" s="2"/>
      <c r="F558" s="3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2:35" ht="15.75" customHeight="1" x14ac:dyDescent="0.2">
      <c r="B559"/>
      <c r="C559" s="2"/>
      <c r="D559" s="2"/>
      <c r="E559" s="2"/>
      <c r="F559" s="3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2:35" ht="15.75" customHeight="1" x14ac:dyDescent="0.2">
      <c r="B560"/>
      <c r="C560" s="2"/>
      <c r="D560" s="2"/>
      <c r="E560" s="2"/>
      <c r="F560" s="3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2:35" ht="15.75" customHeight="1" x14ac:dyDescent="0.2">
      <c r="B561"/>
      <c r="C561" s="2"/>
      <c r="D561" s="2"/>
      <c r="E561" s="2"/>
      <c r="F561" s="3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2:35" ht="15.75" customHeight="1" x14ac:dyDescent="0.2">
      <c r="B562"/>
      <c r="C562" s="2"/>
      <c r="D562" s="2"/>
      <c r="E562" s="2"/>
      <c r="F562" s="3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2:35" ht="15.75" customHeight="1" x14ac:dyDescent="0.2">
      <c r="B563"/>
      <c r="C563" s="2"/>
      <c r="D563" s="2"/>
      <c r="E563" s="2"/>
      <c r="F563" s="3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2:35" ht="15.75" customHeight="1" x14ac:dyDescent="0.2">
      <c r="B564"/>
      <c r="C564" s="2"/>
      <c r="D564" s="2"/>
      <c r="E564" s="2"/>
      <c r="F564" s="3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2:35" ht="15.75" customHeight="1" x14ac:dyDescent="0.2">
      <c r="B565"/>
      <c r="C565" s="2"/>
      <c r="D565" s="2"/>
      <c r="E565" s="2"/>
      <c r="F565" s="3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2:35" ht="15.75" customHeight="1" x14ac:dyDescent="0.2">
      <c r="B566"/>
      <c r="C566" s="2"/>
      <c r="D566" s="2"/>
      <c r="E566" s="2"/>
      <c r="F566" s="3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2:35" ht="15.75" customHeight="1" x14ac:dyDescent="0.2">
      <c r="B567"/>
      <c r="C567" s="2"/>
      <c r="D567" s="2"/>
      <c r="E567" s="2"/>
      <c r="F567" s="3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2:35" ht="15.75" customHeight="1" x14ac:dyDescent="0.2">
      <c r="B568"/>
      <c r="C568" s="2"/>
      <c r="D568" s="2"/>
      <c r="E568" s="2"/>
      <c r="F568" s="3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2:35" ht="15.75" customHeight="1" x14ac:dyDescent="0.2">
      <c r="B569"/>
      <c r="C569" s="2"/>
      <c r="D569" s="2"/>
      <c r="E569" s="2"/>
      <c r="F569" s="3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2:35" ht="15.75" customHeight="1" x14ac:dyDescent="0.2">
      <c r="B570"/>
      <c r="C570" s="2"/>
      <c r="D570" s="2"/>
      <c r="E570" s="2"/>
      <c r="F570" s="3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2:35" ht="15.75" customHeight="1" x14ac:dyDescent="0.2">
      <c r="B571"/>
      <c r="C571" s="2"/>
      <c r="D571" s="2"/>
      <c r="E571" s="2"/>
      <c r="F571" s="3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2:35" ht="15.75" customHeight="1" x14ac:dyDescent="0.2">
      <c r="B572"/>
      <c r="C572" s="2"/>
      <c r="D572" s="2"/>
      <c r="E572" s="2"/>
      <c r="F572" s="3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2:35" ht="15.75" customHeight="1" x14ac:dyDescent="0.2">
      <c r="B573"/>
      <c r="C573" s="2"/>
      <c r="D573" s="2"/>
      <c r="E573" s="2"/>
      <c r="F573" s="3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2:35" ht="15.75" customHeight="1" x14ac:dyDescent="0.2">
      <c r="B574"/>
      <c r="C574" s="2"/>
      <c r="D574" s="2"/>
      <c r="E574" s="2"/>
      <c r="F574" s="3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2:35" ht="15.75" customHeight="1" x14ac:dyDescent="0.2">
      <c r="B575"/>
      <c r="C575" s="2"/>
      <c r="D575" s="2"/>
      <c r="E575" s="2"/>
      <c r="F575" s="3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2:35" ht="15.75" customHeight="1" x14ac:dyDescent="0.2">
      <c r="B576"/>
      <c r="C576" s="2"/>
      <c r="D576" s="2"/>
      <c r="E576" s="2"/>
      <c r="F576" s="3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2:35" ht="15.75" customHeight="1" x14ac:dyDescent="0.2">
      <c r="B577"/>
      <c r="C577" s="2"/>
      <c r="D577" s="2"/>
      <c r="E577" s="2"/>
      <c r="F577" s="3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2:35" ht="15.75" customHeight="1" x14ac:dyDescent="0.2">
      <c r="B578"/>
      <c r="C578" s="2"/>
      <c r="D578" s="2"/>
      <c r="E578" s="2"/>
      <c r="F578" s="3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2:35" ht="15.75" customHeight="1" x14ac:dyDescent="0.2">
      <c r="B579"/>
      <c r="C579" s="2"/>
      <c r="D579" s="2"/>
      <c r="E579" s="2"/>
      <c r="F579" s="3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2:35" ht="15.75" customHeight="1" x14ac:dyDescent="0.2">
      <c r="B580"/>
      <c r="C580" s="2"/>
      <c r="D580" s="2"/>
      <c r="E580" s="2"/>
      <c r="F580" s="3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2:35" ht="15.75" customHeight="1" x14ac:dyDescent="0.2">
      <c r="B581"/>
      <c r="C581" s="2"/>
      <c r="D581" s="2"/>
      <c r="E581" s="2"/>
      <c r="F581" s="3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2:35" ht="15.75" customHeight="1" x14ac:dyDescent="0.2">
      <c r="B582"/>
      <c r="C582" s="2"/>
      <c r="D582" s="2"/>
      <c r="E582" s="2"/>
      <c r="F582" s="3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2:35" ht="15.75" customHeight="1" x14ac:dyDescent="0.2">
      <c r="B583"/>
      <c r="C583" s="2"/>
      <c r="D583" s="2"/>
      <c r="E583" s="2"/>
      <c r="F583" s="3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2:35" ht="15.75" customHeight="1" x14ac:dyDescent="0.2">
      <c r="B584"/>
      <c r="C584" s="2"/>
      <c r="D584" s="2"/>
      <c r="E584" s="2"/>
      <c r="F584" s="3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2:35" ht="15.75" customHeight="1" x14ac:dyDescent="0.2">
      <c r="B585"/>
      <c r="C585" s="2"/>
      <c r="D585" s="2"/>
      <c r="E585" s="2"/>
      <c r="F585" s="3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2:35" ht="15.75" customHeight="1" x14ac:dyDescent="0.2">
      <c r="B586"/>
      <c r="C586" s="2"/>
      <c r="D586" s="2"/>
      <c r="E586" s="2"/>
      <c r="F586" s="3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2:35" ht="15.75" customHeight="1" x14ac:dyDescent="0.2">
      <c r="B587"/>
      <c r="C587" s="2"/>
      <c r="D587" s="2"/>
      <c r="E587" s="2"/>
      <c r="F587" s="3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2:35" ht="15.75" customHeight="1" x14ac:dyDescent="0.2">
      <c r="B588"/>
      <c r="C588" s="2"/>
      <c r="D588" s="2"/>
      <c r="E588" s="2"/>
      <c r="F588" s="3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2:35" ht="15.75" customHeight="1" x14ac:dyDescent="0.2">
      <c r="B589"/>
      <c r="C589" s="2"/>
      <c r="D589" s="2"/>
      <c r="E589" s="2"/>
      <c r="F589" s="3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2:35" ht="15.75" customHeight="1" x14ac:dyDescent="0.2">
      <c r="B590"/>
      <c r="C590" s="2"/>
      <c r="D590" s="2"/>
      <c r="E590" s="2"/>
      <c r="F590" s="3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2:35" ht="15.75" customHeight="1" x14ac:dyDescent="0.2">
      <c r="B591"/>
      <c r="C591" s="2"/>
      <c r="D591" s="2"/>
      <c r="E591" s="2"/>
      <c r="F591" s="3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2:35" ht="15.75" customHeight="1" x14ac:dyDescent="0.2">
      <c r="B592"/>
      <c r="C592" s="2"/>
      <c r="D592" s="2"/>
      <c r="E592" s="2"/>
      <c r="F592" s="3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2:35" ht="15.75" customHeight="1" x14ac:dyDescent="0.2">
      <c r="B593"/>
      <c r="C593" s="2"/>
      <c r="D593" s="2"/>
      <c r="E593" s="2"/>
      <c r="F593" s="3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2:35" ht="15.75" customHeight="1" x14ac:dyDescent="0.2">
      <c r="B594"/>
      <c r="C594" s="2"/>
      <c r="D594" s="2"/>
      <c r="E594" s="2"/>
      <c r="F594" s="3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2:35" ht="15.75" customHeight="1" x14ac:dyDescent="0.2">
      <c r="B595"/>
      <c r="C595" s="2"/>
      <c r="D595" s="2"/>
      <c r="E595" s="2"/>
      <c r="F595" s="3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2:35" ht="15.75" customHeight="1" x14ac:dyDescent="0.2">
      <c r="B596"/>
      <c r="C596" s="2"/>
      <c r="D596" s="2"/>
      <c r="E596" s="2"/>
      <c r="F596" s="3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2:35" ht="15.75" customHeight="1" x14ac:dyDescent="0.2">
      <c r="B597"/>
      <c r="C597" s="2"/>
      <c r="D597" s="2"/>
      <c r="E597" s="2"/>
      <c r="F597" s="3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2:35" ht="15.75" customHeight="1" x14ac:dyDescent="0.2">
      <c r="B598"/>
      <c r="C598" s="2"/>
      <c r="D598" s="2"/>
      <c r="E598" s="2"/>
      <c r="F598" s="3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2:35" ht="15.75" customHeight="1" x14ac:dyDescent="0.2">
      <c r="B599"/>
      <c r="C599" s="2"/>
      <c r="D599" s="2"/>
      <c r="E599" s="2"/>
      <c r="F599" s="3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2:35" ht="15.75" customHeight="1" x14ac:dyDescent="0.2">
      <c r="B600"/>
      <c r="C600" s="2"/>
      <c r="D600" s="2"/>
      <c r="E600" s="2"/>
      <c r="F600" s="3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2:35" ht="15.75" customHeight="1" x14ac:dyDescent="0.2">
      <c r="B601"/>
      <c r="C601" s="2"/>
      <c r="D601" s="2"/>
      <c r="E601" s="2"/>
      <c r="F601" s="3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2:35" ht="15.75" customHeight="1" x14ac:dyDescent="0.2">
      <c r="B602"/>
      <c r="C602" s="2"/>
      <c r="D602" s="2"/>
      <c r="E602" s="2"/>
      <c r="F602" s="3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2:35" ht="15.75" customHeight="1" x14ac:dyDescent="0.2">
      <c r="B603"/>
      <c r="C603" s="2"/>
      <c r="D603" s="2"/>
      <c r="E603" s="2"/>
      <c r="F603" s="3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2:35" ht="15.75" customHeight="1" x14ac:dyDescent="0.2">
      <c r="B604"/>
      <c r="C604" s="2"/>
      <c r="D604" s="2"/>
      <c r="E604" s="2"/>
      <c r="F604" s="3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2:35" ht="15.75" customHeight="1" x14ac:dyDescent="0.2">
      <c r="B605"/>
      <c r="C605" s="2"/>
      <c r="D605" s="2"/>
      <c r="E605" s="2"/>
      <c r="F605" s="3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2:35" ht="15.75" customHeight="1" x14ac:dyDescent="0.2">
      <c r="B606"/>
      <c r="C606" s="2"/>
      <c r="D606" s="2"/>
      <c r="E606" s="2"/>
      <c r="F606" s="3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2:35" ht="15.75" customHeight="1" x14ac:dyDescent="0.2">
      <c r="B607"/>
      <c r="C607" s="2"/>
      <c r="D607" s="2"/>
      <c r="E607" s="2"/>
      <c r="F607" s="3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2:35" ht="15.75" customHeight="1" x14ac:dyDescent="0.2">
      <c r="B608"/>
      <c r="C608" s="2"/>
      <c r="D608" s="2"/>
      <c r="E608" s="2"/>
      <c r="F608" s="3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2:35" ht="15.75" customHeight="1" x14ac:dyDescent="0.2">
      <c r="B609"/>
      <c r="C609" s="2"/>
      <c r="D609" s="2"/>
      <c r="E609" s="2"/>
      <c r="F609" s="3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2:35" ht="15.75" customHeight="1" x14ac:dyDescent="0.2">
      <c r="B610"/>
      <c r="C610" s="2"/>
      <c r="D610" s="2"/>
      <c r="E610" s="2"/>
      <c r="F610" s="3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2:35" ht="15.75" customHeight="1" x14ac:dyDescent="0.2">
      <c r="B611"/>
      <c r="C611" s="2"/>
      <c r="D611" s="2"/>
      <c r="E611" s="2"/>
      <c r="F611" s="3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2:35" ht="15.75" customHeight="1" x14ac:dyDescent="0.2">
      <c r="B612"/>
      <c r="C612" s="2"/>
      <c r="D612" s="2"/>
      <c r="E612" s="2"/>
      <c r="F612" s="3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2:35" ht="15.75" customHeight="1" x14ac:dyDescent="0.2">
      <c r="B613"/>
      <c r="C613" s="2"/>
      <c r="D613" s="2"/>
      <c r="E613" s="2"/>
      <c r="F613" s="3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2:35" ht="15.75" customHeight="1" x14ac:dyDescent="0.2">
      <c r="B614"/>
      <c r="C614" s="2"/>
      <c r="D614" s="2"/>
      <c r="E614" s="2"/>
      <c r="F614" s="3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2:35" ht="15.75" customHeight="1" x14ac:dyDescent="0.2">
      <c r="B615"/>
      <c r="C615" s="2"/>
      <c r="D615" s="2"/>
      <c r="E615" s="2"/>
      <c r="F615" s="3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2:35" ht="15.75" customHeight="1" x14ac:dyDescent="0.2">
      <c r="B616"/>
      <c r="C616" s="2"/>
      <c r="D616" s="2"/>
      <c r="E616" s="2"/>
      <c r="F616" s="3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2:35" ht="15.75" customHeight="1" x14ac:dyDescent="0.2">
      <c r="B617"/>
      <c r="C617" s="2"/>
      <c r="D617" s="2"/>
      <c r="E617" s="2"/>
      <c r="F617" s="3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2:35" ht="15.75" customHeight="1" x14ac:dyDescent="0.2">
      <c r="B618"/>
      <c r="C618" s="2"/>
      <c r="D618" s="2"/>
      <c r="E618" s="2"/>
      <c r="F618" s="3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2:35" ht="15.75" customHeight="1" x14ac:dyDescent="0.2">
      <c r="B619"/>
      <c r="C619" s="2"/>
      <c r="D619" s="2"/>
      <c r="E619" s="2"/>
      <c r="F619" s="3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2:35" ht="15.75" customHeight="1" x14ac:dyDescent="0.2">
      <c r="B620"/>
      <c r="C620" s="2"/>
      <c r="D620" s="2"/>
      <c r="E620" s="2"/>
      <c r="F620" s="3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2:35" ht="15.75" customHeight="1" x14ac:dyDescent="0.2">
      <c r="B621"/>
      <c r="C621" s="2"/>
      <c r="D621" s="2"/>
      <c r="E621" s="2"/>
      <c r="F621" s="3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2:35" ht="15.75" customHeight="1" x14ac:dyDescent="0.2">
      <c r="B622"/>
      <c r="C622" s="2"/>
      <c r="D622" s="2"/>
      <c r="E622" s="2"/>
      <c r="F622" s="3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2:35" ht="15.75" customHeight="1" x14ac:dyDescent="0.2">
      <c r="B623"/>
      <c r="C623" s="2"/>
      <c r="D623" s="2"/>
      <c r="E623" s="2"/>
      <c r="F623" s="3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2:35" ht="15.75" customHeight="1" x14ac:dyDescent="0.2">
      <c r="B624"/>
      <c r="C624" s="2"/>
      <c r="D624" s="2"/>
      <c r="E624" s="2"/>
      <c r="F624" s="3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2:35" ht="15.75" customHeight="1" x14ac:dyDescent="0.2">
      <c r="B625"/>
      <c r="C625" s="2"/>
      <c r="D625" s="2"/>
      <c r="E625" s="2"/>
      <c r="F625" s="3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2:35" ht="15.75" customHeight="1" x14ac:dyDescent="0.2">
      <c r="B626"/>
      <c r="C626" s="2"/>
      <c r="D626" s="2"/>
      <c r="E626" s="2"/>
      <c r="F626" s="3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2:35" ht="15.75" customHeight="1" x14ac:dyDescent="0.2">
      <c r="B627"/>
      <c r="C627" s="2"/>
      <c r="D627" s="2"/>
      <c r="E627" s="2"/>
      <c r="F627" s="3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2:35" ht="15.75" customHeight="1" x14ac:dyDescent="0.2">
      <c r="B628"/>
      <c r="C628" s="2"/>
      <c r="D628" s="2"/>
      <c r="E628" s="2"/>
      <c r="F628" s="3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2:35" ht="15.75" customHeight="1" x14ac:dyDescent="0.2">
      <c r="B629"/>
      <c r="C629" s="2"/>
      <c r="D629" s="2"/>
      <c r="E629" s="2"/>
      <c r="F629" s="3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2:35" ht="15.75" customHeight="1" x14ac:dyDescent="0.2">
      <c r="B630"/>
      <c r="C630" s="2"/>
      <c r="D630" s="2"/>
      <c r="E630" s="2"/>
      <c r="F630" s="3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2:35" ht="15.75" customHeight="1" x14ac:dyDescent="0.2">
      <c r="B631"/>
      <c r="C631" s="2"/>
      <c r="D631" s="2"/>
      <c r="E631" s="2"/>
      <c r="F631" s="3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2:35" ht="15.75" customHeight="1" x14ac:dyDescent="0.2">
      <c r="B632"/>
      <c r="C632" s="2"/>
      <c r="D632" s="2"/>
      <c r="E632" s="2"/>
      <c r="F632" s="3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2:35" ht="15.75" customHeight="1" x14ac:dyDescent="0.2">
      <c r="B633"/>
      <c r="C633" s="2"/>
      <c r="D633" s="2"/>
      <c r="E633" s="2"/>
      <c r="F633" s="3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2:35" ht="15.75" customHeight="1" x14ac:dyDescent="0.2">
      <c r="B634"/>
      <c r="C634" s="2"/>
      <c r="D634" s="2"/>
      <c r="E634" s="2"/>
      <c r="F634" s="3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2:35" ht="15.75" customHeight="1" x14ac:dyDescent="0.2">
      <c r="B635"/>
      <c r="C635" s="2"/>
      <c r="D635" s="2"/>
      <c r="E635" s="2"/>
      <c r="F635" s="3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2:35" ht="15.75" customHeight="1" x14ac:dyDescent="0.2">
      <c r="B636"/>
      <c r="C636" s="2"/>
      <c r="D636" s="2"/>
      <c r="E636" s="2"/>
      <c r="F636" s="3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2:35" ht="15.75" customHeight="1" x14ac:dyDescent="0.2">
      <c r="B637"/>
      <c r="C637" s="2"/>
      <c r="D637" s="2"/>
      <c r="E637" s="2"/>
      <c r="F637" s="3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2:35" ht="15.75" customHeight="1" x14ac:dyDescent="0.2">
      <c r="B638"/>
      <c r="C638" s="2"/>
      <c r="D638" s="2"/>
      <c r="E638" s="2"/>
      <c r="F638" s="3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2:35" ht="15.75" customHeight="1" x14ac:dyDescent="0.2">
      <c r="B639"/>
      <c r="C639" s="2"/>
      <c r="D639" s="2"/>
      <c r="E639" s="2"/>
      <c r="F639" s="3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2:35" ht="15.75" customHeight="1" x14ac:dyDescent="0.2">
      <c r="B640"/>
      <c r="C640" s="2"/>
      <c r="D640" s="2"/>
      <c r="E640" s="2"/>
      <c r="F640" s="3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2:35" ht="15.75" customHeight="1" x14ac:dyDescent="0.2">
      <c r="B641"/>
      <c r="C641" s="2"/>
      <c r="D641" s="2"/>
      <c r="E641" s="2"/>
      <c r="F641" s="3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2:35" ht="15.75" customHeight="1" x14ac:dyDescent="0.2">
      <c r="B642"/>
      <c r="C642" s="2"/>
      <c r="D642" s="2"/>
      <c r="E642" s="2"/>
      <c r="F642" s="3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2:35" ht="15.75" customHeight="1" x14ac:dyDescent="0.2">
      <c r="B643"/>
      <c r="C643" s="2"/>
      <c r="D643" s="2"/>
      <c r="E643" s="2"/>
      <c r="F643" s="3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2:35" ht="15.75" customHeight="1" x14ac:dyDescent="0.2">
      <c r="B644"/>
      <c r="C644" s="2"/>
      <c r="D644" s="2"/>
      <c r="E644" s="2"/>
      <c r="F644" s="3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2:35" ht="15.75" customHeight="1" x14ac:dyDescent="0.2">
      <c r="B645"/>
      <c r="C645" s="2"/>
      <c r="D645" s="2"/>
      <c r="E645" s="2"/>
      <c r="F645" s="3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2:35" ht="15.75" customHeight="1" x14ac:dyDescent="0.2">
      <c r="B646"/>
      <c r="C646" s="2"/>
      <c r="D646" s="2"/>
      <c r="E646" s="2"/>
      <c r="F646" s="3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2:35" ht="15.75" customHeight="1" x14ac:dyDescent="0.2">
      <c r="B647"/>
      <c r="C647" s="2"/>
      <c r="D647" s="2"/>
      <c r="E647" s="2"/>
      <c r="F647" s="3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2:35" ht="15.75" customHeight="1" x14ac:dyDescent="0.2">
      <c r="B648"/>
      <c r="C648" s="2"/>
      <c r="D648" s="2"/>
      <c r="E648" s="2"/>
      <c r="F648" s="3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2:35" ht="15.75" customHeight="1" x14ac:dyDescent="0.2">
      <c r="B649"/>
      <c r="C649" s="2"/>
      <c r="D649" s="2"/>
      <c r="E649" s="2"/>
      <c r="F649" s="3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2:35" ht="15.75" customHeight="1" x14ac:dyDescent="0.2">
      <c r="B650"/>
      <c r="C650" s="2"/>
      <c r="D650" s="2"/>
      <c r="E650" s="2"/>
      <c r="F650" s="3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2:35" ht="15.75" customHeight="1" x14ac:dyDescent="0.2">
      <c r="B651"/>
      <c r="C651" s="2"/>
      <c r="D651" s="2"/>
      <c r="E651" s="2"/>
      <c r="F651" s="3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2:35" ht="15.75" customHeight="1" x14ac:dyDescent="0.2">
      <c r="B652"/>
      <c r="C652" s="2"/>
      <c r="D652" s="2"/>
      <c r="E652" s="2"/>
      <c r="F652" s="3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2:35" ht="15.75" customHeight="1" x14ac:dyDescent="0.2">
      <c r="B653"/>
      <c r="C653" s="2"/>
      <c r="D653" s="2"/>
      <c r="E653" s="2"/>
      <c r="F653" s="3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2:35" ht="15.75" customHeight="1" x14ac:dyDescent="0.2">
      <c r="B654"/>
      <c r="C654" s="2"/>
      <c r="D654" s="2"/>
      <c r="E654" s="2"/>
      <c r="F654" s="3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2:35" ht="15.75" customHeight="1" x14ac:dyDescent="0.2">
      <c r="B655"/>
      <c r="C655" s="2"/>
      <c r="D655" s="2"/>
      <c r="E655" s="2"/>
      <c r="F655" s="3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2:35" ht="15.75" customHeight="1" x14ac:dyDescent="0.2">
      <c r="B656"/>
      <c r="C656" s="2"/>
      <c r="D656" s="2"/>
      <c r="E656" s="2"/>
      <c r="F656" s="3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2:35" ht="15.75" customHeight="1" x14ac:dyDescent="0.2">
      <c r="B657"/>
      <c r="C657" s="2"/>
      <c r="D657" s="2"/>
      <c r="E657" s="2"/>
      <c r="F657" s="3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2:35" ht="15.75" customHeight="1" x14ac:dyDescent="0.2">
      <c r="B658"/>
      <c r="C658" s="2"/>
      <c r="D658" s="2"/>
      <c r="E658" s="2"/>
      <c r="F658" s="3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2:35" ht="15.75" customHeight="1" x14ac:dyDescent="0.2">
      <c r="B659"/>
      <c r="C659" s="2"/>
      <c r="D659" s="2"/>
      <c r="E659" s="2"/>
      <c r="F659" s="3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2:35" ht="15.75" customHeight="1" x14ac:dyDescent="0.2">
      <c r="B660"/>
      <c r="C660" s="2"/>
      <c r="D660" s="2"/>
      <c r="E660" s="2"/>
      <c r="F660" s="3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2:35" ht="15.75" customHeight="1" x14ac:dyDescent="0.2">
      <c r="B661"/>
      <c r="C661" s="2"/>
      <c r="D661" s="2"/>
      <c r="E661" s="2"/>
      <c r="F661" s="3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2:35" ht="15.75" customHeight="1" x14ac:dyDescent="0.2">
      <c r="B662"/>
      <c r="C662" s="2"/>
      <c r="D662" s="2"/>
      <c r="E662" s="2"/>
      <c r="F662" s="3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2:35" ht="15.75" customHeight="1" x14ac:dyDescent="0.2">
      <c r="B663"/>
      <c r="C663" s="2"/>
      <c r="D663" s="2"/>
      <c r="E663" s="2"/>
      <c r="F663" s="3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2:35" ht="15.75" customHeight="1" x14ac:dyDescent="0.2">
      <c r="B664"/>
      <c r="C664" s="2"/>
      <c r="D664" s="2"/>
      <c r="E664" s="2"/>
      <c r="F664" s="3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2:35" ht="15.75" customHeight="1" x14ac:dyDescent="0.2">
      <c r="B665"/>
      <c r="C665" s="2"/>
      <c r="D665" s="2"/>
      <c r="E665" s="2"/>
      <c r="F665" s="3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2:35" ht="15.75" customHeight="1" x14ac:dyDescent="0.2">
      <c r="B666"/>
      <c r="C666" s="2"/>
      <c r="D666" s="2"/>
      <c r="E666" s="2"/>
      <c r="F666" s="3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2:35" ht="15.75" customHeight="1" x14ac:dyDescent="0.2">
      <c r="B667"/>
      <c r="C667" s="2"/>
      <c r="D667" s="2"/>
      <c r="E667" s="2"/>
      <c r="F667" s="3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2:35" ht="15.75" customHeight="1" x14ac:dyDescent="0.2">
      <c r="B668"/>
      <c r="C668" s="2"/>
      <c r="D668" s="2"/>
      <c r="E668" s="2"/>
      <c r="F668" s="3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2:35" ht="15.75" customHeight="1" x14ac:dyDescent="0.2">
      <c r="B669"/>
      <c r="C669" s="2"/>
      <c r="D669" s="2"/>
      <c r="E669" s="2"/>
      <c r="F669" s="3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2:35" ht="15.75" customHeight="1" x14ac:dyDescent="0.2">
      <c r="B670"/>
      <c r="C670" s="2"/>
      <c r="D670" s="2"/>
      <c r="E670" s="2"/>
      <c r="F670" s="3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2:35" ht="15.75" customHeight="1" x14ac:dyDescent="0.2">
      <c r="B671"/>
      <c r="C671" s="2"/>
      <c r="D671" s="2"/>
      <c r="E671" s="2"/>
      <c r="F671" s="3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2:35" ht="15.75" customHeight="1" x14ac:dyDescent="0.2">
      <c r="B672"/>
      <c r="C672" s="2"/>
      <c r="D672" s="2"/>
      <c r="E672" s="2"/>
      <c r="F672" s="3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2:35" ht="15.75" customHeight="1" x14ac:dyDescent="0.2">
      <c r="B673"/>
      <c r="C673" s="2"/>
      <c r="D673" s="2"/>
      <c r="E673" s="2"/>
      <c r="F673" s="3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2:35" ht="15.75" customHeight="1" x14ac:dyDescent="0.2">
      <c r="B674"/>
      <c r="C674" s="2"/>
      <c r="D674" s="2"/>
      <c r="E674" s="2"/>
      <c r="F674" s="3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2:35" ht="15.75" customHeight="1" x14ac:dyDescent="0.2">
      <c r="B675"/>
      <c r="C675" s="2"/>
      <c r="D675" s="2"/>
      <c r="E675" s="2"/>
      <c r="F675" s="3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2:35" ht="15.75" customHeight="1" x14ac:dyDescent="0.2">
      <c r="B676"/>
      <c r="C676" s="2"/>
      <c r="D676" s="2"/>
      <c r="E676" s="2"/>
      <c r="F676" s="3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2:35" ht="15.75" customHeight="1" x14ac:dyDescent="0.2">
      <c r="B677"/>
      <c r="C677" s="2"/>
      <c r="D677" s="2"/>
      <c r="E677" s="2"/>
      <c r="F677" s="3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2:35" ht="15.75" customHeight="1" x14ac:dyDescent="0.2">
      <c r="B678"/>
      <c r="C678" s="2"/>
      <c r="D678" s="2"/>
      <c r="E678" s="2"/>
      <c r="F678" s="3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2:35" ht="15.75" customHeight="1" x14ac:dyDescent="0.2">
      <c r="B679"/>
      <c r="C679" s="2"/>
      <c r="D679" s="2"/>
      <c r="E679" s="2"/>
      <c r="F679" s="3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2:35" ht="15.75" customHeight="1" x14ac:dyDescent="0.2">
      <c r="B680"/>
      <c r="C680" s="2"/>
      <c r="D680" s="2"/>
      <c r="E680" s="2"/>
      <c r="F680" s="3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2:35" ht="15.75" customHeight="1" x14ac:dyDescent="0.2">
      <c r="B681"/>
      <c r="C681" s="2"/>
      <c r="D681" s="2"/>
      <c r="E681" s="2"/>
      <c r="F681" s="3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2:35" ht="15.75" customHeight="1" x14ac:dyDescent="0.2">
      <c r="B682"/>
      <c r="C682" s="2"/>
      <c r="D682" s="2"/>
      <c r="E682" s="2"/>
      <c r="F682" s="3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2:35" ht="15.75" customHeight="1" x14ac:dyDescent="0.2">
      <c r="B683"/>
      <c r="C683" s="2"/>
      <c r="D683" s="2"/>
      <c r="E683" s="2"/>
      <c r="F683" s="3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2:35" ht="15.75" customHeight="1" x14ac:dyDescent="0.2">
      <c r="B684"/>
      <c r="C684" s="2"/>
      <c r="D684" s="2"/>
      <c r="E684" s="2"/>
      <c r="F684" s="3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2:35" ht="15.75" customHeight="1" x14ac:dyDescent="0.2">
      <c r="B685"/>
      <c r="C685" s="2"/>
      <c r="D685" s="2"/>
      <c r="E685" s="2"/>
      <c r="F685" s="3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2:35" ht="15.75" customHeight="1" x14ac:dyDescent="0.2">
      <c r="B686"/>
      <c r="C686" s="2"/>
      <c r="D686" s="2"/>
      <c r="E686" s="2"/>
      <c r="F686" s="3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2:35" ht="15.75" customHeight="1" x14ac:dyDescent="0.2">
      <c r="B687"/>
      <c r="C687" s="2"/>
      <c r="D687" s="2"/>
      <c r="E687" s="2"/>
      <c r="F687" s="3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2:35" ht="15.75" customHeight="1" x14ac:dyDescent="0.2">
      <c r="B688"/>
      <c r="C688" s="2"/>
      <c r="D688" s="2"/>
      <c r="E688" s="2"/>
      <c r="F688" s="3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2:35" ht="15.75" customHeight="1" x14ac:dyDescent="0.2">
      <c r="B689"/>
      <c r="C689" s="2"/>
      <c r="D689" s="2"/>
      <c r="E689" s="2"/>
      <c r="F689" s="3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2:35" ht="15.75" customHeight="1" x14ac:dyDescent="0.2">
      <c r="B690"/>
      <c r="C690" s="2"/>
      <c r="D690" s="2"/>
      <c r="E690" s="2"/>
      <c r="F690" s="3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2:35" ht="15.75" customHeight="1" x14ac:dyDescent="0.2">
      <c r="B691"/>
      <c r="C691" s="2"/>
      <c r="D691" s="2"/>
      <c r="E691" s="2"/>
      <c r="F691" s="3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2:35" ht="15.75" customHeight="1" x14ac:dyDescent="0.2">
      <c r="B692"/>
      <c r="C692" s="2"/>
      <c r="D692" s="2"/>
      <c r="E692" s="2"/>
      <c r="F692" s="3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2:35" ht="15.75" customHeight="1" x14ac:dyDescent="0.2">
      <c r="B693"/>
      <c r="C693" s="2"/>
      <c r="D693" s="2"/>
      <c r="E693" s="2"/>
      <c r="F693" s="3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2:35" ht="15.75" customHeight="1" x14ac:dyDescent="0.2">
      <c r="B694"/>
      <c r="C694" s="2"/>
      <c r="D694" s="2"/>
      <c r="E694" s="2"/>
      <c r="F694" s="3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2:35" ht="15.75" customHeight="1" x14ac:dyDescent="0.2">
      <c r="B695"/>
      <c r="C695" s="2"/>
      <c r="D695" s="2"/>
      <c r="E695" s="2"/>
      <c r="F695" s="3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2:35" ht="15.75" customHeight="1" x14ac:dyDescent="0.2">
      <c r="B696"/>
      <c r="C696" s="2"/>
      <c r="D696" s="2"/>
      <c r="E696" s="2"/>
      <c r="F696" s="3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2:35" ht="15.75" customHeight="1" x14ac:dyDescent="0.2">
      <c r="B697"/>
      <c r="C697" s="2"/>
      <c r="D697" s="2"/>
      <c r="E697" s="2"/>
      <c r="F697" s="3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2:35" ht="15.75" customHeight="1" x14ac:dyDescent="0.2">
      <c r="B698"/>
      <c r="C698" s="2"/>
      <c r="D698" s="2"/>
      <c r="E698" s="2"/>
      <c r="F698" s="3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2:35" ht="15.75" customHeight="1" x14ac:dyDescent="0.2">
      <c r="B699"/>
      <c r="C699" s="2"/>
      <c r="D699" s="2"/>
      <c r="E699" s="2"/>
      <c r="F699" s="3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2:35" ht="15.75" customHeight="1" x14ac:dyDescent="0.2">
      <c r="B700"/>
      <c r="C700" s="2"/>
      <c r="D700" s="2"/>
      <c r="E700" s="2"/>
      <c r="F700" s="3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2:35" ht="15.75" customHeight="1" x14ac:dyDescent="0.2">
      <c r="B701"/>
      <c r="C701" s="2"/>
      <c r="D701" s="2"/>
      <c r="E701" s="2"/>
      <c r="F701" s="3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2:35" ht="15.75" customHeight="1" x14ac:dyDescent="0.2">
      <c r="B702"/>
      <c r="C702" s="2"/>
      <c r="D702" s="2"/>
      <c r="E702" s="2"/>
      <c r="F702" s="3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2:35" ht="15.75" customHeight="1" x14ac:dyDescent="0.2">
      <c r="B703"/>
      <c r="C703" s="2"/>
      <c r="D703" s="2"/>
      <c r="E703" s="2"/>
      <c r="F703" s="3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2:35" ht="15.75" customHeight="1" x14ac:dyDescent="0.2">
      <c r="B704"/>
      <c r="C704" s="2"/>
      <c r="D704" s="2"/>
      <c r="E704" s="2"/>
      <c r="F704" s="3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2:35" ht="15.75" customHeight="1" x14ac:dyDescent="0.2">
      <c r="B705"/>
      <c r="C705" s="2"/>
      <c r="D705" s="2"/>
      <c r="E705" s="2"/>
      <c r="F705" s="3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2:35" ht="15.75" customHeight="1" x14ac:dyDescent="0.2">
      <c r="B706"/>
      <c r="C706" s="2"/>
      <c r="D706" s="2"/>
      <c r="E706" s="2"/>
      <c r="F706" s="3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2:35" ht="15.75" customHeight="1" x14ac:dyDescent="0.2">
      <c r="B707"/>
      <c r="C707" s="2"/>
      <c r="D707" s="2"/>
      <c r="E707" s="2"/>
      <c r="F707" s="3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2:35" ht="15.75" customHeight="1" x14ac:dyDescent="0.2">
      <c r="B708"/>
      <c r="C708" s="2"/>
      <c r="D708" s="2"/>
      <c r="E708" s="2"/>
      <c r="F708" s="3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2:35" ht="15.75" customHeight="1" x14ac:dyDescent="0.2">
      <c r="B709"/>
      <c r="C709" s="2"/>
      <c r="D709" s="2"/>
      <c r="E709" s="2"/>
      <c r="F709" s="3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2:35" ht="15.75" customHeight="1" x14ac:dyDescent="0.2">
      <c r="B710"/>
      <c r="C710" s="2"/>
      <c r="D710" s="2"/>
      <c r="E710" s="2"/>
      <c r="F710" s="3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2:35" ht="15.75" customHeight="1" x14ac:dyDescent="0.2">
      <c r="B711"/>
      <c r="C711" s="2"/>
      <c r="D711" s="2"/>
      <c r="E711" s="2"/>
      <c r="F711" s="3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2:35" ht="15.75" customHeight="1" x14ac:dyDescent="0.2">
      <c r="B712"/>
    </row>
    <row r="713" spans="2:35" ht="15.75" customHeight="1" x14ac:dyDescent="0.2">
      <c r="B713"/>
    </row>
    <row r="714" spans="2:35" ht="15.75" customHeight="1" x14ac:dyDescent="0.2">
      <c r="B714"/>
    </row>
    <row r="715" spans="2:35" ht="15.75" customHeight="1" x14ac:dyDescent="0.2">
      <c r="B715"/>
    </row>
    <row r="716" spans="2:35" ht="15.75" customHeight="1" x14ac:dyDescent="0.2">
      <c r="B716"/>
    </row>
    <row r="717" spans="2:35" ht="15.75" customHeight="1" x14ac:dyDescent="0.2">
      <c r="B717"/>
    </row>
    <row r="718" spans="2:35" ht="15.75" customHeight="1" x14ac:dyDescent="0.2">
      <c r="B718"/>
    </row>
    <row r="719" spans="2:35" ht="15.75" customHeight="1" x14ac:dyDescent="0.2">
      <c r="B719"/>
    </row>
    <row r="720" spans="2:35" ht="15.75" customHeight="1" x14ac:dyDescent="0.2">
      <c r="B720"/>
    </row>
    <row r="721" spans="2:35" ht="15.75" customHeight="1" x14ac:dyDescent="0.2">
      <c r="B721"/>
    </row>
    <row r="722" spans="2:35" s="2" customFormat="1" ht="15.75" customHeight="1" x14ac:dyDescent="0.2">
      <c r="C722"/>
      <c r="D722"/>
      <c r="E722"/>
      <c r="F722" s="45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</row>
    <row r="723" spans="2:35" s="2" customFormat="1" ht="15.75" customHeight="1" x14ac:dyDescent="0.2">
      <c r="C723"/>
      <c r="D723"/>
      <c r="E723"/>
      <c r="F723" s="45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</row>
    <row r="724" spans="2:35" s="2" customFormat="1" ht="15.75" customHeight="1" x14ac:dyDescent="0.2">
      <c r="C724"/>
      <c r="D724"/>
      <c r="E724"/>
      <c r="F724" s="45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</row>
    <row r="725" spans="2:35" s="2" customFormat="1" ht="15.75" customHeight="1" x14ac:dyDescent="0.2">
      <c r="C725"/>
      <c r="D725"/>
      <c r="E725"/>
      <c r="F725" s="4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</row>
    <row r="726" spans="2:35" s="2" customFormat="1" ht="15.75" customHeight="1" x14ac:dyDescent="0.2">
      <c r="C726"/>
      <c r="D726"/>
      <c r="E726"/>
      <c r="F726" s="45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</row>
    <row r="727" spans="2:35" s="2" customFormat="1" ht="15.75" customHeight="1" x14ac:dyDescent="0.2">
      <c r="C727"/>
      <c r="D727"/>
      <c r="E727"/>
      <c r="F727" s="45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</row>
    <row r="728" spans="2:35" s="2" customFormat="1" ht="15.75" customHeight="1" x14ac:dyDescent="0.2">
      <c r="C728"/>
      <c r="D728"/>
      <c r="E728"/>
      <c r="F728" s="45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</row>
    <row r="729" spans="2:35" s="2" customFormat="1" ht="15.75" customHeight="1" x14ac:dyDescent="0.2">
      <c r="C729"/>
      <c r="D729"/>
      <c r="E729"/>
      <c r="F729" s="45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</row>
    <row r="730" spans="2:35" s="2" customFormat="1" ht="15.75" customHeight="1" x14ac:dyDescent="0.2">
      <c r="C730"/>
      <c r="D730"/>
      <c r="E730"/>
      <c r="F730" s="45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</row>
    <row r="731" spans="2:35" s="2" customFormat="1" ht="15.75" customHeight="1" x14ac:dyDescent="0.2">
      <c r="C731"/>
      <c r="D731"/>
      <c r="E731"/>
      <c r="F731" s="45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</row>
    <row r="732" spans="2:35" s="2" customFormat="1" ht="15.75" customHeight="1" x14ac:dyDescent="0.2">
      <c r="C732"/>
      <c r="D732"/>
      <c r="E732"/>
      <c r="F732" s="45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</row>
    <row r="733" spans="2:35" s="2" customFormat="1" ht="15.75" customHeight="1" x14ac:dyDescent="0.2">
      <c r="C733"/>
      <c r="D733"/>
      <c r="E733"/>
      <c r="F733" s="45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</row>
    <row r="734" spans="2:35" s="2" customFormat="1" ht="15.75" customHeight="1" x14ac:dyDescent="0.2">
      <c r="C734"/>
      <c r="D734"/>
      <c r="E734"/>
      <c r="F734" s="45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</row>
    <row r="735" spans="2:35" s="2" customFormat="1" ht="15.75" customHeight="1" x14ac:dyDescent="0.2">
      <c r="C735"/>
      <c r="D735"/>
      <c r="E735"/>
      <c r="F735" s="4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</row>
    <row r="736" spans="2:35" s="2" customFormat="1" ht="15.75" customHeight="1" x14ac:dyDescent="0.2">
      <c r="C736"/>
      <c r="D736"/>
      <c r="E736"/>
      <c r="F736" s="45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</row>
    <row r="737" spans="3:35" s="2" customFormat="1" ht="15.75" customHeight="1" x14ac:dyDescent="0.2">
      <c r="C737"/>
      <c r="D737"/>
      <c r="E737"/>
      <c r="F737" s="45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</row>
    <row r="738" spans="3:35" s="2" customFormat="1" ht="15.75" customHeight="1" x14ac:dyDescent="0.2">
      <c r="C738"/>
      <c r="D738"/>
      <c r="E738"/>
      <c r="F738" s="45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</row>
    <row r="739" spans="3:35" s="2" customFormat="1" ht="15.75" customHeight="1" x14ac:dyDescent="0.2">
      <c r="C739"/>
      <c r="D739"/>
      <c r="E739"/>
      <c r="F739" s="45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</row>
    <row r="740" spans="3:35" s="2" customFormat="1" ht="15.75" customHeight="1" x14ac:dyDescent="0.2">
      <c r="C740"/>
      <c r="D740"/>
      <c r="E740"/>
      <c r="F740" s="45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</row>
    <row r="741" spans="3:35" s="2" customFormat="1" ht="15.75" customHeight="1" x14ac:dyDescent="0.2">
      <c r="C741"/>
      <c r="D741"/>
      <c r="E741"/>
      <c r="F741" s="45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</row>
    <row r="742" spans="3:35" s="2" customFormat="1" ht="15.75" customHeight="1" x14ac:dyDescent="0.2">
      <c r="C742"/>
      <c r="D742"/>
      <c r="E742"/>
      <c r="F742" s="45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</row>
    <row r="743" spans="3:35" s="2" customFormat="1" ht="15.75" customHeight="1" x14ac:dyDescent="0.2">
      <c r="C743"/>
      <c r="D743"/>
      <c r="E743"/>
      <c r="F743" s="45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</row>
    <row r="744" spans="3:35" s="2" customFormat="1" ht="15.75" customHeight="1" x14ac:dyDescent="0.2">
      <c r="C744"/>
      <c r="D744"/>
      <c r="E744"/>
      <c r="F744" s="45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</row>
    <row r="745" spans="3:35" s="2" customFormat="1" ht="15.75" customHeight="1" x14ac:dyDescent="0.2">
      <c r="C745"/>
      <c r="D745"/>
      <c r="E745"/>
      <c r="F745" s="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</row>
    <row r="746" spans="3:35" s="2" customFormat="1" ht="15.75" customHeight="1" x14ac:dyDescent="0.2">
      <c r="C746"/>
      <c r="D746"/>
      <c r="E746"/>
      <c r="F746" s="45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</row>
    <row r="747" spans="3:35" s="2" customFormat="1" ht="15.75" customHeight="1" x14ac:dyDescent="0.2">
      <c r="C747"/>
      <c r="D747"/>
      <c r="E747"/>
      <c r="F747" s="45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</row>
    <row r="748" spans="3:35" s="2" customFormat="1" ht="15.75" customHeight="1" x14ac:dyDescent="0.2">
      <c r="C748"/>
      <c r="D748"/>
      <c r="E748"/>
      <c r="F748" s="45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</row>
    <row r="749" spans="3:35" s="2" customFormat="1" ht="15.75" customHeight="1" x14ac:dyDescent="0.2">
      <c r="C749"/>
      <c r="D749"/>
      <c r="E749"/>
      <c r="F749" s="45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</row>
    <row r="750" spans="3:35" s="2" customFormat="1" ht="15.75" customHeight="1" x14ac:dyDescent="0.2">
      <c r="C750"/>
      <c r="D750"/>
      <c r="E750"/>
      <c r="F750" s="45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</row>
    <row r="751" spans="3:35" s="2" customFormat="1" ht="15.75" customHeight="1" x14ac:dyDescent="0.2">
      <c r="C751"/>
      <c r="D751"/>
      <c r="E751"/>
      <c r="F751" s="45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</row>
    <row r="752" spans="3:35" s="2" customFormat="1" ht="15.75" customHeight="1" x14ac:dyDescent="0.2">
      <c r="C752"/>
      <c r="D752"/>
      <c r="E752"/>
      <c r="F752" s="45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</row>
    <row r="753" spans="3:35" s="2" customFormat="1" ht="15.75" customHeight="1" x14ac:dyDescent="0.2">
      <c r="C753"/>
      <c r="D753"/>
      <c r="E753"/>
      <c r="F753" s="45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</row>
    <row r="754" spans="3:35" s="2" customFormat="1" ht="15.75" customHeight="1" x14ac:dyDescent="0.2">
      <c r="C754"/>
      <c r="D754"/>
      <c r="E754"/>
      <c r="F754" s="45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</row>
    <row r="755" spans="3:35" s="2" customFormat="1" ht="15.75" customHeight="1" x14ac:dyDescent="0.2">
      <c r="C755"/>
      <c r="D755"/>
      <c r="E755"/>
      <c r="F755" s="4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</row>
    <row r="756" spans="3:35" s="2" customFormat="1" ht="15.75" customHeight="1" x14ac:dyDescent="0.2">
      <c r="C756"/>
      <c r="D756"/>
      <c r="E756"/>
      <c r="F756" s="45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</row>
    <row r="757" spans="3:35" s="2" customFormat="1" ht="15.75" customHeight="1" x14ac:dyDescent="0.2">
      <c r="C757"/>
      <c r="D757"/>
      <c r="E757"/>
      <c r="F757" s="45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</row>
    <row r="758" spans="3:35" s="2" customFormat="1" ht="15.75" customHeight="1" x14ac:dyDescent="0.2">
      <c r="C758"/>
      <c r="D758"/>
      <c r="E758"/>
      <c r="F758" s="45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</row>
    <row r="759" spans="3:35" s="2" customFormat="1" ht="15.75" customHeight="1" x14ac:dyDescent="0.2">
      <c r="C759"/>
      <c r="D759"/>
      <c r="E759"/>
      <c r="F759" s="45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</row>
    <row r="760" spans="3:35" s="2" customFormat="1" ht="15.75" customHeight="1" x14ac:dyDescent="0.2">
      <c r="C760"/>
      <c r="D760"/>
      <c r="E760"/>
      <c r="F760" s="45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</row>
    <row r="761" spans="3:35" s="2" customFormat="1" ht="15.75" customHeight="1" x14ac:dyDescent="0.2">
      <c r="C761"/>
      <c r="D761"/>
      <c r="E761"/>
      <c r="F761" s="45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</row>
    <row r="762" spans="3:35" s="2" customFormat="1" ht="15.75" customHeight="1" x14ac:dyDescent="0.2">
      <c r="C762"/>
      <c r="D762"/>
      <c r="E762"/>
      <c r="F762" s="45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</row>
    <row r="763" spans="3:35" s="2" customFormat="1" ht="15.75" customHeight="1" x14ac:dyDescent="0.2">
      <c r="C763"/>
      <c r="D763"/>
      <c r="E763"/>
      <c r="F763" s="45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</row>
    <row r="764" spans="3:35" s="2" customFormat="1" ht="15.75" customHeight="1" x14ac:dyDescent="0.2">
      <c r="C764"/>
      <c r="D764"/>
      <c r="E764"/>
      <c r="F764" s="45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</row>
    <row r="765" spans="3:35" s="2" customFormat="1" ht="15.75" customHeight="1" x14ac:dyDescent="0.2">
      <c r="C765"/>
      <c r="D765"/>
      <c r="E765"/>
      <c r="F765" s="4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</row>
    <row r="766" spans="3:35" s="2" customFormat="1" ht="15.75" customHeight="1" x14ac:dyDescent="0.2">
      <c r="C766"/>
      <c r="D766"/>
      <c r="E766"/>
      <c r="F766" s="45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</row>
    <row r="767" spans="3:35" s="2" customFormat="1" ht="15.75" customHeight="1" x14ac:dyDescent="0.2">
      <c r="C767"/>
      <c r="D767"/>
      <c r="E767"/>
      <c r="F767" s="45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3:35" s="2" customFormat="1" ht="15.75" customHeight="1" x14ac:dyDescent="0.2">
      <c r="C768"/>
      <c r="D768"/>
      <c r="E768"/>
      <c r="F768" s="45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</row>
    <row r="769" spans="3:35" s="2" customFormat="1" ht="15.75" customHeight="1" x14ac:dyDescent="0.2">
      <c r="C769"/>
      <c r="D769"/>
      <c r="E769"/>
      <c r="F769" s="45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</row>
    <row r="770" spans="3:35" s="2" customFormat="1" ht="15.75" customHeight="1" x14ac:dyDescent="0.2">
      <c r="C770"/>
      <c r="D770"/>
      <c r="E770"/>
      <c r="F770" s="45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</row>
    <row r="771" spans="3:35" s="2" customFormat="1" ht="15.75" customHeight="1" x14ac:dyDescent="0.2">
      <c r="C771"/>
      <c r="D771"/>
      <c r="E771"/>
      <c r="F771" s="45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</row>
    <row r="772" spans="3:35" s="2" customFormat="1" ht="15.75" customHeight="1" x14ac:dyDescent="0.2">
      <c r="C772"/>
      <c r="D772"/>
      <c r="E772"/>
      <c r="F772" s="45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</row>
    <row r="773" spans="3:35" s="2" customFormat="1" ht="15.75" customHeight="1" x14ac:dyDescent="0.2">
      <c r="C773"/>
      <c r="D773"/>
      <c r="E773"/>
      <c r="F773" s="45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</row>
    <row r="774" spans="3:35" s="2" customFormat="1" ht="15.75" customHeight="1" x14ac:dyDescent="0.2">
      <c r="C774"/>
      <c r="D774"/>
      <c r="E774"/>
      <c r="F774" s="45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</row>
    <row r="775" spans="3:35" s="2" customFormat="1" ht="15.75" customHeight="1" x14ac:dyDescent="0.2">
      <c r="C775"/>
      <c r="D775"/>
      <c r="E775"/>
      <c r="F775" s="4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</row>
    <row r="776" spans="3:35" s="2" customFormat="1" ht="15.75" customHeight="1" x14ac:dyDescent="0.2">
      <c r="C776"/>
      <c r="D776"/>
      <c r="E776"/>
      <c r="F776" s="45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3:35" s="2" customFormat="1" ht="15.75" customHeight="1" x14ac:dyDescent="0.2">
      <c r="C777"/>
      <c r="D777"/>
      <c r="E777"/>
      <c r="F777" s="45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3:35" s="2" customFormat="1" ht="15.75" customHeight="1" x14ac:dyDescent="0.2">
      <c r="C778"/>
      <c r="D778"/>
      <c r="E778"/>
      <c r="F778" s="45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3:35" s="2" customFormat="1" ht="15.75" customHeight="1" x14ac:dyDescent="0.2">
      <c r="C779"/>
      <c r="D779"/>
      <c r="E779"/>
      <c r="F779" s="45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</row>
    <row r="780" spans="3:35" s="2" customFormat="1" ht="15.75" customHeight="1" x14ac:dyDescent="0.2">
      <c r="C780"/>
      <c r="D780"/>
      <c r="E780"/>
      <c r="F780" s="45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</row>
    <row r="781" spans="3:35" s="2" customFormat="1" ht="15.75" customHeight="1" x14ac:dyDescent="0.2">
      <c r="C781"/>
      <c r="D781"/>
      <c r="E781"/>
      <c r="F781" s="45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</row>
    <row r="782" spans="3:35" s="2" customFormat="1" ht="15.75" customHeight="1" x14ac:dyDescent="0.2">
      <c r="C782"/>
      <c r="D782"/>
      <c r="E782"/>
      <c r="F782" s="45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</row>
    <row r="783" spans="3:35" s="2" customFormat="1" ht="15.75" customHeight="1" x14ac:dyDescent="0.2">
      <c r="C783"/>
      <c r="D783"/>
      <c r="E783"/>
      <c r="F783" s="45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</row>
    <row r="784" spans="3:35" s="2" customFormat="1" ht="15.75" customHeight="1" x14ac:dyDescent="0.2">
      <c r="C784"/>
      <c r="D784"/>
      <c r="E784"/>
      <c r="F784" s="45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</row>
    <row r="785" spans="3:35" s="2" customFormat="1" ht="15.75" customHeight="1" x14ac:dyDescent="0.2">
      <c r="C785"/>
      <c r="D785"/>
      <c r="E785"/>
      <c r="F785" s="4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</row>
    <row r="786" spans="3:35" s="2" customFormat="1" ht="15.75" customHeight="1" x14ac:dyDescent="0.2">
      <c r="C786"/>
      <c r="D786"/>
      <c r="E786"/>
      <c r="F786" s="45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</row>
    <row r="787" spans="3:35" s="2" customFormat="1" ht="15.75" customHeight="1" x14ac:dyDescent="0.2">
      <c r="C787"/>
      <c r="D787"/>
      <c r="E787"/>
      <c r="F787" s="45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</row>
    <row r="788" spans="3:35" s="2" customFormat="1" ht="15.75" customHeight="1" x14ac:dyDescent="0.2">
      <c r="C788"/>
      <c r="D788"/>
      <c r="E788"/>
      <c r="F788" s="45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</row>
    <row r="789" spans="3:35" s="2" customFormat="1" ht="15.75" customHeight="1" x14ac:dyDescent="0.2">
      <c r="C789"/>
      <c r="D789"/>
      <c r="E789"/>
      <c r="F789" s="45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</row>
    <row r="790" spans="3:35" s="2" customFormat="1" ht="15.75" customHeight="1" x14ac:dyDescent="0.2">
      <c r="C790"/>
      <c r="D790"/>
      <c r="E790"/>
      <c r="F790" s="45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</row>
    <row r="791" spans="3:35" s="2" customFormat="1" ht="15.75" customHeight="1" x14ac:dyDescent="0.2">
      <c r="C791"/>
      <c r="D791"/>
      <c r="E791"/>
      <c r="F791" s="45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</row>
    <row r="792" spans="3:35" s="2" customFormat="1" ht="15.75" customHeight="1" x14ac:dyDescent="0.2">
      <c r="C792"/>
      <c r="D792"/>
      <c r="E792"/>
      <c r="F792" s="45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</row>
    <row r="793" spans="3:35" s="2" customFormat="1" ht="15.75" customHeight="1" x14ac:dyDescent="0.2">
      <c r="C793"/>
      <c r="D793"/>
      <c r="E793"/>
      <c r="F793" s="45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</row>
    <row r="794" spans="3:35" s="2" customFormat="1" ht="15.75" customHeight="1" x14ac:dyDescent="0.2">
      <c r="C794"/>
      <c r="D794"/>
      <c r="E794"/>
      <c r="F794" s="45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</row>
    <row r="795" spans="3:35" s="2" customFormat="1" ht="15.75" customHeight="1" x14ac:dyDescent="0.2">
      <c r="C795"/>
      <c r="D795"/>
      <c r="E795"/>
      <c r="F795" s="4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</row>
    <row r="796" spans="3:35" s="2" customFormat="1" ht="15.75" customHeight="1" x14ac:dyDescent="0.2">
      <c r="C796"/>
      <c r="D796"/>
      <c r="E796"/>
      <c r="F796" s="45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</row>
    <row r="797" spans="3:35" s="2" customFormat="1" ht="15.75" customHeight="1" x14ac:dyDescent="0.2">
      <c r="C797"/>
      <c r="D797"/>
      <c r="E797"/>
      <c r="F797" s="45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</row>
    <row r="798" spans="3:35" s="2" customFormat="1" ht="15.75" customHeight="1" x14ac:dyDescent="0.2">
      <c r="C798"/>
      <c r="D798"/>
      <c r="E798"/>
      <c r="F798" s="45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</row>
    <row r="799" spans="3:35" s="2" customFormat="1" ht="15.75" customHeight="1" x14ac:dyDescent="0.2">
      <c r="C799"/>
      <c r="D799"/>
      <c r="E799"/>
      <c r="F799" s="45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</row>
    <row r="800" spans="3:35" s="2" customFormat="1" ht="15.75" customHeight="1" x14ac:dyDescent="0.2">
      <c r="C800"/>
      <c r="D800"/>
      <c r="E800"/>
      <c r="F800" s="45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</row>
    <row r="801" spans="3:35" s="2" customFormat="1" ht="15.75" customHeight="1" x14ac:dyDescent="0.2">
      <c r="C801"/>
      <c r="D801"/>
      <c r="E801"/>
      <c r="F801" s="45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</row>
    <row r="802" spans="3:35" s="2" customFormat="1" ht="15.75" customHeight="1" x14ac:dyDescent="0.2">
      <c r="C802"/>
      <c r="D802"/>
      <c r="E802"/>
      <c r="F802" s="45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</row>
    <row r="803" spans="3:35" s="2" customFormat="1" ht="15.75" customHeight="1" x14ac:dyDescent="0.2">
      <c r="C803"/>
      <c r="D803"/>
      <c r="E803"/>
      <c r="F803" s="45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</row>
    <row r="804" spans="3:35" s="2" customFormat="1" ht="15.75" customHeight="1" x14ac:dyDescent="0.2">
      <c r="C804"/>
      <c r="D804"/>
      <c r="E804"/>
      <c r="F804" s="45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</row>
    <row r="805" spans="3:35" s="2" customFormat="1" ht="15.75" customHeight="1" x14ac:dyDescent="0.2">
      <c r="C805"/>
      <c r="D805"/>
      <c r="E805"/>
      <c r="F805" s="4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</row>
    <row r="806" spans="3:35" s="2" customFormat="1" ht="15.75" customHeight="1" x14ac:dyDescent="0.2">
      <c r="C806"/>
      <c r="D806"/>
      <c r="E806"/>
      <c r="F806" s="45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3:35" s="2" customFormat="1" ht="15.75" customHeight="1" x14ac:dyDescent="0.2">
      <c r="C807"/>
      <c r="D807"/>
      <c r="E807"/>
      <c r="F807" s="45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</row>
    <row r="808" spans="3:35" s="2" customFormat="1" ht="15.75" customHeight="1" x14ac:dyDescent="0.2">
      <c r="C808"/>
      <c r="D808"/>
      <c r="E808"/>
      <c r="F808" s="45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</row>
    <row r="809" spans="3:35" s="2" customFormat="1" ht="15.75" customHeight="1" x14ac:dyDescent="0.2">
      <c r="C809"/>
      <c r="D809"/>
      <c r="E809"/>
      <c r="F809" s="45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</row>
    <row r="810" spans="3:35" s="2" customFormat="1" ht="15.75" customHeight="1" x14ac:dyDescent="0.2">
      <c r="C810"/>
      <c r="D810"/>
      <c r="E810"/>
      <c r="F810" s="45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</row>
    <row r="811" spans="3:35" s="2" customFormat="1" ht="15.75" customHeight="1" x14ac:dyDescent="0.2">
      <c r="C811"/>
      <c r="D811"/>
      <c r="E811"/>
      <c r="F811" s="45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</row>
    <row r="812" spans="3:35" s="2" customFormat="1" ht="15.75" customHeight="1" x14ac:dyDescent="0.2">
      <c r="C812"/>
      <c r="D812"/>
      <c r="E812"/>
      <c r="F812" s="45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</row>
    <row r="813" spans="3:35" s="2" customFormat="1" ht="15.75" customHeight="1" x14ac:dyDescent="0.2">
      <c r="C813"/>
      <c r="D813"/>
      <c r="E813"/>
      <c r="F813" s="45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</row>
    <row r="814" spans="3:35" s="2" customFormat="1" ht="15.75" customHeight="1" x14ac:dyDescent="0.2">
      <c r="C814"/>
      <c r="D814"/>
      <c r="E814"/>
      <c r="F814" s="45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</row>
    <row r="815" spans="3:35" s="2" customFormat="1" ht="15.75" customHeight="1" x14ac:dyDescent="0.2">
      <c r="C815"/>
      <c r="D815"/>
      <c r="E815"/>
      <c r="F815" s="4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</row>
  </sheetData>
  <mergeCells count="5">
    <mergeCell ref="C2:F2"/>
    <mergeCell ref="C3:F3"/>
    <mergeCell ref="B5:B6"/>
    <mergeCell ref="C5:C6"/>
    <mergeCell ref="D5:F5"/>
  </mergeCells>
  <phoneticPr fontId="11" type="noConversion"/>
  <printOptions horizontalCentered="1"/>
  <pageMargins left="0.70866141732283472" right="0.70866141732283472" top="0.35433070866141736" bottom="0.74803149606299213" header="0.31496062992125984" footer="0.31496062992125984"/>
  <pageSetup paperSize="9" scale="70" orientation="portrait" r:id="rId1"/>
  <rowBreaks count="2" manualBreakCount="2">
    <brk id="128" max="5" man="1"/>
    <brk id="1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44"/>
  <sheetViews>
    <sheetView zoomScaleNormal="100" workbookViewId="0">
      <selection activeCell="K15" sqref="K15"/>
    </sheetView>
  </sheetViews>
  <sheetFormatPr defaultRowHeight="12.75" x14ac:dyDescent="0.2"/>
  <cols>
    <col min="1" max="1" width="6.28515625" style="2" customWidth="1"/>
    <col min="2" max="2" width="63.28515625" customWidth="1"/>
    <col min="3" max="4" width="17.85546875" style="45" customWidth="1"/>
    <col min="5" max="5" width="13.85546875" style="199" hidden="1" customWidth="1"/>
    <col min="6" max="7" width="13.85546875" style="45" hidden="1" customWidth="1"/>
    <col min="8" max="8" width="12.85546875" hidden="1" customWidth="1"/>
    <col min="9" max="9" width="11.28515625" customWidth="1"/>
    <col min="10" max="10" width="10.85546875" customWidth="1"/>
    <col min="11" max="11" width="9.140625" customWidth="1"/>
  </cols>
  <sheetData>
    <row r="1" spans="1:43" ht="15" customHeight="1" x14ac:dyDescent="0.3">
      <c r="A1" s="65"/>
      <c r="B1" s="213"/>
      <c r="D1" s="214" t="s">
        <v>995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customHeight="1" x14ac:dyDescent="0.3">
      <c r="A2" s="65"/>
      <c r="B2" s="213"/>
      <c r="D2" s="21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9.5" x14ac:dyDescent="0.35">
      <c r="A3" s="928" t="s">
        <v>27</v>
      </c>
      <c r="B3" s="928"/>
      <c r="C3" s="936"/>
      <c r="D3" s="936"/>
      <c r="E3" s="936"/>
      <c r="F3" s="936"/>
      <c r="G3" s="9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9.5" x14ac:dyDescent="0.35">
      <c r="A4" s="928" t="s">
        <v>1056</v>
      </c>
      <c r="B4" s="928"/>
      <c r="C4" s="936"/>
      <c r="D4" s="936"/>
      <c r="E4" s="936"/>
      <c r="F4" s="936"/>
      <c r="G4" s="93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3.5" thickBot="1" x14ac:dyDescent="0.25">
      <c r="A5" s="65"/>
      <c r="B5" s="65"/>
      <c r="D5" s="214" t="s"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53.25" customHeight="1" thickBot="1" x14ac:dyDescent="0.25">
      <c r="A6" s="270" t="s">
        <v>124</v>
      </c>
      <c r="B6" s="54" t="s">
        <v>397</v>
      </c>
      <c r="C6" s="54" t="s">
        <v>766</v>
      </c>
      <c r="D6" s="54" t="s">
        <v>1335</v>
      </c>
      <c r="E6" s="54" t="s">
        <v>1057</v>
      </c>
      <c r="F6" s="54" t="s">
        <v>1057</v>
      </c>
      <c r="G6" s="55" t="s">
        <v>1058</v>
      </c>
      <c r="H6" s="2"/>
      <c r="I6" s="2"/>
      <c r="J6" s="39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22.5" customHeight="1" x14ac:dyDescent="0.2">
      <c r="A7" s="170" t="s">
        <v>375</v>
      </c>
      <c r="B7" s="280" t="s">
        <v>360</v>
      </c>
      <c r="C7" s="205">
        <f>SUM(C8:C49)</f>
        <v>898450</v>
      </c>
      <c r="D7" s="205">
        <f>SUM(D8:D49)</f>
        <v>1036486</v>
      </c>
      <c r="E7" s="205" t="e">
        <f>SUM(E8:E49)</f>
        <v>#REF!</v>
      </c>
      <c r="F7" s="205" t="e">
        <f>SUM(F8:F49)</f>
        <v>#REF!</v>
      </c>
      <c r="G7" s="205" t="e">
        <f>SUM(G8:G49)</f>
        <v>#REF!</v>
      </c>
      <c r="H7" s="2"/>
      <c r="I7" s="37"/>
      <c r="J7" s="39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8" customHeight="1" x14ac:dyDescent="0.25">
      <c r="A8" s="18" t="s">
        <v>126</v>
      </c>
      <c r="B8" s="30" t="s">
        <v>227</v>
      </c>
      <c r="C8" s="46">
        <f>SUM('2.működés'!C8)</f>
        <v>457088</v>
      </c>
      <c r="D8" s="46">
        <f>SUM('2.működés'!D8)</f>
        <v>468558</v>
      </c>
      <c r="E8" s="46" t="e">
        <f>SUM('2.működés'!E8)</f>
        <v>#REF!</v>
      </c>
      <c r="F8" s="46" t="e">
        <f>SUM('2.működés'!F8)</f>
        <v>#REF!</v>
      </c>
      <c r="G8" s="46" t="e">
        <f>SUM('2.működés'!G8)</f>
        <v>#REF!</v>
      </c>
      <c r="H8" s="2"/>
      <c r="I8" s="37"/>
      <c r="J8" s="39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3.5" hidden="1" customHeight="1" x14ac:dyDescent="0.2">
      <c r="A9" s="9" t="s">
        <v>127</v>
      </c>
      <c r="B9" s="9" t="s">
        <v>135</v>
      </c>
      <c r="C9" s="6"/>
      <c r="D9" s="6"/>
      <c r="E9" s="6"/>
      <c r="F9" s="6"/>
      <c r="G9" s="6"/>
      <c r="H9" s="2"/>
      <c r="I9" s="36"/>
      <c r="J9" s="39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3.5" hidden="1" customHeight="1" x14ac:dyDescent="0.2">
      <c r="A10" s="9" t="s">
        <v>176</v>
      </c>
      <c r="B10" s="9" t="s">
        <v>177</v>
      </c>
      <c r="C10" s="6"/>
      <c r="D10" s="6"/>
      <c r="E10" s="6"/>
      <c r="F10" s="6"/>
      <c r="G10" s="6"/>
      <c r="H10" s="2"/>
      <c r="I10" s="36"/>
      <c r="J10" s="39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3.5" hidden="1" customHeight="1" x14ac:dyDescent="0.2">
      <c r="A11" s="9" t="s">
        <v>128</v>
      </c>
      <c r="B11" s="9" t="s">
        <v>132</v>
      </c>
      <c r="C11" s="7"/>
      <c r="D11" s="7"/>
      <c r="E11" s="7"/>
      <c r="F11" s="7"/>
      <c r="G11" s="7"/>
      <c r="H11" s="2"/>
      <c r="I11" s="36"/>
      <c r="J11" s="39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3.5" hidden="1" customHeight="1" x14ac:dyDescent="0.2">
      <c r="A12" s="9" t="s">
        <v>129</v>
      </c>
      <c r="B12" s="9" t="s">
        <v>133</v>
      </c>
      <c r="C12" s="13"/>
      <c r="D12" s="13"/>
      <c r="E12" s="13"/>
      <c r="F12" s="13"/>
      <c r="G12" s="13"/>
      <c r="H12" s="2"/>
      <c r="I12" s="36"/>
      <c r="J12" s="39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3.5" hidden="1" customHeight="1" x14ac:dyDescent="0.2">
      <c r="A13" s="9" t="s">
        <v>130</v>
      </c>
      <c r="B13" s="9" t="s">
        <v>134</v>
      </c>
      <c r="C13" s="17"/>
      <c r="D13" s="17"/>
      <c r="E13" s="17"/>
      <c r="F13" s="17"/>
      <c r="G13" s="17"/>
      <c r="H13" s="2"/>
      <c r="I13" s="36"/>
      <c r="J13" s="39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2.75" hidden="1" customHeight="1" x14ac:dyDescent="0.2">
      <c r="A14" s="9" t="s">
        <v>131</v>
      </c>
      <c r="B14" s="9" t="s">
        <v>136</v>
      </c>
      <c r="C14" s="17"/>
      <c r="D14" s="17"/>
      <c r="E14" s="17"/>
      <c r="F14" s="17"/>
      <c r="G14" s="17"/>
      <c r="H14" s="2"/>
      <c r="I14" s="36"/>
      <c r="J14" s="39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8" customHeight="1" x14ac:dyDescent="0.25">
      <c r="A15" s="18" t="s">
        <v>137</v>
      </c>
      <c r="B15" s="30" t="s">
        <v>228</v>
      </c>
      <c r="C15" s="51">
        <f>SUM('3.felh'!C12)</f>
        <v>23534</v>
      </c>
      <c r="D15" s="51">
        <f>SUM('3.felh'!D12)</f>
        <v>144238</v>
      </c>
      <c r="E15" s="51">
        <f>SUM('3.felh'!E12)</f>
        <v>322402</v>
      </c>
      <c r="F15" s="51">
        <f>SUM('3.felh'!F12)</f>
        <v>322402</v>
      </c>
      <c r="G15" s="51">
        <f>SUM('3.felh'!G12)</f>
        <v>322402</v>
      </c>
      <c r="H15" s="2"/>
      <c r="I15" s="36"/>
      <c r="J15" s="39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2.75" hidden="1" customHeight="1" x14ac:dyDescent="0.2">
      <c r="A16" s="9" t="s">
        <v>138</v>
      </c>
      <c r="B16" s="9" t="s">
        <v>145</v>
      </c>
      <c r="C16" s="6"/>
      <c r="D16" s="6"/>
      <c r="E16" s="6"/>
      <c r="F16" s="6"/>
      <c r="G16" s="6"/>
      <c r="H16" s="2"/>
      <c r="I16" s="36"/>
      <c r="J16" s="39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2.75" hidden="1" customHeight="1" x14ac:dyDescent="0.2">
      <c r="A17" s="9" t="s">
        <v>178</v>
      </c>
      <c r="B17" s="9" t="s">
        <v>179</v>
      </c>
      <c r="C17" s="17"/>
      <c r="D17" s="17"/>
      <c r="E17" s="17"/>
      <c r="F17" s="17"/>
      <c r="G17" s="17"/>
      <c r="H17" s="2"/>
      <c r="I17" s="36"/>
      <c r="J17" s="39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2.75" hidden="1" customHeight="1" x14ac:dyDescent="0.2">
      <c r="A18" s="9" t="s">
        <v>139</v>
      </c>
      <c r="B18" s="9" t="s">
        <v>142</v>
      </c>
      <c r="C18" s="17"/>
      <c r="D18" s="17"/>
      <c r="E18" s="17"/>
      <c r="F18" s="17"/>
      <c r="G18" s="17"/>
      <c r="H18" s="2"/>
      <c r="I18" s="36"/>
      <c r="J18" s="39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2.75" hidden="1" customHeight="1" x14ac:dyDescent="0.2">
      <c r="A19" s="9" t="s">
        <v>140</v>
      </c>
      <c r="B19" s="9" t="s">
        <v>143</v>
      </c>
      <c r="C19" s="17"/>
      <c r="D19" s="17"/>
      <c r="E19" s="17"/>
      <c r="F19" s="17"/>
      <c r="G19" s="17"/>
      <c r="H19" s="2"/>
      <c r="I19" s="36"/>
      <c r="J19" s="39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2.75" hidden="1" customHeight="1" x14ac:dyDescent="0.2">
      <c r="A20" s="9" t="s">
        <v>141</v>
      </c>
      <c r="B20" s="9" t="s">
        <v>144</v>
      </c>
      <c r="C20" s="17"/>
      <c r="D20" s="17"/>
      <c r="E20" s="17"/>
      <c r="F20" s="17"/>
      <c r="G20" s="17"/>
      <c r="H20" s="2"/>
      <c r="I20" s="36"/>
      <c r="J20" s="39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8" customHeight="1" x14ac:dyDescent="0.25">
      <c r="A21" s="18" t="s">
        <v>146</v>
      </c>
      <c r="B21" s="30" t="s">
        <v>108</v>
      </c>
      <c r="C21" s="51">
        <f>SUM('2.működés'!C67)</f>
        <v>312000</v>
      </c>
      <c r="D21" s="206">
        <f>SUM('2.működés'!D67)</f>
        <v>312000</v>
      </c>
      <c r="E21" s="206">
        <f>SUM('2.működés'!E67)</f>
        <v>285200</v>
      </c>
      <c r="F21" s="51">
        <f>SUM('2.működés'!F67)</f>
        <v>285200</v>
      </c>
      <c r="G21" s="51">
        <f>SUM('2.működés'!G67)</f>
        <v>285200</v>
      </c>
      <c r="H21" s="8"/>
      <c r="I21" s="36"/>
      <c r="J21" s="39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2.75" hidden="1" customHeight="1" x14ac:dyDescent="0.2">
      <c r="A22" s="9" t="s">
        <v>147</v>
      </c>
      <c r="B22" s="9" t="s">
        <v>153</v>
      </c>
      <c r="C22" s="17"/>
      <c r="D22" s="16"/>
      <c r="E22" s="16"/>
      <c r="F22" s="17"/>
      <c r="G22" s="17"/>
      <c r="H22" s="8"/>
      <c r="I22" s="36"/>
      <c r="J22" s="39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2.75" hidden="1" customHeight="1" x14ac:dyDescent="0.2">
      <c r="A23" s="9" t="s">
        <v>148</v>
      </c>
      <c r="B23" s="9" t="s">
        <v>154</v>
      </c>
      <c r="C23" s="17"/>
      <c r="D23" s="16"/>
      <c r="E23" s="16"/>
      <c r="F23" s="17"/>
      <c r="G23" s="17"/>
      <c r="H23" s="8"/>
      <c r="I23" s="36"/>
      <c r="J23" s="39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2.75" hidden="1" customHeight="1" x14ac:dyDescent="0.2">
      <c r="A24" s="9" t="s">
        <v>149</v>
      </c>
      <c r="B24" s="26" t="s">
        <v>155</v>
      </c>
      <c r="C24" s="58"/>
      <c r="D24" s="230"/>
      <c r="E24" s="230"/>
      <c r="F24" s="58"/>
      <c r="G24" s="58"/>
      <c r="H24" s="8"/>
      <c r="I24" s="36"/>
      <c r="J24" s="39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2.75" hidden="1" customHeight="1" x14ac:dyDescent="0.2">
      <c r="A25" s="9" t="s">
        <v>150</v>
      </c>
      <c r="B25" s="9" t="s">
        <v>182</v>
      </c>
      <c r="C25" s="47"/>
      <c r="D25" s="47"/>
      <c r="E25" s="47"/>
      <c r="F25" s="47"/>
      <c r="G25" s="47"/>
      <c r="H25" s="8"/>
      <c r="I25" s="36"/>
      <c r="J25" s="39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s="59" customFormat="1" ht="12.75" hidden="1" customHeight="1" x14ac:dyDescent="0.2">
      <c r="A26" s="9" t="s">
        <v>151</v>
      </c>
      <c r="B26" s="9" t="s">
        <v>183</v>
      </c>
      <c r="C26" s="17"/>
      <c r="D26" s="16"/>
      <c r="E26" s="16"/>
      <c r="F26" s="17"/>
      <c r="G26" s="17"/>
      <c r="H26" s="8"/>
      <c r="I26" s="36"/>
      <c r="J26" s="39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s="59" customFormat="1" ht="12.75" hidden="1" customHeight="1" x14ac:dyDescent="0.2">
      <c r="A27" s="9" t="s">
        <v>152</v>
      </c>
      <c r="B27" s="9" t="s">
        <v>156</v>
      </c>
      <c r="C27" s="17"/>
      <c r="D27" s="16"/>
      <c r="E27" s="16"/>
      <c r="F27" s="17"/>
      <c r="G27" s="17"/>
      <c r="H27" s="8"/>
      <c r="I27" s="36"/>
      <c r="J27" s="39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s="59" customFormat="1" ht="18" customHeight="1" x14ac:dyDescent="0.25">
      <c r="A28" s="18" t="s">
        <v>157</v>
      </c>
      <c r="B28" s="30" t="s">
        <v>229</v>
      </c>
      <c r="C28" s="51">
        <f>SUM('2.működés'!C80)</f>
        <v>38528</v>
      </c>
      <c r="D28" s="206">
        <f>SUM('2.működés'!D80)</f>
        <v>39270</v>
      </c>
      <c r="E28" s="206">
        <f>SUM('2.működés'!E80)</f>
        <v>64720</v>
      </c>
      <c r="F28" s="51">
        <f>SUM('2.működés'!F80)</f>
        <v>64720</v>
      </c>
      <c r="G28" s="51">
        <f>SUM('2.működés'!G80)</f>
        <v>64720</v>
      </c>
      <c r="H28" s="8"/>
      <c r="I28" s="36"/>
      <c r="J28" s="39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3.5" hidden="1" customHeight="1" x14ac:dyDescent="0.2">
      <c r="A29" s="9" t="s">
        <v>160</v>
      </c>
      <c r="B29" s="9" t="s">
        <v>158</v>
      </c>
      <c r="C29" s="17"/>
      <c r="D29" s="17"/>
      <c r="E29" s="17"/>
      <c r="F29" s="17"/>
      <c r="G29" s="17"/>
      <c r="H29" s="8"/>
      <c r="I29" s="36"/>
      <c r="J29" s="39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s="59" customFormat="1" ht="13.5" hidden="1" customHeight="1" x14ac:dyDescent="0.2">
      <c r="A30" s="9" t="s">
        <v>161</v>
      </c>
      <c r="B30" s="9" t="s">
        <v>159</v>
      </c>
      <c r="C30" s="17"/>
      <c r="D30" s="17"/>
      <c r="E30" s="17"/>
      <c r="F30" s="17"/>
      <c r="G30" s="17"/>
      <c r="H30" s="8"/>
      <c r="I30" s="36"/>
      <c r="J30" s="39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s="59" customFormat="1" ht="13.5" hidden="1" customHeight="1" x14ac:dyDescent="0.2">
      <c r="A31" s="9" t="s">
        <v>162</v>
      </c>
      <c r="B31" s="9" t="s">
        <v>165</v>
      </c>
      <c r="C31" s="13"/>
      <c r="D31" s="13"/>
      <c r="E31" s="13"/>
      <c r="F31" s="13"/>
      <c r="G31" s="13"/>
      <c r="H31" s="8"/>
      <c r="I31" s="36"/>
      <c r="J31" s="3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13.5" hidden="1" customHeight="1" x14ac:dyDescent="0.2">
      <c r="A32" s="9" t="s">
        <v>163</v>
      </c>
      <c r="B32" s="26" t="s">
        <v>166</v>
      </c>
      <c r="C32" s="9"/>
      <c r="D32" s="9"/>
      <c r="E32" s="9"/>
      <c r="F32" s="9"/>
      <c r="G32" s="9"/>
      <c r="H32" s="8"/>
      <c r="I32" s="36"/>
      <c r="J32" s="3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2.75" hidden="1" customHeight="1" x14ac:dyDescent="0.2">
      <c r="A33" s="9" t="s">
        <v>164</v>
      </c>
      <c r="B33" s="26" t="s">
        <v>167</v>
      </c>
      <c r="C33" s="9"/>
      <c r="D33" s="9"/>
      <c r="E33" s="9"/>
      <c r="F33" s="9"/>
      <c r="G33" s="9"/>
      <c r="H33" s="8"/>
      <c r="I33" s="36"/>
      <c r="J33" s="3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2.75" hidden="1" customHeight="1" x14ac:dyDescent="0.2">
      <c r="A34" s="9" t="s">
        <v>168</v>
      </c>
      <c r="B34" s="26" t="s">
        <v>169</v>
      </c>
      <c r="C34" s="9"/>
      <c r="D34" s="9"/>
      <c r="E34" s="9"/>
      <c r="F34" s="9"/>
      <c r="G34" s="9"/>
      <c r="H34" s="8"/>
      <c r="I34" s="36"/>
      <c r="J34" s="3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2.75" hidden="1" customHeight="1" x14ac:dyDescent="0.2">
      <c r="A35" s="9" t="s">
        <v>170</v>
      </c>
      <c r="B35" s="26" t="s">
        <v>171</v>
      </c>
      <c r="C35" s="9"/>
      <c r="D35" s="9"/>
      <c r="E35" s="9"/>
      <c r="F35" s="9"/>
      <c r="G35" s="9"/>
      <c r="H35" s="8"/>
      <c r="I35" s="36"/>
      <c r="J35" s="3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2.75" hidden="1" customHeight="1" x14ac:dyDescent="0.2">
      <c r="A36" s="9" t="s">
        <v>172</v>
      </c>
      <c r="B36" s="26" t="s">
        <v>173</v>
      </c>
      <c r="C36" s="9"/>
      <c r="D36" s="9"/>
      <c r="E36" s="9"/>
      <c r="F36" s="9"/>
      <c r="G36" s="9"/>
      <c r="H36" s="8"/>
      <c r="I36" s="36"/>
      <c r="J36" s="3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2.75" hidden="1" customHeight="1" x14ac:dyDescent="0.2">
      <c r="A37" s="9" t="s">
        <v>174</v>
      </c>
      <c r="B37" s="26" t="s">
        <v>175</v>
      </c>
      <c r="C37" s="9"/>
      <c r="D37" s="9"/>
      <c r="E37" s="9"/>
      <c r="F37" s="9"/>
      <c r="G37" s="9"/>
      <c r="H37" s="8"/>
      <c r="I37" s="36"/>
      <c r="J37" s="3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2.75" hidden="1" customHeight="1" x14ac:dyDescent="0.2">
      <c r="A38" s="9" t="s">
        <v>180</v>
      </c>
      <c r="B38" s="26" t="s">
        <v>181</v>
      </c>
      <c r="C38" s="9"/>
      <c r="D38" s="9"/>
      <c r="E38" s="9"/>
      <c r="F38" s="9"/>
      <c r="G38" s="9"/>
      <c r="H38" s="8"/>
      <c r="I38" s="36"/>
      <c r="J38" s="3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7.25" customHeight="1" x14ac:dyDescent="0.25">
      <c r="A39" s="18" t="s">
        <v>184</v>
      </c>
      <c r="B39" s="30" t="s">
        <v>230</v>
      </c>
      <c r="C39" s="51">
        <f>SUM('3.felh'!C18)</f>
        <v>40000</v>
      </c>
      <c r="D39" s="51">
        <f>SUM('3.felh'!D18)</f>
        <v>40000</v>
      </c>
      <c r="E39" s="51">
        <f>SUM('3.felh'!E18)</f>
        <v>18641</v>
      </c>
      <c r="F39" s="51">
        <f>SUM('3.felh'!F18)</f>
        <v>18641</v>
      </c>
      <c r="G39" s="51">
        <f>SUM('3.felh'!G18)</f>
        <v>18641</v>
      </c>
      <c r="H39" s="2"/>
      <c r="I39" s="36"/>
      <c r="J39" s="3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2.75" hidden="1" customHeight="1" x14ac:dyDescent="0.2">
      <c r="A40" s="9" t="s">
        <v>185</v>
      </c>
      <c r="B40" s="26" t="s">
        <v>190</v>
      </c>
      <c r="C40" s="9"/>
      <c r="D40" s="9"/>
      <c r="E40" s="9"/>
      <c r="F40" s="9"/>
      <c r="G40" s="9"/>
      <c r="H40" s="2"/>
      <c r="I40" s="36"/>
      <c r="J40" s="3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2.75" hidden="1" customHeight="1" x14ac:dyDescent="0.2">
      <c r="A41" s="9" t="s">
        <v>186</v>
      </c>
      <c r="B41" s="26" t="s">
        <v>191</v>
      </c>
      <c r="C41" s="9"/>
      <c r="D41" s="9"/>
      <c r="E41" s="9"/>
      <c r="F41" s="9"/>
      <c r="G41" s="9"/>
      <c r="H41" s="2"/>
      <c r="I41" s="36"/>
      <c r="J41" s="3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.75" hidden="1" customHeight="1" x14ac:dyDescent="0.2">
      <c r="A42" s="9" t="s">
        <v>187</v>
      </c>
      <c r="B42" s="26" t="s">
        <v>192</v>
      </c>
      <c r="C42" s="9"/>
      <c r="D42" s="9"/>
      <c r="E42" s="9"/>
      <c r="F42" s="9"/>
      <c r="G42" s="9"/>
      <c r="H42" s="2"/>
      <c r="I42" s="36"/>
      <c r="J42" s="3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2.75" hidden="1" customHeight="1" x14ac:dyDescent="0.2">
      <c r="A43" s="9" t="s">
        <v>188</v>
      </c>
      <c r="B43" s="26" t="s">
        <v>193</v>
      </c>
      <c r="C43" s="9"/>
      <c r="D43" s="9"/>
      <c r="E43" s="9"/>
      <c r="F43" s="9"/>
      <c r="G43" s="9"/>
      <c r="H43" s="2"/>
      <c r="I43" s="36"/>
      <c r="J43" s="3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2.75" hidden="1" customHeight="1" x14ac:dyDescent="0.2">
      <c r="A44" s="9" t="s">
        <v>189</v>
      </c>
      <c r="B44" s="26" t="s">
        <v>194</v>
      </c>
      <c r="C44" s="9"/>
      <c r="D44" s="9"/>
      <c r="E44" s="9"/>
      <c r="F44" s="9"/>
      <c r="G44" s="9"/>
      <c r="H44" s="2"/>
      <c r="I44" s="36"/>
      <c r="J44" s="3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8" customHeight="1" x14ac:dyDescent="0.25">
      <c r="A45" s="18" t="s">
        <v>195</v>
      </c>
      <c r="B45" s="30" t="s">
        <v>231</v>
      </c>
      <c r="C45" s="51">
        <f>SUM('2.működés'!C92)</f>
        <v>17000</v>
      </c>
      <c r="D45" s="51">
        <f>SUM('2.működés'!D92)</f>
        <v>22120</v>
      </c>
      <c r="E45" s="51">
        <f>SUM('2.működés'!E92)</f>
        <v>14169</v>
      </c>
      <c r="F45" s="51">
        <f>SUM('2.működés'!F92)</f>
        <v>14169</v>
      </c>
      <c r="G45" s="51">
        <f>SUM('2.működés'!G92)</f>
        <v>14169</v>
      </c>
      <c r="H45" s="2"/>
      <c r="I45" s="36"/>
      <c r="J45" s="39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2.75" hidden="1" customHeight="1" x14ac:dyDescent="0.2">
      <c r="A46" s="9" t="s">
        <v>201</v>
      </c>
      <c r="B46" s="26" t="s">
        <v>198</v>
      </c>
      <c r="C46" s="9"/>
      <c r="D46" s="9"/>
      <c r="E46" s="9"/>
      <c r="F46" s="9"/>
      <c r="G46" s="9"/>
      <c r="H46" s="2"/>
      <c r="I46" s="36"/>
      <c r="J46" s="39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2.75" hidden="1" customHeight="1" x14ac:dyDescent="0.2">
      <c r="A47" s="9" t="s">
        <v>202</v>
      </c>
      <c r="B47" s="26" t="s">
        <v>199</v>
      </c>
      <c r="C47" s="9"/>
      <c r="D47" s="9"/>
      <c r="E47" s="9"/>
      <c r="F47" s="9"/>
      <c r="G47" s="9"/>
      <c r="H47" s="2"/>
      <c r="I47" s="36"/>
      <c r="J47" s="39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2.75" hidden="1" customHeight="1" x14ac:dyDescent="0.2">
      <c r="A48" s="9" t="s">
        <v>203</v>
      </c>
      <c r="B48" s="26" t="s">
        <v>200</v>
      </c>
      <c r="C48" s="9"/>
      <c r="D48" s="9"/>
      <c r="E48" s="9"/>
      <c r="F48" s="9"/>
      <c r="G48" s="9"/>
      <c r="H48" s="2"/>
      <c r="I48" s="36"/>
      <c r="J48" s="39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8" customHeight="1" x14ac:dyDescent="0.25">
      <c r="A49" s="18" t="s">
        <v>196</v>
      </c>
      <c r="B49" s="30" t="s">
        <v>232</v>
      </c>
      <c r="C49" s="51">
        <f>SUM('3.felh'!C24)</f>
        <v>10300</v>
      </c>
      <c r="D49" s="51">
        <f>SUM('3.felh'!D24)</f>
        <v>10300</v>
      </c>
      <c r="E49" s="51">
        <f>SUM('3.felh'!E24)</f>
        <v>10300</v>
      </c>
      <c r="F49" s="51">
        <f>SUM('3.felh'!F24)</f>
        <v>10300</v>
      </c>
      <c r="G49" s="51">
        <f>SUM('3.felh'!G24)</f>
        <v>10300</v>
      </c>
      <c r="H49" s="2"/>
      <c r="I49" s="36"/>
      <c r="J49" s="39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3.5" hidden="1" customHeight="1" x14ac:dyDescent="0.25">
      <c r="A50" s="9" t="s">
        <v>204</v>
      </c>
      <c r="B50" s="26" t="s">
        <v>207</v>
      </c>
      <c r="C50" s="51"/>
      <c r="D50" s="51"/>
      <c r="E50" s="51"/>
      <c r="F50" s="51"/>
      <c r="G50" s="51"/>
      <c r="H50" s="2"/>
      <c r="I50" s="36"/>
      <c r="J50" s="39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3.5" hidden="1" customHeight="1" x14ac:dyDescent="0.25">
      <c r="A51" s="9" t="s">
        <v>205</v>
      </c>
      <c r="B51" s="26" t="s">
        <v>208</v>
      </c>
      <c r="C51" s="51"/>
      <c r="D51" s="51"/>
      <c r="E51" s="51"/>
      <c r="F51" s="51"/>
      <c r="G51" s="51"/>
      <c r="H51" s="2"/>
      <c r="I51" s="36"/>
      <c r="J51" s="39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3.5" hidden="1" customHeight="1" x14ac:dyDescent="0.25">
      <c r="A52" s="9" t="s">
        <v>206</v>
      </c>
      <c r="B52" s="26" t="s">
        <v>209</v>
      </c>
      <c r="C52" s="51"/>
      <c r="D52" s="51"/>
      <c r="E52" s="51"/>
      <c r="F52" s="51"/>
      <c r="G52" s="51"/>
      <c r="H52" s="2"/>
      <c r="I52" s="36"/>
      <c r="J52" s="39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22.5" customHeight="1" x14ac:dyDescent="0.2">
      <c r="A53" s="32" t="s">
        <v>197</v>
      </c>
      <c r="B53" s="204" t="s">
        <v>372</v>
      </c>
      <c r="C53" s="243">
        <f>SUM(C54+C59)</f>
        <v>999900</v>
      </c>
      <c r="D53" s="243">
        <f>SUM(D54+D59)</f>
        <v>999900</v>
      </c>
      <c r="E53" s="243">
        <f>SUM(E54+E59)</f>
        <v>801422</v>
      </c>
      <c r="F53" s="243">
        <f>SUM(F54+F59)</f>
        <v>801422</v>
      </c>
      <c r="G53" s="243">
        <f>SUM(G54+G59)</f>
        <v>801422</v>
      </c>
      <c r="H53" s="2"/>
      <c r="I53" s="36"/>
      <c r="J53" s="39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3.5" customHeight="1" x14ac:dyDescent="0.25">
      <c r="A54" s="32"/>
      <c r="B54" s="30" t="s">
        <v>456</v>
      </c>
      <c r="C54" s="51">
        <f>SUM(C55)+C58</f>
        <v>999900</v>
      </c>
      <c r="D54" s="51">
        <f>SUM(D55)+D58</f>
        <v>999900</v>
      </c>
      <c r="E54" s="51">
        <f>SUM(E55)+E58</f>
        <v>801422</v>
      </c>
      <c r="F54" s="51">
        <f>SUM(F55)+F58</f>
        <v>801422</v>
      </c>
      <c r="G54" s="51">
        <f>SUM(G55)+G58</f>
        <v>801422</v>
      </c>
      <c r="H54" s="2"/>
      <c r="I54" s="36"/>
      <c r="J54" s="39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3.5" customHeight="1" x14ac:dyDescent="0.2">
      <c r="A55" s="9"/>
      <c r="B55" s="39" t="s">
        <v>457</v>
      </c>
      <c r="C55" s="15">
        <f>SUM(C56:C57)</f>
        <v>999900</v>
      </c>
      <c r="D55" s="15">
        <f>SUM(D56:D57)</f>
        <v>999900</v>
      </c>
      <c r="E55" s="15">
        <f>SUM(E56:E57)</f>
        <v>801422</v>
      </c>
      <c r="F55" s="15">
        <f>SUM(F56:F57)</f>
        <v>801422</v>
      </c>
      <c r="G55" s="15">
        <f>SUM(G56:G57)</f>
        <v>801422</v>
      </c>
      <c r="H55" s="2"/>
      <c r="I55" s="36"/>
      <c r="J55" s="394"/>
      <c r="K55" s="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x14ac:dyDescent="0.2">
      <c r="A56" s="9"/>
      <c r="B56" s="39" t="s">
        <v>445</v>
      </c>
      <c r="C56" s="16">
        <f>SUM('2.működés'!C100)</f>
        <v>270035</v>
      </c>
      <c r="D56" s="16">
        <f>SUM('2.működés'!D100)</f>
        <v>270035</v>
      </c>
      <c r="E56" s="16">
        <f>SUM('2.működés'!E100)</f>
        <v>127532</v>
      </c>
      <c r="F56" s="16">
        <f>SUM('2.működés'!F100)</f>
        <v>127532</v>
      </c>
      <c r="G56" s="16">
        <f>SUM('2.működés'!G100)</f>
        <v>127532</v>
      </c>
      <c r="H56" s="2"/>
      <c r="I56" s="36"/>
      <c r="J56" s="39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x14ac:dyDescent="0.2">
      <c r="A57" s="9"/>
      <c r="B57" s="39" t="s">
        <v>446</v>
      </c>
      <c r="C57" s="16">
        <f>'3.felh'!C30</f>
        <v>729865</v>
      </c>
      <c r="D57" s="16">
        <f>'3.felh'!D30</f>
        <v>729865</v>
      </c>
      <c r="E57" s="16">
        <f>'3.felh'!E30</f>
        <v>673890</v>
      </c>
      <c r="F57" s="16">
        <f>'3.felh'!F30</f>
        <v>673890</v>
      </c>
      <c r="G57" s="16">
        <f>'3.felh'!G30</f>
        <v>673890</v>
      </c>
      <c r="H57" s="2"/>
      <c r="I57" s="36"/>
      <c r="J57" s="39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13.5" customHeight="1" x14ac:dyDescent="0.2">
      <c r="A58" s="9"/>
      <c r="B58" s="39" t="s">
        <v>529</v>
      </c>
      <c r="C58" s="16">
        <f>'2.működés'!C105</f>
        <v>0</v>
      </c>
      <c r="D58" s="16">
        <f>'2.működés'!D105</f>
        <v>0</v>
      </c>
      <c r="E58" s="16">
        <f>'2.működés'!E105</f>
        <v>0</v>
      </c>
      <c r="F58" s="16">
        <f>'2.működés'!F105</f>
        <v>0</v>
      </c>
      <c r="G58" s="16">
        <f>'2.működés'!G105</f>
        <v>0</v>
      </c>
      <c r="H58" s="2"/>
      <c r="I58" s="36"/>
      <c r="J58" s="39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3.5" customHeight="1" x14ac:dyDescent="0.25">
      <c r="A59" s="9"/>
      <c r="B59" s="30" t="s">
        <v>454</v>
      </c>
      <c r="C59" s="51">
        <f>SUM(C60:C61)</f>
        <v>0</v>
      </c>
      <c r="D59" s="51">
        <f>SUM(D60:D61)</f>
        <v>0</v>
      </c>
      <c r="E59" s="51">
        <f>SUM(E60:E61)</f>
        <v>0</v>
      </c>
      <c r="F59" s="51">
        <f>SUM(F60:F61)</f>
        <v>0</v>
      </c>
      <c r="G59" s="51">
        <f>SUM(G60:G61)</f>
        <v>0</v>
      </c>
      <c r="H59" s="2"/>
      <c r="I59" s="36"/>
      <c r="J59" s="39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3.5" customHeight="1" x14ac:dyDescent="0.2">
      <c r="A60" s="9"/>
      <c r="B60" s="9" t="s">
        <v>254</v>
      </c>
      <c r="C60" s="17"/>
      <c r="D60" s="17"/>
      <c r="E60" s="17"/>
      <c r="F60" s="17"/>
      <c r="G60" s="17"/>
      <c r="H60" s="2"/>
      <c r="I60" s="36"/>
      <c r="J60" s="39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3.5" customHeight="1" thickBot="1" x14ac:dyDescent="0.25">
      <c r="A61" s="14"/>
      <c r="B61" s="194" t="s">
        <v>255</v>
      </c>
      <c r="C61" s="202">
        <f>'3.felh'!C33</f>
        <v>0</v>
      </c>
      <c r="D61" s="202">
        <f>'3.felh'!D33</f>
        <v>0</v>
      </c>
      <c r="E61" s="202">
        <f>'3.felh'!E33</f>
        <v>0</v>
      </c>
      <c r="F61" s="202">
        <f>'3.felh'!F33</f>
        <v>0</v>
      </c>
      <c r="G61" s="202">
        <f>'3.felh'!G33</f>
        <v>0</v>
      </c>
      <c r="H61" s="2"/>
      <c r="I61" s="36"/>
      <c r="J61" s="39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23.25" customHeight="1" thickBot="1" x14ac:dyDescent="0.4">
      <c r="A62" s="268"/>
      <c r="B62" s="269" t="s">
        <v>396</v>
      </c>
      <c r="C62" s="720">
        <f>SUM(C7+C53)</f>
        <v>1898350</v>
      </c>
      <c r="D62" s="720">
        <f>SUM(D7+D53)</f>
        <v>2036386</v>
      </c>
      <c r="E62" s="720" t="e">
        <f>SUM(E7+E53)</f>
        <v>#REF!</v>
      </c>
      <c r="F62" s="212" t="e">
        <f>SUM(F7+F53)</f>
        <v>#REF!</v>
      </c>
      <c r="G62" s="57" t="e">
        <f>SUM(G7+G53)</f>
        <v>#REF!</v>
      </c>
      <c r="H62" s="755">
        <f>D62-C62</f>
        <v>138036</v>
      </c>
      <c r="I62" s="37"/>
      <c r="J62" s="394"/>
      <c r="K62" s="2"/>
      <c r="L62" s="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20.25" customHeight="1" x14ac:dyDescent="0.25">
      <c r="A63" s="170" t="s">
        <v>374</v>
      </c>
      <c r="B63" s="287" t="s">
        <v>362</v>
      </c>
      <c r="C63" s="225">
        <f>SUM(C64+C69)</f>
        <v>1863198</v>
      </c>
      <c r="D63" s="225">
        <f>SUM(D64+D69)</f>
        <v>2001234</v>
      </c>
      <c r="E63" s="225" t="e">
        <f>SUM(E64+E69)</f>
        <v>#REF!</v>
      </c>
      <c r="F63" s="225">
        <f>SUM(F64+F69)</f>
        <v>1826541</v>
      </c>
      <c r="G63" s="225">
        <f>SUM(G64+G69)</f>
        <v>1826541</v>
      </c>
      <c r="H63" s="8"/>
      <c r="I63" s="8"/>
      <c r="J63" s="39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8" customHeight="1" x14ac:dyDescent="0.25">
      <c r="A64" s="18" t="s">
        <v>210</v>
      </c>
      <c r="B64" s="229" t="s">
        <v>8</v>
      </c>
      <c r="C64" s="226">
        <f>SUM(C65:C67)</f>
        <v>1000160</v>
      </c>
      <c r="D64" s="226">
        <f>SUM(D65:D67)</f>
        <v>1017492</v>
      </c>
      <c r="E64" s="226" t="e">
        <f>SUM(E65:E67)</f>
        <v>#REF!</v>
      </c>
      <c r="F64" s="226">
        <f>SUM(F65:F67)</f>
        <v>1001861</v>
      </c>
      <c r="G64" s="226">
        <f>SUM(G65:G67)</f>
        <v>1001861</v>
      </c>
      <c r="H64" s="8"/>
      <c r="I64" s="36"/>
      <c r="J64" s="39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x14ac:dyDescent="0.2">
      <c r="A65" s="9"/>
      <c r="B65" s="29" t="s">
        <v>9</v>
      </c>
      <c r="C65" s="96">
        <f>SUM('8.Önk.'!BA95)</f>
        <v>744247</v>
      </c>
      <c r="D65" s="96">
        <f>SUM('8.Önk.'!BB95)</f>
        <v>772790</v>
      </c>
      <c r="E65" s="96" t="e">
        <f>SUM('8.Önk.'!BC95)</f>
        <v>#REF!</v>
      </c>
      <c r="F65" s="96">
        <f>SUM('8.Önk.'!BD95)</f>
        <v>665264</v>
      </c>
      <c r="G65" s="96">
        <f>SUM('8.Önk.'!BE95)</f>
        <v>665264</v>
      </c>
      <c r="H65" s="2"/>
      <c r="I65" s="37"/>
      <c r="J65" s="39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3.5" customHeight="1" thickBot="1" x14ac:dyDescent="0.25">
      <c r="A66" s="9"/>
      <c r="B66" s="25" t="s">
        <v>493</v>
      </c>
      <c r="C66" s="152">
        <f>SUM('9.Hivatal'!R74)</f>
        <v>225950</v>
      </c>
      <c r="D66" s="152">
        <f>SUM('9.Hivatal'!S74)</f>
        <v>233096</v>
      </c>
      <c r="E66" s="152">
        <f>SUM('9.Hivatal'!T74)</f>
        <v>223281</v>
      </c>
      <c r="F66" s="152">
        <f>SUM('9.Hivatal'!U74)</f>
        <v>223281</v>
      </c>
      <c r="G66" s="152">
        <f>SUM('9.Hivatal'!V74)</f>
        <v>223281</v>
      </c>
      <c r="H66" s="2"/>
      <c r="I66" s="36"/>
      <c r="J66" s="39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s="89" customFormat="1" ht="13.5" customHeight="1" thickBot="1" x14ac:dyDescent="0.25">
      <c r="A67" s="25"/>
      <c r="B67" s="260" t="s">
        <v>213</v>
      </c>
      <c r="C67" s="722">
        <f>SUM('2.működés'!C122)</f>
        <v>29963</v>
      </c>
      <c r="D67" s="721">
        <f>SUM('2.működés'!D122)</f>
        <v>11606</v>
      </c>
      <c r="E67" s="721">
        <f>SUM('2.működés'!E122)</f>
        <v>113316</v>
      </c>
      <c r="F67" s="363">
        <f>SUM('2.működés'!F122)</f>
        <v>113316</v>
      </c>
      <c r="G67" s="362">
        <f>SUM('2.működés'!G122)</f>
        <v>113316</v>
      </c>
      <c r="H67" s="181"/>
      <c r="I67" s="180"/>
      <c r="J67" s="394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</row>
    <row r="68" spans="1:43" s="89" customFormat="1" ht="12.75" hidden="1" customHeight="1" thickBot="1" x14ac:dyDescent="0.25">
      <c r="A68" s="25"/>
      <c r="B68" s="25" t="s">
        <v>455</v>
      </c>
      <c r="C68" s="336"/>
      <c r="D68" s="336"/>
      <c r="E68" s="336"/>
      <c r="F68" s="336"/>
      <c r="G68" s="336"/>
      <c r="H68" s="181"/>
      <c r="I68" s="180"/>
      <c r="J68" s="394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</row>
    <row r="69" spans="1:43" s="89" customFormat="1" ht="18" customHeight="1" x14ac:dyDescent="0.25">
      <c r="A69" s="29" t="s">
        <v>211</v>
      </c>
      <c r="B69" s="229" t="s">
        <v>233</v>
      </c>
      <c r="C69" s="44">
        <f>SUM(C70:C72)</f>
        <v>863038</v>
      </c>
      <c r="D69" s="44">
        <f>SUM(D70:D72)</f>
        <v>983742</v>
      </c>
      <c r="E69" s="44">
        <f>SUM(E70:E72)</f>
        <v>824680</v>
      </c>
      <c r="F69" s="44">
        <f>SUM(F70:F72)</f>
        <v>824680</v>
      </c>
      <c r="G69" s="44">
        <f>SUM(G70:G72)</f>
        <v>824680</v>
      </c>
      <c r="H69" s="646"/>
      <c r="I69" s="180"/>
      <c r="J69" s="394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</row>
    <row r="70" spans="1:43" s="232" customFormat="1" ht="13.5" customHeight="1" x14ac:dyDescent="0.2">
      <c r="A70" s="25"/>
      <c r="B70" s="25" t="s">
        <v>355</v>
      </c>
      <c r="C70" s="16">
        <f>SUM('3.felh'!C37)</f>
        <v>221251</v>
      </c>
      <c r="D70" s="16">
        <f>SUM('3.felh'!D37)</f>
        <v>195969</v>
      </c>
      <c r="E70" s="16">
        <f>SUM('3.felh'!E37)</f>
        <v>33766</v>
      </c>
      <c r="F70" s="16">
        <f>SUM('3.felh'!F37)</f>
        <v>33766</v>
      </c>
      <c r="G70" s="16">
        <f>SUM('3.felh'!G37)</f>
        <v>33766</v>
      </c>
      <c r="H70" s="181"/>
      <c r="I70" s="646"/>
      <c r="J70" s="394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</row>
    <row r="71" spans="1:43" s="232" customFormat="1" ht="13.5" customHeight="1" x14ac:dyDescent="0.2">
      <c r="A71" s="25"/>
      <c r="B71" s="25" t="s">
        <v>356</v>
      </c>
      <c r="C71" s="16">
        <f>SUM('3.felh'!C59)</f>
        <v>587652</v>
      </c>
      <c r="D71" s="16">
        <f>SUM('3.felh'!D59)</f>
        <v>615464</v>
      </c>
      <c r="E71" s="16">
        <f>SUM('3.felh'!E59)</f>
        <v>290950</v>
      </c>
      <c r="F71" s="16">
        <f>SUM('3.felh'!F59)</f>
        <v>290950</v>
      </c>
      <c r="G71" s="16">
        <f>SUM('3.felh'!G59)</f>
        <v>290950</v>
      </c>
      <c r="H71" s="181"/>
      <c r="I71" s="181"/>
      <c r="J71" s="394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</row>
    <row r="72" spans="1:43" s="232" customFormat="1" ht="13.5" customHeight="1" x14ac:dyDescent="0.2">
      <c r="A72" s="25"/>
      <c r="B72" s="25" t="s">
        <v>357</v>
      </c>
      <c r="C72" s="16">
        <f>SUM(C73:C74)</f>
        <v>54135</v>
      </c>
      <c r="D72" s="16">
        <f>SUM(D73:D74)</f>
        <v>172309</v>
      </c>
      <c r="E72" s="16">
        <f>SUM(E73:E74)</f>
        <v>499964</v>
      </c>
      <c r="F72" s="16">
        <f>SUM(F73:F74)</f>
        <v>499964</v>
      </c>
      <c r="G72" s="16">
        <f>SUM(G73:G74)</f>
        <v>499964</v>
      </c>
      <c r="H72" s="181"/>
      <c r="I72" s="181"/>
      <c r="J72" s="394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</row>
    <row r="73" spans="1:43" s="232" customFormat="1" ht="13.5" customHeight="1" thickBot="1" x14ac:dyDescent="0.25">
      <c r="A73" s="25"/>
      <c r="B73" s="25" t="s">
        <v>1320</v>
      </c>
      <c r="C73" s="202">
        <f>SUM('3.felh'!C74)</f>
        <v>0</v>
      </c>
      <c r="D73" s="202">
        <f>SUM('3.felh'!D74)</f>
        <v>1</v>
      </c>
      <c r="E73" s="202">
        <f>SUM('3.felh'!E74)</f>
        <v>0</v>
      </c>
      <c r="F73" s="202">
        <f>SUM('3.felh'!F74)</f>
        <v>0</v>
      </c>
      <c r="G73" s="202">
        <f>SUM('3.felh'!G74)</f>
        <v>0</v>
      </c>
      <c r="H73" s="181"/>
      <c r="I73" s="181"/>
      <c r="J73" s="394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</row>
    <row r="74" spans="1:43" s="232" customFormat="1" ht="13.5" customHeight="1" thickBot="1" x14ac:dyDescent="0.25">
      <c r="A74" s="25"/>
      <c r="B74" s="25" t="s">
        <v>369</v>
      </c>
      <c r="C74" s="722">
        <f>SUM('3.felh'!C75)</f>
        <v>54135</v>
      </c>
      <c r="D74" s="722">
        <f>SUM('3.felh'!D75)</f>
        <v>172308</v>
      </c>
      <c r="E74" s="722">
        <f>SUM('3.felh'!E73)</f>
        <v>499964</v>
      </c>
      <c r="F74" s="722">
        <f>SUM('3.felh'!F73)</f>
        <v>499964</v>
      </c>
      <c r="G74" s="722">
        <f>SUM('3.felh'!G73)</f>
        <v>499964</v>
      </c>
      <c r="H74" s="646"/>
      <c r="I74" s="181"/>
      <c r="J74" s="394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</row>
    <row r="75" spans="1:43" s="59" customFormat="1" ht="22.5" customHeight="1" x14ac:dyDescent="0.25">
      <c r="A75" s="18" t="s">
        <v>212</v>
      </c>
      <c r="B75" s="204" t="s">
        <v>373</v>
      </c>
      <c r="C75" s="227">
        <f>SUM(C76+C80+C81)</f>
        <v>35152</v>
      </c>
      <c r="D75" s="227">
        <f>SUM(D76+D80+D81)</f>
        <v>35152</v>
      </c>
      <c r="E75" s="227">
        <f>SUM(E76+E80+E81)</f>
        <v>34472</v>
      </c>
      <c r="F75" s="227">
        <f>SUM(F76+F80+F81)</f>
        <v>34472</v>
      </c>
      <c r="G75" s="227">
        <f>SUM(G76+G80+G81)</f>
        <v>34472</v>
      </c>
      <c r="H75" s="2"/>
      <c r="I75" s="2"/>
      <c r="J75" s="39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s="59" customFormat="1" ht="15" customHeight="1" x14ac:dyDescent="0.25">
      <c r="A76" s="18"/>
      <c r="B76" s="224" t="s">
        <v>401</v>
      </c>
      <c r="C76" s="187">
        <f>SUM(C77:C79)</f>
        <v>35152</v>
      </c>
      <c r="D76" s="187">
        <f>SUM(D77:D79)</f>
        <v>35152</v>
      </c>
      <c r="E76" s="187">
        <f>SUM(E77:E79)</f>
        <v>34472</v>
      </c>
      <c r="F76" s="187">
        <f>SUM(F77:F79)</f>
        <v>34472</v>
      </c>
      <c r="G76" s="187">
        <f>SUM(G77:G79)</f>
        <v>34472</v>
      </c>
      <c r="H76" s="2"/>
      <c r="I76" s="2"/>
      <c r="J76" s="39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s="59" customFormat="1" ht="12.75" customHeight="1" x14ac:dyDescent="0.2">
      <c r="A77" s="18" t="s">
        <v>408</v>
      </c>
      <c r="B77" s="9" t="s">
        <v>429</v>
      </c>
      <c r="C77" s="16">
        <f>SUM('2.működés'!C126)</f>
        <v>14996</v>
      </c>
      <c r="D77" s="16">
        <f>SUM('2.működés'!D126)</f>
        <v>14996</v>
      </c>
      <c r="E77" s="16">
        <f>SUM('2.működés'!E126)</f>
        <v>14316</v>
      </c>
      <c r="F77" s="16">
        <f>SUM('2.működés'!F126)</f>
        <v>14316</v>
      </c>
      <c r="G77" s="16">
        <f>SUM('2.működés'!G126)</f>
        <v>14316</v>
      </c>
      <c r="H77" s="2"/>
      <c r="I77" s="2"/>
      <c r="J77" s="39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s="59" customFormat="1" ht="15.75" hidden="1" x14ac:dyDescent="0.25">
      <c r="A78" s="18"/>
      <c r="B78" s="278" t="s">
        <v>402</v>
      </c>
      <c r="C78" s="52"/>
      <c r="D78" s="52"/>
      <c r="E78" s="52"/>
      <c r="F78" s="52"/>
      <c r="G78" s="52"/>
      <c r="H78" s="2"/>
      <c r="I78" s="2"/>
      <c r="J78" s="39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s="59" customFormat="1" ht="12.75" customHeight="1" x14ac:dyDescent="0.2">
      <c r="A79" s="18"/>
      <c r="B79" s="278" t="s">
        <v>962</v>
      </c>
      <c r="C79" s="17">
        <f>SUM('3.felh'!C80)</f>
        <v>20156</v>
      </c>
      <c r="D79" s="17">
        <f>SUM('3.felh'!D80)</f>
        <v>20156</v>
      </c>
      <c r="E79" s="17">
        <f>SUM('3.felh'!E80)</f>
        <v>20156</v>
      </c>
      <c r="F79" s="17">
        <f>SUM('3.felh'!F80)</f>
        <v>20156</v>
      </c>
      <c r="G79" s="17">
        <f>SUM('3.felh'!G80)</f>
        <v>20156</v>
      </c>
      <c r="H79" s="2"/>
      <c r="I79" s="2"/>
      <c r="J79" s="39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s="59" customFormat="1" ht="15" customHeight="1" x14ac:dyDescent="0.25">
      <c r="A80" s="18"/>
      <c r="B80" s="224" t="s">
        <v>403</v>
      </c>
      <c r="C80" s="52"/>
      <c r="D80" s="52"/>
      <c r="E80" s="52"/>
      <c r="F80" s="52"/>
      <c r="G80" s="52"/>
      <c r="H80" s="2"/>
      <c r="I80" s="2"/>
      <c r="J80" s="39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s="59" customFormat="1" ht="15" customHeight="1" thickBot="1" x14ac:dyDescent="0.3">
      <c r="A81" s="28"/>
      <c r="B81" s="221" t="s">
        <v>404</v>
      </c>
      <c r="C81" s="203"/>
      <c r="D81" s="203"/>
      <c r="E81" s="203"/>
      <c r="F81" s="203"/>
      <c r="G81" s="203"/>
      <c r="H81" s="2"/>
      <c r="I81" s="2"/>
      <c r="J81" s="39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75" customHeight="1" thickBot="1" x14ac:dyDescent="0.4">
      <c r="A82" s="332"/>
      <c r="B82" s="269" t="s">
        <v>55</v>
      </c>
      <c r="C82" s="720">
        <f>SUM(C63+C75)</f>
        <v>1898350</v>
      </c>
      <c r="D82" s="720">
        <f>SUM(D63+D75)</f>
        <v>2036386</v>
      </c>
      <c r="E82" s="720" t="e">
        <f>SUM(E63+E75)</f>
        <v>#REF!</v>
      </c>
      <c r="F82" s="212">
        <f>SUM(F63+F75)</f>
        <v>1861013</v>
      </c>
      <c r="G82" s="57">
        <f>SUM(G63+G75)</f>
        <v>1861013</v>
      </c>
      <c r="H82" s="755">
        <f>D82-C82</f>
        <v>138036</v>
      </c>
      <c r="I82" s="8"/>
      <c r="J82" s="39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ht="14.25" hidden="1" customHeight="1" thickBot="1" x14ac:dyDescent="0.25">
      <c r="C83" s="8">
        <f>SUM(C62-C82)</f>
        <v>0</v>
      </c>
      <c r="D83" s="8"/>
      <c r="E83" s="8"/>
      <c r="F83" s="8"/>
      <c r="G83" s="8" t="e">
        <f>SUM(G62-G82)</f>
        <v>#REF!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15.75" hidden="1" customHeight="1" x14ac:dyDescent="0.2">
      <c r="B84" s="2" t="s">
        <v>504</v>
      </c>
      <c r="C84" s="8">
        <f>SUM(C67+C74)</f>
        <v>84098</v>
      </c>
      <c r="D84" s="8"/>
      <c r="E84" s="8"/>
      <c r="F84" s="8"/>
      <c r="G84" s="8">
        <f>SUM(G67+G74)</f>
        <v>613280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5.75" hidden="1" customHeight="1" x14ac:dyDescent="0.2">
      <c r="C85" s="8">
        <f>SUM(C62-C82)</f>
        <v>0</v>
      </c>
      <c r="D85" s="8">
        <f>SUM(D62-D82)</f>
        <v>0</v>
      </c>
      <c r="E85" s="8" t="e">
        <f>SUM(E62-E82)</f>
        <v>#REF!</v>
      </c>
      <c r="F85" s="8" t="e">
        <f>SUM(F62-F82)</f>
        <v>#REF!</v>
      </c>
      <c r="G85" s="8" t="e">
        <f>SUM(G62-G82)</f>
        <v>#REF!</v>
      </c>
      <c r="H85" s="8"/>
      <c r="I85" s="2"/>
      <c r="J85" s="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t="27" hidden="1" customHeight="1" x14ac:dyDescent="0.2">
      <c r="B86" s="290" t="s">
        <v>952</v>
      </c>
      <c r="C86" s="8" t="e">
        <f>SUM(C7-C65-C66-C77-C79)+'8.Önk.'!C125+'8.Önk.'!#REF!</f>
        <v>#REF!</v>
      </c>
      <c r="D86" s="2"/>
      <c r="E86" s="19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5.75" customHeight="1" x14ac:dyDescent="0.2">
      <c r="C87" s="2"/>
      <c r="D87" s="2"/>
      <c r="E87" s="19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15.75" hidden="1" customHeight="1" x14ac:dyDescent="0.2">
      <c r="C88" s="8">
        <f>C62-C82</f>
        <v>0</v>
      </c>
      <c r="D88" s="8">
        <f>D62-D82</f>
        <v>0</v>
      </c>
      <c r="E88" s="8" t="e">
        <f>E62-E82</f>
        <v>#REF!</v>
      </c>
      <c r="F88" s="8" t="e">
        <f>F62-F82</f>
        <v>#REF!</v>
      </c>
      <c r="G88" s="8" t="e">
        <f>G62-G82</f>
        <v>#REF!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5.75" customHeight="1" x14ac:dyDescent="0.2">
      <c r="B89" s="2"/>
      <c r="C89" s="2"/>
      <c r="D89" s="8"/>
      <c r="E89" s="19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5.75" customHeight="1" x14ac:dyDescent="0.2">
      <c r="B90" s="2"/>
      <c r="C90" s="2"/>
      <c r="D90" s="2"/>
      <c r="E90" s="19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5.75" customHeight="1" x14ac:dyDescent="0.2">
      <c r="B91" s="2"/>
      <c r="C91" s="2"/>
      <c r="D91" s="2"/>
      <c r="E91" s="19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5.75" customHeight="1" x14ac:dyDescent="0.2">
      <c r="B92" s="2"/>
      <c r="C92" s="2"/>
      <c r="D92" s="2"/>
      <c r="E92" s="19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15.75" customHeight="1" x14ac:dyDescent="0.2">
      <c r="B93" s="2"/>
      <c r="C93" s="2"/>
      <c r="D93" s="2"/>
      <c r="E93" s="19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5.75" customHeight="1" x14ac:dyDescent="0.2">
      <c r="B94" s="2"/>
      <c r="C94" s="2"/>
      <c r="D94" s="2"/>
      <c r="E94" s="19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15.75" customHeight="1" x14ac:dyDescent="0.2">
      <c r="B95" s="2"/>
      <c r="C95" s="2"/>
      <c r="D95" s="2"/>
      <c r="E95" s="19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15.75" customHeight="1" x14ac:dyDescent="0.2">
      <c r="B96" s="2"/>
      <c r="C96" s="2"/>
      <c r="D96" s="2"/>
      <c r="E96" s="19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2:43" ht="15.75" customHeight="1" x14ac:dyDescent="0.2">
      <c r="B97" s="2"/>
      <c r="C97" s="2"/>
      <c r="D97" s="2"/>
      <c r="E97" s="19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2:43" ht="15.75" customHeight="1" x14ac:dyDescent="0.2">
      <c r="B98" s="2"/>
      <c r="C98" s="2"/>
      <c r="D98" s="2"/>
      <c r="E98" s="19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2:43" ht="15.75" customHeight="1" x14ac:dyDescent="0.2">
      <c r="B99" s="2"/>
      <c r="C99" s="2"/>
      <c r="D99" s="2"/>
      <c r="E99" s="19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2:43" ht="15.75" customHeight="1" x14ac:dyDescent="0.2">
      <c r="B100" s="2"/>
      <c r="C100" s="2"/>
      <c r="D100" s="2"/>
      <c r="E100" s="19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2:43" ht="15.75" customHeight="1" x14ac:dyDescent="0.2">
      <c r="B101" s="2"/>
      <c r="C101" s="2"/>
      <c r="D101" s="2"/>
      <c r="E101" s="19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2:43" ht="15.75" customHeight="1" x14ac:dyDescent="0.2">
      <c r="B102" s="2"/>
      <c r="C102" s="2"/>
      <c r="D102" s="2"/>
      <c r="E102" s="19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2:43" ht="15.75" customHeight="1" x14ac:dyDescent="0.2">
      <c r="B103" s="2"/>
      <c r="C103" s="2"/>
      <c r="D103" s="2"/>
      <c r="E103" s="19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2:43" ht="15.75" customHeight="1" x14ac:dyDescent="0.2">
      <c r="B104" s="2"/>
      <c r="C104" s="2"/>
      <c r="D104" s="2"/>
      <c r="E104" s="19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2:43" ht="15.75" customHeight="1" x14ac:dyDescent="0.2">
      <c r="B105" s="2"/>
      <c r="C105" s="2"/>
      <c r="D105" s="2"/>
      <c r="E105" s="19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2:43" ht="15.75" customHeight="1" x14ac:dyDescent="0.2">
      <c r="B106" s="2"/>
      <c r="C106" s="2"/>
      <c r="D106" s="2"/>
      <c r="E106" s="19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2:43" ht="15.75" customHeight="1" x14ac:dyDescent="0.2">
      <c r="B107" s="2"/>
      <c r="C107" s="2"/>
      <c r="D107" s="2"/>
      <c r="E107" s="19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2:43" ht="15.75" customHeight="1" x14ac:dyDescent="0.2">
      <c r="B108" s="2"/>
      <c r="C108" s="2"/>
      <c r="D108" s="2"/>
      <c r="E108" s="19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2:43" ht="15.75" customHeight="1" x14ac:dyDescent="0.2">
      <c r="B109" s="2"/>
      <c r="C109" s="2"/>
      <c r="D109" s="2"/>
      <c r="E109" s="19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2:43" ht="15.75" customHeight="1" x14ac:dyDescent="0.2">
      <c r="B110" s="2"/>
      <c r="C110" s="2"/>
      <c r="D110" s="2"/>
      <c r="E110" s="19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2:43" ht="15.75" customHeight="1" x14ac:dyDescent="0.2">
      <c r="B111" s="2"/>
      <c r="C111" s="2"/>
      <c r="D111" s="2"/>
      <c r="E111" s="19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2:43" ht="15.75" customHeight="1" x14ac:dyDescent="0.2">
      <c r="B112" s="2"/>
      <c r="C112" s="2"/>
      <c r="D112" s="2"/>
      <c r="E112" s="19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2:43" ht="15.75" customHeight="1" x14ac:dyDescent="0.2">
      <c r="B113" s="2"/>
      <c r="C113" s="2"/>
      <c r="D113" s="2"/>
      <c r="E113" s="19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2:43" ht="15.75" customHeight="1" x14ac:dyDescent="0.2">
      <c r="B114" s="2"/>
      <c r="C114" s="2"/>
      <c r="D114" s="2"/>
      <c r="E114" s="19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2:43" ht="15.75" customHeight="1" x14ac:dyDescent="0.2">
      <c r="B115" s="2"/>
      <c r="C115" s="2"/>
      <c r="D115" s="2"/>
      <c r="E115" s="19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2:43" ht="15.75" customHeight="1" x14ac:dyDescent="0.2">
      <c r="B116" s="2"/>
      <c r="C116" s="2"/>
      <c r="D116" s="2"/>
      <c r="E116" s="19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2:43" ht="15.75" customHeight="1" x14ac:dyDescent="0.2">
      <c r="B117" s="2"/>
      <c r="C117" s="2"/>
      <c r="D117" s="2"/>
      <c r="E117" s="19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2:43" ht="15.75" customHeight="1" x14ac:dyDescent="0.2">
      <c r="B118" s="2"/>
      <c r="C118" s="2"/>
      <c r="D118" s="2"/>
      <c r="E118" s="19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2:43" ht="15.75" customHeight="1" x14ac:dyDescent="0.2">
      <c r="B119" s="2"/>
      <c r="C119" s="2"/>
      <c r="D119" s="2"/>
      <c r="E119" s="19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2:43" ht="15.75" customHeight="1" x14ac:dyDescent="0.2">
      <c r="B120" s="2"/>
      <c r="C120" s="2"/>
      <c r="D120" s="2"/>
      <c r="E120" s="19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2:43" ht="15.75" customHeight="1" x14ac:dyDescent="0.2">
      <c r="B121" s="2"/>
      <c r="C121" s="2"/>
      <c r="D121" s="2"/>
      <c r="E121" s="19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2:43" ht="15.75" customHeight="1" x14ac:dyDescent="0.2">
      <c r="B122" s="2"/>
      <c r="C122" s="2"/>
      <c r="D122" s="2"/>
      <c r="E122" s="19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2:43" ht="15.75" customHeight="1" x14ac:dyDescent="0.2">
      <c r="B123" s="2"/>
      <c r="C123" s="2"/>
      <c r="D123" s="2"/>
      <c r="E123" s="19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2:43" ht="15.75" customHeight="1" x14ac:dyDescent="0.2">
      <c r="B124" s="2"/>
      <c r="C124" s="2"/>
      <c r="D124" s="2"/>
      <c r="E124" s="19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2:43" ht="15.75" customHeight="1" x14ac:dyDescent="0.2">
      <c r="B125" s="2"/>
      <c r="C125" s="2"/>
      <c r="D125" s="2"/>
      <c r="E125" s="19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2:43" ht="15.75" customHeight="1" x14ac:dyDescent="0.2">
      <c r="B126" s="2"/>
      <c r="C126" s="2"/>
      <c r="D126" s="2"/>
      <c r="E126" s="19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2:43" ht="15.75" customHeight="1" x14ac:dyDescent="0.2">
      <c r="B127" s="2"/>
      <c r="C127" s="2"/>
      <c r="D127" s="2"/>
      <c r="E127" s="19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2:43" ht="15.75" customHeight="1" x14ac:dyDescent="0.2">
      <c r="B128" s="2"/>
      <c r="C128" s="2"/>
      <c r="D128" s="2"/>
      <c r="E128" s="19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2:43" ht="15.75" customHeight="1" x14ac:dyDescent="0.2">
      <c r="B129" s="2"/>
      <c r="C129" s="2"/>
      <c r="D129" s="2"/>
      <c r="E129" s="19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2:43" ht="15.75" customHeight="1" x14ac:dyDescent="0.2">
      <c r="B130" s="2"/>
      <c r="C130" s="2"/>
      <c r="D130" s="2"/>
      <c r="E130" s="19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2:43" ht="15.75" customHeight="1" x14ac:dyDescent="0.2">
      <c r="B131" s="2"/>
      <c r="C131" s="2"/>
      <c r="D131" s="2"/>
      <c r="E131" s="19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2:43" ht="15.75" customHeight="1" x14ac:dyDescent="0.2">
      <c r="B132" s="2"/>
      <c r="C132" s="2"/>
      <c r="D132" s="2"/>
      <c r="E132" s="19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2:43" ht="15.75" customHeight="1" x14ac:dyDescent="0.2">
      <c r="B133" s="2"/>
      <c r="C133" s="2"/>
      <c r="D133" s="2"/>
      <c r="E133" s="19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2:43" ht="15.75" customHeight="1" x14ac:dyDescent="0.2">
      <c r="B134" s="2"/>
      <c r="C134" s="2"/>
      <c r="D134" s="2"/>
      <c r="E134" s="19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2:43" ht="15.75" customHeight="1" x14ac:dyDescent="0.2">
      <c r="B135" s="2"/>
      <c r="C135" s="2"/>
      <c r="D135" s="2"/>
      <c r="E135" s="19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2:43" ht="15.75" customHeight="1" x14ac:dyDescent="0.2">
      <c r="B136" s="2"/>
      <c r="C136" s="2"/>
      <c r="D136" s="2"/>
      <c r="E136" s="19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2:43" ht="15.75" customHeight="1" x14ac:dyDescent="0.2">
      <c r="B137" s="2"/>
      <c r="C137" s="2"/>
      <c r="D137" s="2"/>
      <c r="E137" s="19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2:43" ht="15.75" customHeight="1" x14ac:dyDescent="0.2">
      <c r="B138" s="2"/>
      <c r="C138" s="2"/>
      <c r="D138" s="2"/>
      <c r="E138" s="19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2:43" ht="15.75" customHeight="1" x14ac:dyDescent="0.2">
      <c r="B139" s="2"/>
      <c r="C139" s="2"/>
      <c r="D139" s="2"/>
      <c r="E139" s="19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2:43" ht="15.75" customHeight="1" x14ac:dyDescent="0.2">
      <c r="B140" s="2"/>
      <c r="C140" s="2"/>
      <c r="D140" s="2"/>
      <c r="E140" s="19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2:43" ht="15.75" customHeight="1" x14ac:dyDescent="0.2">
      <c r="B141" s="2"/>
      <c r="C141" s="2"/>
      <c r="D141" s="2"/>
      <c r="E141" s="19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2:43" ht="15.75" customHeight="1" x14ac:dyDescent="0.2">
      <c r="B142" s="2"/>
      <c r="C142" s="2"/>
      <c r="D142" s="2"/>
      <c r="E142" s="19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2:43" ht="15.75" customHeight="1" x14ac:dyDescent="0.2">
      <c r="B143" s="2"/>
      <c r="C143" s="2"/>
      <c r="D143" s="2"/>
      <c r="E143" s="19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2:43" ht="15.75" customHeight="1" x14ac:dyDescent="0.2">
      <c r="B144" s="2"/>
      <c r="C144" s="2"/>
      <c r="D144" s="2"/>
      <c r="E144" s="19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2:43" ht="15.75" customHeight="1" x14ac:dyDescent="0.2">
      <c r="B145" s="2"/>
      <c r="C145" s="2"/>
      <c r="D145" s="2"/>
      <c r="E145" s="19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2:43" ht="15.75" customHeight="1" x14ac:dyDescent="0.2">
      <c r="B146" s="2"/>
      <c r="C146" s="2"/>
      <c r="D146" s="2"/>
      <c r="E146" s="19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2:43" ht="15.75" customHeight="1" x14ac:dyDescent="0.2">
      <c r="B147" s="2"/>
      <c r="C147" s="2"/>
      <c r="D147" s="2"/>
      <c r="E147" s="19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2:43" ht="15.75" customHeight="1" x14ac:dyDescent="0.2">
      <c r="B148" s="2"/>
      <c r="C148" s="2"/>
      <c r="D148" s="2"/>
      <c r="E148" s="19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2:43" ht="15.75" customHeight="1" x14ac:dyDescent="0.2">
      <c r="B149" s="2"/>
      <c r="C149" s="2"/>
      <c r="D149" s="2"/>
      <c r="E149" s="19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2:43" ht="15.75" customHeight="1" x14ac:dyDescent="0.2">
      <c r="B150" s="2"/>
      <c r="C150" s="2"/>
      <c r="D150" s="2"/>
      <c r="E150" s="19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2:43" ht="15.75" customHeight="1" x14ac:dyDescent="0.2">
      <c r="B151" s="2"/>
      <c r="C151" s="2"/>
      <c r="D151" s="2"/>
      <c r="E151" s="19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2:43" ht="15.75" customHeight="1" x14ac:dyDescent="0.2">
      <c r="B152" s="2"/>
      <c r="C152" s="2"/>
      <c r="D152" s="2"/>
      <c r="E152" s="19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2:43" ht="15.75" customHeight="1" x14ac:dyDescent="0.2">
      <c r="B153" s="2"/>
      <c r="C153" s="2"/>
      <c r="D153" s="2"/>
      <c r="E153" s="19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2:43" ht="15.75" customHeight="1" x14ac:dyDescent="0.2">
      <c r="B154" s="2"/>
      <c r="C154" s="2"/>
      <c r="D154" s="2"/>
      <c r="E154" s="19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2:43" ht="15.75" customHeight="1" x14ac:dyDescent="0.2">
      <c r="B155" s="2"/>
      <c r="C155" s="2"/>
      <c r="D155" s="2"/>
      <c r="E155" s="19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2:43" ht="15.75" customHeight="1" x14ac:dyDescent="0.2">
      <c r="B156" s="2"/>
      <c r="C156" s="2"/>
      <c r="D156" s="2"/>
      <c r="E156" s="19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2:43" ht="15.75" customHeight="1" x14ac:dyDescent="0.2">
      <c r="B157" s="2"/>
      <c r="C157" s="2"/>
      <c r="D157" s="2"/>
      <c r="E157" s="19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2:43" ht="15.75" customHeight="1" x14ac:dyDescent="0.2">
      <c r="B158" s="2"/>
      <c r="C158" s="2"/>
      <c r="D158" s="2"/>
      <c r="E158" s="19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2:43" ht="15.75" customHeight="1" x14ac:dyDescent="0.2">
      <c r="B159" s="2"/>
      <c r="C159" s="2"/>
      <c r="D159" s="2"/>
      <c r="E159" s="19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2:43" ht="15.75" customHeight="1" x14ac:dyDescent="0.2">
      <c r="B160" s="2"/>
      <c r="C160" s="2"/>
      <c r="D160" s="2"/>
      <c r="E160" s="19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2:43" ht="15.75" customHeight="1" x14ac:dyDescent="0.2">
      <c r="B161" s="2"/>
      <c r="C161" s="2"/>
      <c r="D161" s="2"/>
      <c r="E161" s="19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2:43" ht="15.75" customHeight="1" x14ac:dyDescent="0.2">
      <c r="B162" s="2"/>
      <c r="C162" s="2"/>
      <c r="D162" s="2"/>
      <c r="E162" s="19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2:43" ht="15.75" customHeight="1" x14ac:dyDescent="0.2">
      <c r="B163" s="2"/>
      <c r="C163" s="2"/>
      <c r="D163" s="2"/>
      <c r="E163" s="19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2:43" ht="15.75" customHeight="1" x14ac:dyDescent="0.2">
      <c r="B164" s="2"/>
      <c r="C164" s="2"/>
      <c r="D164" s="2"/>
      <c r="E164" s="19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2:43" ht="15.75" customHeight="1" x14ac:dyDescent="0.2">
      <c r="B165" s="2"/>
      <c r="C165" s="2"/>
      <c r="D165" s="2"/>
      <c r="E165" s="19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2:43" ht="15.75" customHeight="1" x14ac:dyDescent="0.2">
      <c r="B166" s="2"/>
      <c r="C166" s="2"/>
      <c r="D166" s="2"/>
      <c r="E166" s="19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2:43" ht="15.75" customHeight="1" x14ac:dyDescent="0.2">
      <c r="B167" s="2"/>
      <c r="C167" s="2"/>
      <c r="D167" s="2"/>
      <c r="E167" s="19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2:43" ht="15.75" customHeight="1" x14ac:dyDescent="0.2">
      <c r="B168" s="2"/>
      <c r="C168" s="37"/>
      <c r="D168" s="37"/>
      <c r="E168" s="330"/>
      <c r="F168" s="37"/>
      <c r="G168" s="3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2:43" ht="15.75" customHeight="1" x14ac:dyDescent="0.2">
      <c r="B169" s="2"/>
      <c r="C169" s="37"/>
      <c r="D169" s="37"/>
      <c r="E169" s="330"/>
      <c r="F169" s="37"/>
      <c r="G169" s="3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2:43" ht="15.75" customHeight="1" x14ac:dyDescent="0.2">
      <c r="B170" s="2"/>
      <c r="C170" s="37"/>
      <c r="D170" s="37"/>
      <c r="E170" s="330"/>
      <c r="F170" s="37"/>
      <c r="G170" s="3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2:43" ht="15.75" customHeight="1" x14ac:dyDescent="0.2">
      <c r="B171" s="2"/>
      <c r="C171" s="37"/>
      <c r="D171" s="37"/>
      <c r="E171" s="330"/>
      <c r="F171" s="37"/>
      <c r="G171" s="3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2:43" ht="15.75" customHeight="1" x14ac:dyDescent="0.2">
      <c r="B172" s="2"/>
      <c r="C172" s="37"/>
      <c r="D172" s="37"/>
      <c r="E172" s="330"/>
      <c r="F172" s="37"/>
      <c r="G172" s="3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2:43" ht="15.75" customHeight="1" x14ac:dyDescent="0.2">
      <c r="B173" s="2"/>
      <c r="C173" s="37"/>
      <c r="D173" s="37"/>
      <c r="E173" s="330"/>
      <c r="F173" s="37"/>
      <c r="G173" s="3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2:43" ht="15.75" customHeight="1" x14ac:dyDescent="0.2">
      <c r="B174" s="2"/>
      <c r="C174" s="37"/>
      <c r="D174" s="37"/>
      <c r="E174" s="330"/>
      <c r="F174" s="37"/>
      <c r="G174" s="3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2:43" ht="15.75" customHeight="1" x14ac:dyDescent="0.2">
      <c r="B175" s="2"/>
      <c r="C175" s="37"/>
      <c r="D175" s="37"/>
      <c r="E175" s="330"/>
      <c r="F175" s="37"/>
      <c r="G175" s="3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2:43" ht="15.75" customHeight="1" x14ac:dyDescent="0.2">
      <c r="B176" s="2"/>
      <c r="C176" s="37"/>
      <c r="D176" s="37"/>
      <c r="E176" s="330"/>
      <c r="F176" s="37"/>
      <c r="G176" s="3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2:43" ht="15.75" customHeight="1" x14ac:dyDescent="0.2">
      <c r="B177" s="2"/>
      <c r="C177" s="37"/>
      <c r="D177" s="37"/>
      <c r="E177" s="330"/>
      <c r="F177" s="37"/>
      <c r="G177" s="3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2:43" ht="15.75" customHeight="1" x14ac:dyDescent="0.2">
      <c r="B178" s="2"/>
      <c r="C178" s="37"/>
      <c r="D178" s="37"/>
      <c r="E178" s="330"/>
      <c r="F178" s="37"/>
      <c r="G178" s="3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2:43" ht="15.75" customHeight="1" x14ac:dyDescent="0.2">
      <c r="B179" s="2"/>
      <c r="C179" s="37"/>
      <c r="D179" s="37"/>
      <c r="E179" s="330"/>
      <c r="F179" s="37"/>
      <c r="G179" s="3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2:43" ht="15.75" customHeight="1" x14ac:dyDescent="0.2">
      <c r="B180" s="2"/>
      <c r="C180" s="37"/>
      <c r="D180" s="37"/>
      <c r="E180" s="330"/>
      <c r="F180" s="37"/>
      <c r="G180" s="3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2:43" ht="15.75" customHeight="1" x14ac:dyDescent="0.2">
      <c r="B181" s="2"/>
      <c r="C181" s="37"/>
      <c r="D181" s="37"/>
      <c r="E181" s="330"/>
      <c r="F181" s="37"/>
      <c r="G181" s="3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2:43" ht="15.75" customHeight="1" x14ac:dyDescent="0.2">
      <c r="B182" s="2"/>
      <c r="C182" s="37"/>
      <c r="D182" s="37"/>
      <c r="E182" s="330"/>
      <c r="F182" s="37"/>
      <c r="G182" s="3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2:43" ht="15.75" customHeight="1" x14ac:dyDescent="0.2">
      <c r="B183" s="2"/>
      <c r="C183" s="37"/>
      <c r="D183" s="37"/>
      <c r="E183" s="330"/>
      <c r="F183" s="37"/>
      <c r="G183" s="3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2:43" ht="15.75" customHeight="1" x14ac:dyDescent="0.2">
      <c r="B184" s="2"/>
      <c r="C184" s="37"/>
      <c r="D184" s="37"/>
      <c r="E184" s="330"/>
      <c r="F184" s="37"/>
      <c r="G184" s="3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2:43" ht="15.75" customHeight="1" x14ac:dyDescent="0.2">
      <c r="B185" s="2"/>
      <c r="C185" s="37"/>
      <c r="D185" s="37"/>
      <c r="E185" s="330"/>
      <c r="F185" s="37"/>
      <c r="G185" s="3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2:43" ht="15.75" customHeight="1" x14ac:dyDescent="0.2">
      <c r="B186" s="2"/>
      <c r="C186" s="37"/>
      <c r="D186" s="37"/>
      <c r="E186" s="330"/>
      <c r="F186" s="37"/>
      <c r="G186" s="3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2:43" ht="15.75" customHeight="1" x14ac:dyDescent="0.2">
      <c r="B187" s="2"/>
      <c r="C187" s="37"/>
      <c r="D187" s="37"/>
      <c r="E187" s="330"/>
      <c r="F187" s="37"/>
      <c r="G187" s="3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2:43" ht="15.75" customHeight="1" x14ac:dyDescent="0.2">
      <c r="B188" s="2"/>
      <c r="C188" s="37"/>
      <c r="D188" s="37"/>
      <c r="E188" s="330"/>
      <c r="F188" s="37"/>
      <c r="G188" s="3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2:43" ht="15.75" customHeight="1" x14ac:dyDescent="0.2">
      <c r="B189" s="2"/>
      <c r="C189" s="37"/>
      <c r="D189" s="37"/>
      <c r="E189" s="330"/>
      <c r="F189" s="37"/>
      <c r="G189" s="3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2:43" ht="15.75" customHeight="1" x14ac:dyDescent="0.2">
      <c r="B190" s="2"/>
      <c r="C190" s="37"/>
      <c r="D190" s="37"/>
      <c r="E190" s="330"/>
      <c r="F190" s="37"/>
      <c r="G190" s="3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2:43" ht="15.75" customHeight="1" x14ac:dyDescent="0.2">
      <c r="B191" s="2"/>
      <c r="C191" s="37"/>
      <c r="D191" s="37"/>
      <c r="E191" s="330"/>
      <c r="F191" s="37"/>
      <c r="G191" s="3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2:43" ht="15.75" customHeight="1" x14ac:dyDescent="0.2">
      <c r="B192" s="2"/>
      <c r="C192" s="37"/>
      <c r="D192" s="37"/>
      <c r="E192" s="330"/>
      <c r="F192" s="37"/>
      <c r="G192" s="3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2:43" ht="15.75" customHeight="1" x14ac:dyDescent="0.2">
      <c r="B193" s="2"/>
      <c r="C193" s="37"/>
      <c r="D193" s="37"/>
      <c r="E193" s="330"/>
      <c r="F193" s="37"/>
      <c r="G193" s="3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2:43" ht="15.75" customHeight="1" x14ac:dyDescent="0.2">
      <c r="B194" s="2"/>
      <c r="C194" s="37"/>
      <c r="D194" s="37"/>
      <c r="E194" s="330"/>
      <c r="F194" s="37"/>
      <c r="G194" s="3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2:43" ht="15.75" customHeight="1" x14ac:dyDescent="0.2">
      <c r="B195" s="2"/>
      <c r="C195" s="37"/>
      <c r="D195" s="37"/>
      <c r="E195" s="330"/>
      <c r="F195" s="37"/>
      <c r="G195" s="3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2:43" ht="15.75" customHeight="1" x14ac:dyDescent="0.2">
      <c r="B196" s="2"/>
      <c r="C196" s="37"/>
      <c r="D196" s="37"/>
      <c r="E196" s="330"/>
      <c r="F196" s="37"/>
      <c r="G196" s="3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2:43" ht="15.75" customHeight="1" x14ac:dyDescent="0.2">
      <c r="B197" s="2"/>
      <c r="C197" s="37"/>
      <c r="D197" s="37"/>
      <c r="E197" s="330"/>
      <c r="F197" s="37"/>
      <c r="G197" s="3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2:43" ht="15.75" customHeight="1" x14ac:dyDescent="0.2">
      <c r="B198" s="2"/>
      <c r="C198" s="37"/>
      <c r="D198" s="37"/>
      <c r="E198" s="330"/>
      <c r="F198" s="37"/>
      <c r="G198" s="3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2:43" ht="15.75" customHeight="1" x14ac:dyDescent="0.2">
      <c r="B199" s="2"/>
      <c r="C199" s="37"/>
      <c r="D199" s="37"/>
      <c r="E199" s="330"/>
      <c r="F199" s="37"/>
      <c r="G199" s="3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2:43" ht="15.75" customHeight="1" x14ac:dyDescent="0.2">
      <c r="B200" s="2"/>
      <c r="C200" s="37"/>
      <c r="D200" s="37"/>
      <c r="E200" s="330"/>
      <c r="F200" s="37"/>
      <c r="G200" s="3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2:43" ht="15.75" customHeight="1" x14ac:dyDescent="0.2">
      <c r="B201" s="2"/>
      <c r="C201" s="37"/>
      <c r="D201" s="37"/>
      <c r="E201" s="330"/>
      <c r="F201" s="37"/>
      <c r="G201" s="3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2:43" ht="15.75" customHeight="1" x14ac:dyDescent="0.2">
      <c r="B202" s="2"/>
      <c r="C202" s="37"/>
      <c r="D202" s="37"/>
      <c r="E202" s="330"/>
      <c r="F202" s="37"/>
      <c r="G202" s="3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2:43" ht="15.75" customHeight="1" x14ac:dyDescent="0.2">
      <c r="B203" s="2"/>
      <c r="C203" s="37"/>
      <c r="D203" s="37"/>
      <c r="E203" s="330"/>
      <c r="F203" s="37"/>
      <c r="G203" s="3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2:43" ht="15.75" customHeight="1" x14ac:dyDescent="0.2">
      <c r="B204" s="2"/>
      <c r="C204" s="37"/>
      <c r="D204" s="37"/>
      <c r="E204" s="330"/>
      <c r="F204" s="37"/>
      <c r="G204" s="3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2:43" ht="15.75" customHeight="1" x14ac:dyDescent="0.2">
      <c r="B205" s="2"/>
      <c r="C205" s="37"/>
      <c r="D205" s="37"/>
      <c r="E205" s="330"/>
      <c r="F205" s="37"/>
      <c r="G205" s="3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2:43" ht="15.75" customHeight="1" x14ac:dyDescent="0.2">
      <c r="B206" s="2"/>
      <c r="C206" s="37"/>
      <c r="D206" s="37"/>
      <c r="E206" s="330"/>
      <c r="F206" s="37"/>
      <c r="G206" s="3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2:43" ht="15.75" customHeight="1" x14ac:dyDescent="0.2">
      <c r="B207" s="2"/>
      <c r="C207" s="37"/>
      <c r="D207" s="37"/>
      <c r="E207" s="330"/>
      <c r="F207" s="37"/>
      <c r="G207" s="3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2:43" ht="15.75" customHeight="1" x14ac:dyDescent="0.2">
      <c r="B208" s="2"/>
      <c r="C208" s="37"/>
      <c r="D208" s="37"/>
      <c r="E208" s="330"/>
      <c r="F208" s="37"/>
      <c r="G208" s="3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2:43" ht="15.75" customHeight="1" x14ac:dyDescent="0.2">
      <c r="B209" s="2"/>
      <c r="C209" s="37"/>
      <c r="D209" s="37"/>
      <c r="E209" s="330"/>
      <c r="F209" s="37"/>
      <c r="G209" s="3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2:43" ht="15.75" customHeight="1" x14ac:dyDescent="0.2">
      <c r="B210" s="2"/>
      <c r="C210" s="37"/>
      <c r="D210" s="37"/>
      <c r="E210" s="330"/>
      <c r="F210" s="37"/>
      <c r="G210" s="3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2:43" ht="15.75" customHeight="1" x14ac:dyDescent="0.2">
      <c r="B211" s="2"/>
      <c r="C211" s="37"/>
      <c r="D211" s="37"/>
      <c r="E211" s="330"/>
      <c r="F211" s="37"/>
      <c r="G211" s="3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2:43" ht="15.75" customHeight="1" x14ac:dyDescent="0.2">
      <c r="B212" s="2"/>
      <c r="C212" s="37"/>
      <c r="D212" s="37"/>
      <c r="E212" s="330"/>
      <c r="F212" s="37"/>
      <c r="G212" s="3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2:43" ht="15.75" customHeight="1" x14ac:dyDescent="0.2">
      <c r="B213" s="2"/>
      <c r="C213" s="37"/>
      <c r="D213" s="37"/>
      <c r="E213" s="330"/>
      <c r="F213" s="37"/>
      <c r="G213" s="3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2:43" ht="15.75" customHeight="1" x14ac:dyDescent="0.2">
      <c r="B214" s="2"/>
      <c r="C214" s="37"/>
      <c r="D214" s="37"/>
      <c r="E214" s="330"/>
      <c r="F214" s="37"/>
      <c r="G214" s="3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2:43" ht="15.75" customHeight="1" x14ac:dyDescent="0.2">
      <c r="B215" s="2"/>
      <c r="C215" s="37"/>
      <c r="D215" s="37"/>
      <c r="E215" s="330"/>
      <c r="F215" s="37"/>
      <c r="G215" s="3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2:43" ht="15.75" customHeight="1" x14ac:dyDescent="0.2">
      <c r="B216" s="2"/>
      <c r="C216" s="37"/>
      <c r="D216" s="37"/>
      <c r="E216" s="330"/>
      <c r="F216" s="37"/>
      <c r="G216" s="3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2:43" ht="15.75" customHeight="1" x14ac:dyDescent="0.2">
      <c r="B217" s="2"/>
      <c r="C217" s="37"/>
      <c r="D217" s="37"/>
      <c r="E217" s="330"/>
      <c r="F217" s="37"/>
      <c r="G217" s="3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2:43" ht="15.75" customHeight="1" x14ac:dyDescent="0.2">
      <c r="B218" s="2"/>
      <c r="C218" s="37"/>
      <c r="D218" s="37"/>
      <c r="E218" s="330"/>
      <c r="F218" s="37"/>
      <c r="G218" s="3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2:43" ht="15.75" customHeight="1" x14ac:dyDescent="0.2">
      <c r="B219" s="2"/>
      <c r="C219" s="37"/>
      <c r="D219" s="37"/>
      <c r="E219" s="330"/>
      <c r="F219" s="37"/>
      <c r="G219" s="3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2:43" ht="15.75" customHeight="1" x14ac:dyDescent="0.2">
      <c r="B220" s="2"/>
      <c r="C220" s="37"/>
      <c r="D220" s="37"/>
      <c r="E220" s="330"/>
      <c r="F220" s="37"/>
      <c r="G220" s="3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2:43" ht="15.75" customHeight="1" x14ac:dyDescent="0.2">
      <c r="B221" s="2"/>
      <c r="C221" s="37"/>
      <c r="D221" s="37"/>
      <c r="E221" s="330"/>
      <c r="F221" s="37"/>
      <c r="G221" s="3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2:43" ht="15.75" customHeight="1" x14ac:dyDescent="0.2">
      <c r="B222" s="2"/>
      <c r="C222" s="37"/>
      <c r="D222" s="37"/>
      <c r="E222" s="330"/>
      <c r="F222" s="37"/>
      <c r="G222" s="3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2:43" ht="15.75" customHeight="1" x14ac:dyDescent="0.2">
      <c r="B223" s="2"/>
      <c r="C223" s="37"/>
      <c r="D223" s="37"/>
      <c r="E223" s="330"/>
      <c r="F223" s="37"/>
      <c r="G223" s="3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2:43" ht="15.75" customHeight="1" x14ac:dyDescent="0.2">
      <c r="B224" s="2"/>
      <c r="C224" s="37"/>
      <c r="D224" s="37"/>
      <c r="E224" s="330"/>
      <c r="F224" s="37"/>
      <c r="G224" s="3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2:43" ht="15.75" customHeight="1" x14ac:dyDescent="0.2">
      <c r="B225" s="2"/>
      <c r="C225" s="37"/>
      <c r="D225" s="37"/>
      <c r="E225" s="330"/>
      <c r="F225" s="37"/>
      <c r="G225" s="3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2:43" ht="15.75" customHeight="1" x14ac:dyDescent="0.2">
      <c r="B226" s="2"/>
      <c r="C226" s="37"/>
      <c r="D226" s="37"/>
      <c r="E226" s="330"/>
      <c r="F226" s="37"/>
      <c r="G226" s="3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2:43" ht="15.75" customHeight="1" x14ac:dyDescent="0.2">
      <c r="B227" s="2"/>
      <c r="C227" s="37"/>
      <c r="D227" s="37"/>
      <c r="E227" s="330"/>
      <c r="F227" s="37"/>
      <c r="G227" s="3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2:43" ht="15.75" customHeight="1" x14ac:dyDescent="0.2">
      <c r="B228" s="2"/>
      <c r="C228" s="37"/>
      <c r="D228" s="37"/>
      <c r="E228" s="330"/>
      <c r="F228" s="37"/>
      <c r="G228" s="3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2:43" ht="15.75" customHeight="1" x14ac:dyDescent="0.2">
      <c r="B229" s="2"/>
      <c r="C229" s="37"/>
      <c r="D229" s="37"/>
      <c r="E229" s="330"/>
      <c r="F229" s="37"/>
      <c r="G229" s="3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2:43" ht="15.75" customHeight="1" x14ac:dyDescent="0.2">
      <c r="B230" s="2"/>
      <c r="C230" s="37"/>
      <c r="D230" s="37"/>
      <c r="E230" s="330"/>
      <c r="F230" s="37"/>
      <c r="G230" s="3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2:43" ht="15.75" customHeight="1" x14ac:dyDescent="0.2">
      <c r="B231" s="2"/>
      <c r="C231" s="37"/>
      <c r="D231" s="37"/>
      <c r="E231" s="330"/>
      <c r="F231" s="37"/>
      <c r="G231" s="3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2:43" ht="15.75" customHeight="1" x14ac:dyDescent="0.2">
      <c r="B232" s="2"/>
      <c r="C232" s="37"/>
      <c r="D232" s="37"/>
      <c r="E232" s="330"/>
      <c r="F232" s="37"/>
      <c r="G232" s="3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2:43" ht="15.75" customHeight="1" x14ac:dyDescent="0.2">
      <c r="B233" s="2"/>
      <c r="C233" s="37"/>
      <c r="D233" s="37"/>
      <c r="E233" s="330"/>
      <c r="F233" s="37"/>
      <c r="G233" s="3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2:43" ht="15.75" customHeight="1" x14ac:dyDescent="0.2">
      <c r="B234" s="2"/>
      <c r="C234" s="37"/>
      <c r="D234" s="37"/>
      <c r="E234" s="330"/>
      <c r="F234" s="37"/>
      <c r="G234" s="3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2:43" ht="15.75" customHeight="1" x14ac:dyDescent="0.2">
      <c r="B235" s="2"/>
      <c r="C235" s="37"/>
      <c r="D235" s="37"/>
      <c r="E235" s="330"/>
      <c r="F235" s="37"/>
      <c r="G235" s="3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2:43" ht="15.75" customHeight="1" x14ac:dyDescent="0.2">
      <c r="B236" s="2"/>
      <c r="C236" s="37"/>
      <c r="D236" s="37"/>
      <c r="E236" s="330"/>
      <c r="F236" s="37"/>
      <c r="G236" s="3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2:43" ht="15.75" customHeight="1" x14ac:dyDescent="0.2">
      <c r="B237" s="2"/>
      <c r="C237" s="37"/>
      <c r="D237" s="37"/>
      <c r="E237" s="330"/>
      <c r="F237" s="37"/>
      <c r="G237" s="3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2:43" ht="15.75" customHeight="1" x14ac:dyDescent="0.2">
      <c r="B238" s="2"/>
      <c r="C238" s="37"/>
      <c r="D238" s="37"/>
      <c r="E238" s="330"/>
      <c r="F238" s="37"/>
      <c r="G238" s="3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2:43" ht="15.75" customHeight="1" x14ac:dyDescent="0.2">
      <c r="B239" s="2"/>
      <c r="C239" s="37"/>
      <c r="D239" s="37"/>
      <c r="E239" s="330"/>
      <c r="F239" s="37"/>
      <c r="G239" s="3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2:43" ht="15.75" customHeight="1" x14ac:dyDescent="0.2">
      <c r="B240" s="2"/>
      <c r="C240" s="37"/>
      <c r="D240" s="37"/>
      <c r="E240" s="330"/>
      <c r="F240" s="37"/>
      <c r="G240" s="3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2:43" ht="15.75" customHeight="1" x14ac:dyDescent="0.2">
      <c r="B241" s="2"/>
      <c r="C241" s="37"/>
      <c r="D241" s="37"/>
      <c r="E241" s="330"/>
      <c r="F241" s="37"/>
      <c r="G241" s="3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2:43" ht="15.75" customHeight="1" x14ac:dyDescent="0.2">
      <c r="B242" s="2"/>
      <c r="C242" s="37"/>
      <c r="D242" s="37"/>
      <c r="E242" s="330"/>
      <c r="F242" s="37"/>
      <c r="G242" s="3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2:43" ht="15.75" customHeight="1" x14ac:dyDescent="0.2">
      <c r="B243" s="2"/>
      <c r="C243" s="37"/>
      <c r="D243" s="37"/>
      <c r="E243" s="330"/>
      <c r="F243" s="37"/>
      <c r="G243" s="3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2:43" ht="15.75" customHeight="1" x14ac:dyDescent="0.2">
      <c r="B244" s="2"/>
      <c r="C244" s="37"/>
      <c r="D244" s="37"/>
      <c r="E244" s="330"/>
      <c r="F244" s="37"/>
      <c r="G244" s="3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2:43" ht="15.75" customHeight="1" x14ac:dyDescent="0.2">
      <c r="B245" s="2"/>
      <c r="C245" s="37"/>
      <c r="D245" s="37"/>
      <c r="E245" s="330"/>
      <c r="F245" s="37"/>
      <c r="G245" s="3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2:43" ht="15.75" customHeight="1" x14ac:dyDescent="0.2">
      <c r="B246" s="2"/>
      <c r="C246" s="37"/>
      <c r="D246" s="37"/>
      <c r="E246" s="330"/>
      <c r="F246" s="37"/>
      <c r="G246" s="3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2:43" ht="15.75" customHeight="1" x14ac:dyDescent="0.2">
      <c r="B247" s="2"/>
      <c r="C247" s="37"/>
      <c r="D247" s="37"/>
      <c r="E247" s="330"/>
      <c r="F247" s="37"/>
      <c r="G247" s="3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2:43" ht="15.75" customHeight="1" x14ac:dyDescent="0.2">
      <c r="B248" s="2"/>
      <c r="C248" s="37"/>
      <c r="D248" s="37"/>
      <c r="E248" s="330"/>
      <c r="F248" s="37"/>
      <c r="G248" s="3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2:43" ht="15.75" customHeight="1" x14ac:dyDescent="0.2">
      <c r="B249" s="2"/>
      <c r="C249" s="37"/>
      <c r="D249" s="37"/>
      <c r="E249" s="330"/>
      <c r="F249" s="37"/>
      <c r="G249" s="3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2:43" ht="15.75" customHeight="1" x14ac:dyDescent="0.2">
      <c r="B250" s="2"/>
      <c r="C250" s="37"/>
      <c r="D250" s="37"/>
      <c r="E250" s="330"/>
      <c r="F250" s="37"/>
      <c r="G250" s="3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2:43" ht="15.75" customHeight="1" x14ac:dyDescent="0.2">
      <c r="B251" s="2"/>
      <c r="C251" s="37"/>
      <c r="D251" s="37"/>
      <c r="E251" s="330"/>
      <c r="F251" s="37"/>
      <c r="G251" s="3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2:43" ht="15.75" customHeight="1" x14ac:dyDescent="0.2">
      <c r="B252" s="2"/>
      <c r="C252" s="37"/>
      <c r="D252" s="37"/>
      <c r="E252" s="330"/>
      <c r="F252" s="37"/>
      <c r="G252" s="3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2:43" ht="15.75" customHeight="1" x14ac:dyDescent="0.2">
      <c r="B253" s="2"/>
      <c r="C253" s="37"/>
      <c r="D253" s="37"/>
      <c r="E253" s="330"/>
      <c r="F253" s="37"/>
      <c r="G253" s="3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2:43" ht="15.75" customHeight="1" x14ac:dyDescent="0.2">
      <c r="B254" s="2"/>
      <c r="C254" s="37"/>
      <c r="D254" s="37"/>
      <c r="E254" s="330"/>
      <c r="F254" s="37"/>
      <c r="G254" s="3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2:43" ht="15.75" customHeight="1" x14ac:dyDescent="0.2">
      <c r="B255" s="2"/>
      <c r="C255" s="37"/>
      <c r="D255" s="37"/>
      <c r="E255" s="330"/>
      <c r="F255" s="37"/>
      <c r="G255" s="3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2:43" ht="15.75" customHeight="1" x14ac:dyDescent="0.2">
      <c r="B256" s="2"/>
      <c r="C256" s="37"/>
      <c r="D256" s="37"/>
      <c r="E256" s="330"/>
      <c r="F256" s="37"/>
      <c r="G256" s="3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2:43" ht="15.75" customHeight="1" x14ac:dyDescent="0.2">
      <c r="B257" s="2"/>
      <c r="C257" s="37"/>
      <c r="D257" s="37"/>
      <c r="E257" s="330"/>
      <c r="F257" s="37"/>
      <c r="G257" s="3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2:43" ht="15.75" customHeight="1" x14ac:dyDescent="0.2">
      <c r="B258" s="2"/>
      <c r="C258" s="37"/>
      <c r="D258" s="37"/>
      <c r="E258" s="330"/>
      <c r="F258" s="37"/>
      <c r="G258" s="3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2:43" ht="15.75" customHeight="1" x14ac:dyDescent="0.2">
      <c r="B259" s="2"/>
      <c r="C259" s="37"/>
      <c r="D259" s="37"/>
      <c r="E259" s="330"/>
      <c r="F259" s="37"/>
      <c r="G259" s="3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2:43" ht="15.75" customHeight="1" x14ac:dyDescent="0.2">
      <c r="B260" s="2"/>
      <c r="C260" s="37"/>
      <c r="D260" s="37"/>
      <c r="E260" s="330"/>
      <c r="F260" s="37"/>
      <c r="G260" s="3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2:43" ht="15.75" customHeight="1" x14ac:dyDescent="0.2">
      <c r="B261" s="2"/>
      <c r="C261" s="37"/>
      <c r="D261" s="37"/>
      <c r="E261" s="330"/>
      <c r="F261" s="37"/>
      <c r="G261" s="3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2:43" ht="15.75" customHeight="1" x14ac:dyDescent="0.2">
      <c r="B262" s="2"/>
      <c r="C262" s="37"/>
      <c r="D262" s="37"/>
      <c r="E262" s="330"/>
      <c r="F262" s="37"/>
      <c r="G262" s="3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2:43" ht="15.75" customHeight="1" x14ac:dyDescent="0.2">
      <c r="B263" s="2"/>
      <c r="C263" s="37"/>
      <c r="D263" s="37"/>
      <c r="E263" s="330"/>
      <c r="F263" s="37"/>
      <c r="G263" s="3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2:43" ht="15.75" customHeight="1" x14ac:dyDescent="0.2">
      <c r="B264" s="2"/>
      <c r="C264" s="37"/>
      <c r="D264" s="37"/>
      <c r="E264" s="330"/>
      <c r="F264" s="37"/>
      <c r="G264" s="3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2:43" ht="15.75" customHeight="1" x14ac:dyDescent="0.2">
      <c r="B265" s="2"/>
      <c r="C265" s="37"/>
      <c r="D265" s="37"/>
      <c r="E265" s="330"/>
      <c r="F265" s="37"/>
      <c r="G265" s="3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2:43" ht="15.75" customHeight="1" x14ac:dyDescent="0.2">
      <c r="B266" s="2"/>
      <c r="C266" s="37"/>
      <c r="D266" s="37"/>
      <c r="E266" s="330"/>
      <c r="F266" s="37"/>
      <c r="G266" s="3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2:43" ht="15.75" customHeight="1" x14ac:dyDescent="0.2">
      <c r="B267" s="2"/>
      <c r="C267" s="37"/>
      <c r="D267" s="37"/>
      <c r="E267" s="330"/>
      <c r="F267" s="37"/>
      <c r="G267" s="3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2:43" ht="15.75" customHeight="1" x14ac:dyDescent="0.2">
      <c r="B268" s="2"/>
      <c r="C268" s="37"/>
      <c r="D268" s="37"/>
      <c r="E268" s="330"/>
      <c r="F268" s="37"/>
      <c r="G268" s="3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2:43" ht="15.75" customHeight="1" x14ac:dyDescent="0.2">
      <c r="B269" s="2"/>
      <c r="C269" s="37"/>
      <c r="D269" s="37"/>
      <c r="E269" s="330"/>
      <c r="F269" s="37"/>
      <c r="G269" s="3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2:43" ht="15.75" customHeight="1" x14ac:dyDescent="0.2">
      <c r="B270" s="2"/>
      <c r="C270" s="37"/>
      <c r="D270" s="37"/>
      <c r="E270" s="330"/>
      <c r="F270" s="37"/>
      <c r="G270" s="3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2:43" ht="15.75" customHeight="1" x14ac:dyDescent="0.2">
      <c r="B271" s="2"/>
      <c r="C271" s="37"/>
      <c r="D271" s="37"/>
      <c r="E271" s="330"/>
      <c r="F271" s="37"/>
      <c r="G271" s="3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2:43" ht="15.75" customHeight="1" x14ac:dyDescent="0.2">
      <c r="B272" s="2"/>
      <c r="C272" s="37"/>
      <c r="D272" s="37"/>
      <c r="E272" s="330"/>
      <c r="F272" s="37"/>
      <c r="G272" s="3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2:43" ht="15.75" customHeight="1" x14ac:dyDescent="0.2">
      <c r="B273" s="2"/>
      <c r="C273" s="37"/>
      <c r="D273" s="37"/>
      <c r="E273" s="330"/>
      <c r="F273" s="37"/>
      <c r="G273" s="3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2:43" ht="15.75" customHeight="1" x14ac:dyDescent="0.2">
      <c r="B274" s="2"/>
      <c r="C274" s="37"/>
      <c r="D274" s="37"/>
      <c r="E274" s="330"/>
      <c r="F274" s="37"/>
      <c r="G274" s="3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2:43" ht="15.75" customHeight="1" x14ac:dyDescent="0.2">
      <c r="B275" s="2"/>
      <c r="C275" s="37"/>
      <c r="D275" s="37"/>
      <c r="E275" s="330"/>
      <c r="F275" s="37"/>
      <c r="G275" s="3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2:43" ht="15.75" customHeight="1" x14ac:dyDescent="0.2">
      <c r="B276" s="2"/>
      <c r="C276" s="37"/>
      <c r="D276" s="37"/>
      <c r="E276" s="330"/>
      <c r="F276" s="37"/>
      <c r="G276" s="3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2:43" ht="15.75" customHeight="1" x14ac:dyDescent="0.2">
      <c r="B277" s="2"/>
      <c r="C277" s="37"/>
      <c r="D277" s="37"/>
      <c r="E277" s="330"/>
      <c r="F277" s="37"/>
      <c r="G277" s="3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2:43" ht="15.75" customHeight="1" x14ac:dyDescent="0.2">
      <c r="B278" s="2"/>
      <c r="C278" s="37"/>
      <c r="D278" s="37"/>
      <c r="E278" s="330"/>
      <c r="F278" s="37"/>
      <c r="G278" s="3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2:43" ht="15.75" customHeight="1" x14ac:dyDescent="0.2">
      <c r="B279" s="2"/>
      <c r="C279" s="37"/>
      <c r="D279" s="37"/>
      <c r="E279" s="330"/>
      <c r="F279" s="37"/>
      <c r="G279" s="3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2:43" ht="15.75" customHeight="1" x14ac:dyDescent="0.2">
      <c r="B280" s="2"/>
      <c r="C280" s="37"/>
      <c r="D280" s="37"/>
      <c r="E280" s="330"/>
      <c r="F280" s="37"/>
      <c r="G280" s="3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2:43" ht="15.75" customHeight="1" x14ac:dyDescent="0.2">
      <c r="B281" s="2"/>
      <c r="C281" s="37"/>
      <c r="D281" s="37"/>
      <c r="E281" s="330"/>
      <c r="F281" s="37"/>
      <c r="G281" s="3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2:43" ht="15.75" customHeight="1" x14ac:dyDescent="0.2">
      <c r="B282" s="2"/>
      <c r="C282" s="37"/>
      <c r="D282" s="37"/>
      <c r="E282" s="330"/>
      <c r="F282" s="37"/>
      <c r="G282" s="3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2:43" ht="15.75" customHeight="1" x14ac:dyDescent="0.2">
      <c r="B283" s="2"/>
      <c r="C283" s="37"/>
      <c r="D283" s="37"/>
      <c r="E283" s="330"/>
      <c r="F283" s="37"/>
      <c r="G283" s="3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2:43" ht="15.75" customHeight="1" x14ac:dyDescent="0.2">
      <c r="B284" s="2"/>
      <c r="C284" s="37"/>
      <c r="D284" s="37"/>
      <c r="E284" s="330"/>
      <c r="F284" s="37"/>
      <c r="G284" s="3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2:43" ht="15.75" customHeight="1" x14ac:dyDescent="0.2">
      <c r="B285" s="2"/>
      <c r="C285" s="37"/>
      <c r="D285" s="37"/>
      <c r="E285" s="330"/>
      <c r="F285" s="37"/>
      <c r="G285" s="3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2:43" ht="15.75" customHeight="1" x14ac:dyDescent="0.2">
      <c r="B286" s="2"/>
      <c r="C286" s="37"/>
      <c r="D286" s="37"/>
      <c r="E286" s="330"/>
      <c r="F286" s="37"/>
      <c r="G286" s="3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2:43" ht="15.75" customHeight="1" x14ac:dyDescent="0.2">
      <c r="B287" s="2"/>
      <c r="C287" s="37"/>
      <c r="D287" s="37"/>
      <c r="E287" s="330"/>
      <c r="F287" s="37"/>
      <c r="G287" s="3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2:43" ht="15.75" customHeight="1" x14ac:dyDescent="0.2">
      <c r="B288" s="2"/>
      <c r="C288" s="37"/>
      <c r="D288" s="37"/>
      <c r="E288" s="330"/>
      <c r="F288" s="37"/>
      <c r="G288" s="3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2:43" ht="15.75" customHeight="1" x14ac:dyDescent="0.2">
      <c r="B289" s="2"/>
      <c r="C289" s="37"/>
      <c r="D289" s="37"/>
      <c r="E289" s="330"/>
      <c r="F289" s="37"/>
      <c r="G289" s="3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2:43" ht="15.75" customHeight="1" x14ac:dyDescent="0.2">
      <c r="B290" s="2"/>
      <c r="C290" s="37"/>
      <c r="D290" s="37"/>
      <c r="E290" s="330"/>
      <c r="F290" s="37"/>
      <c r="G290" s="3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2:43" ht="15.75" customHeight="1" x14ac:dyDescent="0.2">
      <c r="B291" s="2"/>
      <c r="C291" s="37"/>
      <c r="D291" s="37"/>
      <c r="E291" s="330"/>
      <c r="F291" s="37"/>
      <c r="G291" s="3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2:43" ht="15.75" customHeight="1" x14ac:dyDescent="0.2">
      <c r="B292" s="2"/>
      <c r="C292" s="37"/>
      <c r="D292" s="37"/>
      <c r="E292" s="330"/>
      <c r="F292" s="37"/>
      <c r="G292" s="3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2:43" ht="15.75" customHeight="1" x14ac:dyDescent="0.2">
      <c r="B293" s="2"/>
      <c r="C293" s="37"/>
      <c r="D293" s="37"/>
      <c r="E293" s="330"/>
      <c r="F293" s="37"/>
      <c r="G293" s="3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2:43" ht="15.75" customHeight="1" x14ac:dyDescent="0.2">
      <c r="B294" s="2"/>
      <c r="C294" s="37"/>
      <c r="D294" s="37"/>
      <c r="E294" s="330"/>
      <c r="F294" s="37"/>
      <c r="G294" s="3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2:43" ht="15.75" customHeight="1" x14ac:dyDescent="0.2">
      <c r="B295" s="2"/>
      <c r="C295" s="37"/>
      <c r="D295" s="37"/>
      <c r="E295" s="330"/>
      <c r="F295" s="37"/>
      <c r="G295" s="3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2:43" ht="15.75" customHeight="1" x14ac:dyDescent="0.2">
      <c r="B296" s="2"/>
      <c r="C296" s="37"/>
      <c r="D296" s="37"/>
      <c r="E296" s="330"/>
      <c r="F296" s="37"/>
      <c r="G296" s="3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2:43" ht="15.75" customHeight="1" x14ac:dyDescent="0.2">
      <c r="B297" s="2"/>
      <c r="C297" s="37"/>
      <c r="D297" s="37"/>
      <c r="E297" s="330"/>
      <c r="F297" s="37"/>
      <c r="G297" s="3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2:43" ht="15.75" customHeight="1" x14ac:dyDescent="0.2">
      <c r="B298" s="2"/>
      <c r="C298" s="37"/>
      <c r="D298" s="37"/>
      <c r="E298" s="330"/>
      <c r="F298" s="37"/>
      <c r="G298" s="3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2:43" ht="15.75" customHeight="1" x14ac:dyDescent="0.2">
      <c r="B299" s="2"/>
      <c r="C299" s="37"/>
      <c r="D299" s="37"/>
      <c r="E299" s="330"/>
      <c r="F299" s="37"/>
      <c r="G299" s="3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2:43" ht="15.75" customHeight="1" x14ac:dyDescent="0.2">
      <c r="B300" s="2"/>
      <c r="C300" s="37"/>
      <c r="D300" s="37"/>
      <c r="E300" s="330"/>
      <c r="F300" s="37"/>
      <c r="G300" s="3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2:43" ht="15.75" customHeight="1" x14ac:dyDescent="0.2">
      <c r="B301" s="2"/>
      <c r="C301" s="37"/>
      <c r="D301" s="37"/>
      <c r="E301" s="330"/>
      <c r="F301" s="37"/>
      <c r="G301" s="3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2:43" ht="15.75" customHeight="1" x14ac:dyDescent="0.2">
      <c r="B302" s="2"/>
      <c r="C302" s="37"/>
      <c r="D302" s="37"/>
      <c r="E302" s="330"/>
      <c r="F302" s="37"/>
      <c r="G302" s="3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2:43" ht="15.75" customHeight="1" x14ac:dyDescent="0.2">
      <c r="B303" s="2"/>
      <c r="C303" s="37"/>
      <c r="D303" s="37"/>
      <c r="E303" s="330"/>
      <c r="F303" s="37"/>
      <c r="G303" s="3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2:43" ht="15.75" customHeight="1" x14ac:dyDescent="0.2">
      <c r="B304" s="2"/>
      <c r="C304" s="37"/>
      <c r="D304" s="37"/>
      <c r="E304" s="330"/>
      <c r="F304" s="37"/>
      <c r="G304" s="3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2:43" ht="15.75" customHeight="1" x14ac:dyDescent="0.2">
      <c r="B305" s="2"/>
      <c r="C305" s="37"/>
      <c r="D305" s="37"/>
      <c r="E305" s="330"/>
      <c r="F305" s="37"/>
      <c r="G305" s="3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2:43" ht="15.75" customHeight="1" x14ac:dyDescent="0.2">
      <c r="B306" s="2"/>
      <c r="C306" s="37"/>
      <c r="D306" s="37"/>
      <c r="E306" s="330"/>
      <c r="F306" s="37"/>
      <c r="G306" s="3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2:43" ht="15.75" customHeight="1" x14ac:dyDescent="0.2">
      <c r="B307" s="2"/>
      <c r="C307" s="37"/>
      <c r="D307" s="37"/>
      <c r="E307" s="330"/>
      <c r="F307" s="37"/>
      <c r="G307" s="3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2:43" ht="15.75" customHeight="1" x14ac:dyDescent="0.2">
      <c r="B308" s="2"/>
      <c r="C308" s="37"/>
      <c r="D308" s="37"/>
      <c r="E308" s="330"/>
      <c r="F308" s="37"/>
      <c r="G308" s="3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2:43" ht="15.75" customHeight="1" x14ac:dyDescent="0.2">
      <c r="B309" s="2"/>
      <c r="C309" s="37"/>
      <c r="D309" s="37"/>
      <c r="E309" s="330"/>
      <c r="F309" s="37"/>
      <c r="G309" s="3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2:43" ht="15.75" customHeight="1" x14ac:dyDescent="0.2">
      <c r="B310" s="2"/>
      <c r="C310" s="37"/>
      <c r="D310" s="37"/>
      <c r="E310" s="330"/>
      <c r="F310" s="37"/>
      <c r="G310" s="3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2:43" ht="15.75" customHeight="1" x14ac:dyDescent="0.2">
      <c r="B311" s="2"/>
      <c r="C311" s="37"/>
      <c r="D311" s="37"/>
      <c r="E311" s="330"/>
      <c r="F311" s="37"/>
      <c r="G311" s="3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2:43" ht="15.75" customHeight="1" x14ac:dyDescent="0.2">
      <c r="B312" s="2"/>
      <c r="C312" s="37"/>
      <c r="D312" s="37"/>
      <c r="E312" s="330"/>
      <c r="F312" s="37"/>
      <c r="G312" s="3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2:43" ht="15.75" customHeight="1" x14ac:dyDescent="0.2">
      <c r="B313" s="2"/>
      <c r="C313" s="37"/>
      <c r="D313" s="37"/>
      <c r="E313" s="330"/>
      <c r="F313" s="37"/>
      <c r="G313" s="3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2:43" ht="15.75" customHeight="1" x14ac:dyDescent="0.2">
      <c r="B314" s="2"/>
      <c r="C314" s="37"/>
      <c r="D314" s="37"/>
      <c r="E314" s="330"/>
      <c r="F314" s="37"/>
      <c r="G314" s="3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2:43" ht="15.75" customHeight="1" x14ac:dyDescent="0.2">
      <c r="B315" s="2"/>
      <c r="C315" s="37"/>
      <c r="D315" s="37"/>
      <c r="E315" s="330"/>
      <c r="F315" s="37"/>
      <c r="G315" s="3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2:43" ht="15.75" customHeight="1" x14ac:dyDescent="0.2">
      <c r="B316" s="2"/>
      <c r="C316" s="37"/>
      <c r="D316" s="37"/>
      <c r="E316" s="330"/>
      <c r="F316" s="37"/>
      <c r="G316" s="3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2:43" ht="15.75" customHeight="1" x14ac:dyDescent="0.2">
      <c r="B317" s="2"/>
      <c r="C317" s="37"/>
      <c r="D317" s="37"/>
      <c r="E317" s="330"/>
      <c r="F317" s="37"/>
      <c r="G317" s="3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2:43" ht="15.75" customHeight="1" x14ac:dyDescent="0.2">
      <c r="B318" s="2"/>
      <c r="C318" s="37"/>
      <c r="D318" s="37"/>
      <c r="E318" s="330"/>
      <c r="F318" s="37"/>
      <c r="G318" s="3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2:43" ht="15.75" customHeight="1" x14ac:dyDescent="0.2">
      <c r="B319" s="2"/>
      <c r="C319" s="37"/>
      <c r="D319" s="37"/>
      <c r="E319" s="330"/>
      <c r="F319" s="37"/>
      <c r="G319" s="3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2:43" ht="15.75" customHeight="1" x14ac:dyDescent="0.2">
      <c r="B320" s="2"/>
      <c r="C320" s="37"/>
      <c r="D320" s="37"/>
      <c r="E320" s="330"/>
      <c r="F320" s="37"/>
      <c r="G320" s="3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2:43" ht="15.75" customHeight="1" x14ac:dyDescent="0.2">
      <c r="B321" s="2"/>
      <c r="C321" s="37"/>
      <c r="D321" s="37"/>
      <c r="E321" s="330"/>
      <c r="F321" s="37"/>
      <c r="G321" s="3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2:43" ht="15.75" customHeight="1" x14ac:dyDescent="0.2">
      <c r="B322" s="2"/>
      <c r="C322" s="37"/>
      <c r="D322" s="37"/>
      <c r="E322" s="330"/>
      <c r="F322" s="37"/>
      <c r="G322" s="3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2:43" ht="15.75" customHeight="1" x14ac:dyDescent="0.2">
      <c r="B323" s="2"/>
      <c r="C323" s="37"/>
      <c r="D323" s="37"/>
      <c r="E323" s="330"/>
      <c r="F323" s="37"/>
      <c r="G323" s="3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2:43" ht="15.75" customHeight="1" x14ac:dyDescent="0.2">
      <c r="B324" s="2"/>
      <c r="C324" s="37"/>
      <c r="D324" s="37"/>
      <c r="E324" s="330"/>
      <c r="F324" s="37"/>
      <c r="G324" s="3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2:43" ht="15.75" customHeight="1" x14ac:dyDescent="0.2">
      <c r="B325" s="2"/>
      <c r="C325" s="37"/>
      <c r="D325" s="37"/>
      <c r="E325" s="330"/>
      <c r="F325" s="37"/>
      <c r="G325" s="3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2:43" ht="15.75" customHeight="1" x14ac:dyDescent="0.2">
      <c r="B326" s="2"/>
      <c r="C326" s="37"/>
      <c r="D326" s="37"/>
      <c r="E326" s="330"/>
      <c r="F326" s="37"/>
      <c r="G326" s="3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2:43" ht="15.75" customHeight="1" x14ac:dyDescent="0.2">
      <c r="B327" s="2"/>
      <c r="C327" s="37"/>
      <c r="D327" s="37"/>
      <c r="E327" s="330"/>
      <c r="F327" s="37"/>
      <c r="G327" s="3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2:43" ht="15.75" customHeight="1" x14ac:dyDescent="0.2">
      <c r="B328" s="2"/>
      <c r="C328" s="37"/>
      <c r="D328" s="37"/>
      <c r="E328" s="330"/>
      <c r="F328" s="37"/>
      <c r="G328" s="3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2:43" ht="15.75" customHeight="1" x14ac:dyDescent="0.2">
      <c r="B329" s="2"/>
      <c r="C329" s="37"/>
      <c r="D329" s="37"/>
      <c r="E329" s="330"/>
      <c r="F329" s="37"/>
      <c r="G329" s="3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2:43" ht="15.75" customHeight="1" x14ac:dyDescent="0.2">
      <c r="B330" s="2"/>
      <c r="C330" s="37"/>
      <c r="D330" s="37"/>
      <c r="E330" s="330"/>
      <c r="F330" s="37"/>
      <c r="G330" s="3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2:43" ht="15.75" customHeight="1" x14ac:dyDescent="0.2">
      <c r="B331" s="2"/>
      <c r="C331" s="37"/>
      <c r="D331" s="37"/>
      <c r="E331" s="330"/>
      <c r="F331" s="37"/>
      <c r="G331" s="3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2:43" ht="15.75" customHeight="1" x14ac:dyDescent="0.2">
      <c r="B332" s="2"/>
      <c r="C332" s="37"/>
      <c r="D332" s="37"/>
      <c r="E332" s="330"/>
      <c r="F332" s="37"/>
      <c r="G332" s="3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2:43" ht="15.75" customHeight="1" x14ac:dyDescent="0.2">
      <c r="B333" s="2"/>
      <c r="C333" s="37"/>
      <c r="D333" s="37"/>
      <c r="E333" s="330"/>
      <c r="F333" s="37"/>
      <c r="G333" s="3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2:43" ht="15.75" customHeight="1" x14ac:dyDescent="0.2">
      <c r="B334" s="2"/>
      <c r="C334" s="37"/>
      <c r="D334" s="37"/>
      <c r="E334" s="330"/>
      <c r="F334" s="37"/>
      <c r="G334" s="3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2:43" ht="15.75" customHeight="1" x14ac:dyDescent="0.2">
      <c r="B335" s="2"/>
      <c r="C335" s="37"/>
      <c r="D335" s="37"/>
      <c r="E335" s="330"/>
      <c r="F335" s="37"/>
      <c r="G335" s="3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2:43" ht="15.75" customHeight="1" x14ac:dyDescent="0.2">
      <c r="B336" s="2"/>
      <c r="C336" s="37"/>
      <c r="D336" s="37"/>
      <c r="E336" s="330"/>
      <c r="F336" s="37"/>
      <c r="G336" s="3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2:43" ht="15.75" customHeight="1" x14ac:dyDescent="0.2">
      <c r="B337" s="2"/>
      <c r="C337" s="37"/>
      <c r="D337" s="37"/>
      <c r="E337" s="330"/>
      <c r="F337" s="37"/>
      <c r="G337" s="3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2:43" ht="15.75" customHeight="1" x14ac:dyDescent="0.2">
      <c r="B338" s="2"/>
      <c r="C338" s="37"/>
      <c r="D338" s="37"/>
      <c r="E338" s="330"/>
      <c r="F338" s="37"/>
      <c r="G338" s="3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2:43" ht="15.75" customHeight="1" x14ac:dyDescent="0.2">
      <c r="B339" s="2"/>
      <c r="C339" s="37"/>
      <c r="D339" s="37"/>
      <c r="E339" s="330"/>
      <c r="F339" s="37"/>
      <c r="G339" s="3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2:43" ht="15.75" customHeight="1" x14ac:dyDescent="0.2">
      <c r="B340" s="2"/>
      <c r="C340" s="37"/>
      <c r="D340" s="37"/>
      <c r="E340" s="330"/>
      <c r="F340" s="37"/>
      <c r="G340" s="3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2:43" ht="15.75" customHeight="1" x14ac:dyDescent="0.2">
      <c r="B341" s="2"/>
      <c r="C341" s="37"/>
      <c r="D341" s="37"/>
      <c r="E341" s="330"/>
      <c r="F341" s="37"/>
      <c r="G341" s="3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2:43" ht="15.75" customHeight="1" x14ac:dyDescent="0.2">
      <c r="B342" s="2"/>
      <c r="C342" s="37"/>
      <c r="D342" s="37"/>
      <c r="E342" s="330"/>
      <c r="F342" s="37"/>
      <c r="G342" s="3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2:43" ht="15.75" customHeight="1" x14ac:dyDescent="0.2">
      <c r="B343" s="2"/>
      <c r="C343" s="37"/>
      <c r="D343" s="37"/>
      <c r="E343" s="330"/>
      <c r="F343" s="37"/>
      <c r="G343" s="3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2:43" ht="15.75" customHeight="1" x14ac:dyDescent="0.2">
      <c r="B344" s="2"/>
      <c r="C344" s="37"/>
      <c r="D344" s="37"/>
      <c r="E344" s="330"/>
      <c r="F344" s="37"/>
      <c r="G344" s="3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2:43" ht="15.75" customHeight="1" x14ac:dyDescent="0.2">
      <c r="B345" s="2"/>
      <c r="C345" s="37"/>
      <c r="D345" s="37"/>
      <c r="E345" s="330"/>
      <c r="F345" s="37"/>
      <c r="G345" s="3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2:43" ht="15.75" customHeight="1" x14ac:dyDescent="0.2">
      <c r="B346" s="2"/>
      <c r="C346" s="37"/>
      <c r="D346" s="37"/>
      <c r="E346" s="330"/>
      <c r="F346" s="37"/>
      <c r="G346" s="3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2:43" ht="15.75" customHeight="1" x14ac:dyDescent="0.2">
      <c r="B347" s="2"/>
      <c r="C347" s="37"/>
      <c r="D347" s="37"/>
      <c r="E347" s="330"/>
      <c r="F347" s="37"/>
      <c r="G347" s="3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2:43" ht="15.75" customHeight="1" x14ac:dyDescent="0.2">
      <c r="B348" s="2"/>
      <c r="C348" s="37"/>
      <c r="D348" s="37"/>
      <c r="E348" s="330"/>
      <c r="F348" s="37"/>
      <c r="G348" s="3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2:43" ht="15.75" customHeight="1" x14ac:dyDescent="0.2">
      <c r="B349" s="2"/>
      <c r="C349" s="37"/>
      <c r="D349" s="37"/>
      <c r="E349" s="330"/>
      <c r="F349" s="37"/>
      <c r="G349" s="3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2:43" ht="15.75" customHeight="1" x14ac:dyDescent="0.2">
      <c r="B350" s="2"/>
      <c r="C350" s="37"/>
      <c r="D350" s="37"/>
      <c r="E350" s="330"/>
      <c r="F350" s="37"/>
      <c r="G350" s="3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2:43" ht="15.75" customHeight="1" x14ac:dyDescent="0.2">
      <c r="B351" s="2"/>
      <c r="C351" s="37"/>
      <c r="D351" s="37"/>
      <c r="E351" s="330"/>
      <c r="F351" s="37"/>
      <c r="G351" s="3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2:43" ht="15.75" customHeight="1" x14ac:dyDescent="0.2">
      <c r="B352" s="2"/>
      <c r="C352" s="37"/>
      <c r="D352" s="37"/>
      <c r="E352" s="330"/>
      <c r="F352" s="37"/>
      <c r="G352" s="3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2:43" ht="15.75" customHeight="1" x14ac:dyDescent="0.2">
      <c r="B353" s="2"/>
      <c r="C353" s="37"/>
      <c r="D353" s="37"/>
      <c r="E353" s="330"/>
      <c r="F353" s="37"/>
      <c r="G353" s="3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2:43" ht="15.75" customHeight="1" x14ac:dyDescent="0.2">
      <c r="B354" s="2"/>
      <c r="C354" s="37"/>
      <c r="D354" s="37"/>
      <c r="E354" s="330"/>
      <c r="F354" s="37"/>
      <c r="G354" s="3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2:43" ht="15.75" customHeight="1" x14ac:dyDescent="0.2">
      <c r="B355" s="2"/>
      <c r="C355" s="37"/>
      <c r="D355" s="37"/>
      <c r="E355" s="330"/>
      <c r="F355" s="37"/>
      <c r="G355" s="3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2:43" ht="15.75" customHeight="1" x14ac:dyDescent="0.2">
      <c r="B356" s="2"/>
      <c r="C356" s="37"/>
      <c r="D356" s="37"/>
      <c r="E356" s="330"/>
      <c r="F356" s="37"/>
      <c r="G356" s="3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2:43" ht="15.75" customHeight="1" x14ac:dyDescent="0.2">
      <c r="B357" s="2"/>
      <c r="C357" s="37"/>
      <c r="D357" s="37"/>
      <c r="E357" s="330"/>
      <c r="F357" s="37"/>
      <c r="G357" s="3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2:43" ht="15.75" customHeight="1" x14ac:dyDescent="0.2">
      <c r="B358" s="2"/>
      <c r="C358" s="37"/>
      <c r="D358" s="37"/>
      <c r="E358" s="330"/>
      <c r="F358" s="37"/>
      <c r="G358" s="3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2:43" ht="15.75" customHeight="1" x14ac:dyDescent="0.2">
      <c r="B359" s="2"/>
      <c r="C359" s="37"/>
      <c r="D359" s="37"/>
      <c r="E359" s="330"/>
      <c r="F359" s="37"/>
      <c r="G359" s="3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2:43" ht="15.75" customHeight="1" x14ac:dyDescent="0.2">
      <c r="B360" s="2"/>
      <c r="C360" s="37"/>
      <c r="D360" s="37"/>
      <c r="E360" s="330"/>
      <c r="F360" s="37"/>
      <c r="G360" s="3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2:43" ht="15.75" customHeight="1" x14ac:dyDescent="0.2">
      <c r="B361" s="2"/>
      <c r="C361" s="37"/>
      <c r="D361" s="37"/>
      <c r="E361" s="330"/>
      <c r="F361" s="37"/>
      <c r="G361" s="3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2:43" ht="15.75" customHeight="1" x14ac:dyDescent="0.2">
      <c r="B362" s="2"/>
      <c r="C362" s="37"/>
      <c r="D362" s="37"/>
      <c r="E362" s="330"/>
      <c r="F362" s="37"/>
      <c r="G362" s="3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2:43" ht="15.75" customHeight="1" x14ac:dyDescent="0.2">
      <c r="B363" s="2"/>
      <c r="C363" s="37"/>
      <c r="D363" s="37"/>
      <c r="E363" s="330"/>
      <c r="F363" s="37"/>
      <c r="G363" s="3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2:43" ht="15.75" customHeight="1" x14ac:dyDescent="0.2">
      <c r="B364" s="2"/>
      <c r="C364" s="37"/>
      <c r="D364" s="37"/>
      <c r="E364" s="330"/>
      <c r="F364" s="37"/>
      <c r="G364" s="3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2:43" ht="15.75" customHeight="1" x14ac:dyDescent="0.2">
      <c r="B365" s="2"/>
      <c r="C365" s="37"/>
      <c r="D365" s="37"/>
      <c r="E365" s="330"/>
      <c r="F365" s="37"/>
      <c r="G365" s="3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2:43" ht="15.75" customHeight="1" x14ac:dyDescent="0.2">
      <c r="B366" s="2"/>
      <c r="C366" s="37"/>
      <c r="D366" s="37"/>
      <c r="E366" s="330"/>
      <c r="F366" s="37"/>
      <c r="G366" s="3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2:43" ht="15.75" customHeight="1" x14ac:dyDescent="0.2">
      <c r="B367" s="2"/>
      <c r="C367" s="37"/>
      <c r="D367" s="37"/>
      <c r="E367" s="330"/>
      <c r="F367" s="37"/>
      <c r="G367" s="3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2:43" ht="15.75" customHeight="1" x14ac:dyDescent="0.2">
      <c r="B368" s="2"/>
      <c r="C368" s="37"/>
      <c r="D368" s="37"/>
      <c r="E368" s="330"/>
      <c r="F368" s="37"/>
      <c r="G368" s="3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2:43" ht="15.75" customHeight="1" x14ac:dyDescent="0.2">
      <c r="B369" s="2"/>
      <c r="C369" s="37"/>
      <c r="D369" s="37"/>
      <c r="E369" s="330"/>
      <c r="F369" s="37"/>
      <c r="G369" s="3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2:43" ht="15.75" customHeight="1" x14ac:dyDescent="0.2">
      <c r="B370" s="2"/>
      <c r="C370" s="37"/>
      <c r="D370" s="37"/>
      <c r="E370" s="330"/>
      <c r="F370" s="37"/>
      <c r="G370" s="3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2:43" ht="15.75" customHeight="1" x14ac:dyDescent="0.2">
      <c r="B371" s="2"/>
      <c r="C371" s="37"/>
      <c r="D371" s="37"/>
      <c r="E371" s="330"/>
      <c r="F371" s="37"/>
      <c r="G371" s="3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2:43" ht="15.75" customHeight="1" x14ac:dyDescent="0.2">
      <c r="B372" s="2"/>
      <c r="C372" s="37"/>
      <c r="D372" s="37"/>
      <c r="E372" s="330"/>
      <c r="F372" s="37"/>
      <c r="G372" s="3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2:43" ht="15.75" customHeight="1" x14ac:dyDescent="0.2">
      <c r="B373" s="2"/>
      <c r="C373" s="37"/>
      <c r="D373" s="37"/>
      <c r="E373" s="330"/>
      <c r="F373" s="37"/>
      <c r="G373" s="3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2:43" ht="15.75" customHeight="1" x14ac:dyDescent="0.2">
      <c r="B374" s="2"/>
      <c r="C374" s="37"/>
      <c r="D374" s="37"/>
      <c r="E374" s="330"/>
      <c r="F374" s="37"/>
      <c r="G374" s="3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2:43" ht="15.75" customHeight="1" x14ac:dyDescent="0.2">
      <c r="B375" s="2"/>
      <c r="C375" s="37"/>
      <c r="D375" s="37"/>
      <c r="E375" s="330"/>
      <c r="F375" s="37"/>
      <c r="G375" s="3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2:43" ht="15.75" customHeight="1" x14ac:dyDescent="0.2">
      <c r="B376" s="2"/>
      <c r="C376" s="37"/>
      <c r="D376" s="37"/>
      <c r="E376" s="330"/>
      <c r="F376" s="37"/>
      <c r="G376" s="3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2:43" ht="15.75" customHeight="1" x14ac:dyDescent="0.2">
      <c r="B377" s="2"/>
      <c r="C377" s="37"/>
      <c r="D377" s="37"/>
      <c r="E377" s="330"/>
      <c r="F377" s="37"/>
      <c r="G377" s="3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2:43" ht="15.75" customHeight="1" x14ac:dyDescent="0.2">
      <c r="B378" s="2"/>
      <c r="C378" s="37"/>
      <c r="D378" s="37"/>
      <c r="E378" s="330"/>
      <c r="F378" s="37"/>
      <c r="G378" s="3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2:43" ht="15.75" customHeight="1" x14ac:dyDescent="0.2">
      <c r="B379" s="2"/>
      <c r="C379" s="37"/>
      <c r="D379" s="37"/>
      <c r="E379" s="330"/>
      <c r="F379" s="37"/>
      <c r="G379" s="3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2:43" ht="15.75" customHeight="1" x14ac:dyDescent="0.2">
      <c r="B380" s="2"/>
      <c r="C380" s="37"/>
      <c r="D380" s="37"/>
      <c r="E380" s="330"/>
      <c r="F380" s="37"/>
      <c r="G380" s="3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2:43" ht="15.75" customHeight="1" x14ac:dyDescent="0.2">
      <c r="B381" s="2"/>
      <c r="C381" s="37"/>
      <c r="D381" s="37"/>
      <c r="E381" s="330"/>
      <c r="F381" s="37"/>
      <c r="G381" s="3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2:43" ht="15.75" customHeight="1" x14ac:dyDescent="0.2">
      <c r="B382" s="2"/>
      <c r="C382" s="37"/>
      <c r="D382" s="37"/>
      <c r="E382" s="330"/>
      <c r="F382" s="37"/>
      <c r="G382" s="3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2:43" ht="15.75" customHeight="1" x14ac:dyDescent="0.2">
      <c r="B383" s="2"/>
      <c r="C383" s="37"/>
      <c r="D383" s="37"/>
      <c r="E383" s="330"/>
      <c r="F383" s="37"/>
      <c r="G383" s="3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2:43" ht="15.75" customHeight="1" x14ac:dyDescent="0.2">
      <c r="B384" s="2"/>
      <c r="C384" s="37"/>
      <c r="D384" s="37"/>
      <c r="E384" s="330"/>
      <c r="F384" s="37"/>
      <c r="G384" s="3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2:43" ht="15.75" customHeight="1" x14ac:dyDescent="0.2">
      <c r="B385" s="2"/>
      <c r="C385" s="37"/>
      <c r="D385" s="37"/>
      <c r="E385" s="330"/>
      <c r="F385" s="37"/>
      <c r="G385" s="3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2:43" ht="15.75" customHeight="1" x14ac:dyDescent="0.2">
      <c r="B386" s="2"/>
      <c r="C386" s="37"/>
      <c r="D386" s="37"/>
      <c r="E386" s="330"/>
      <c r="F386" s="37"/>
      <c r="G386" s="3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2:43" ht="15.75" customHeight="1" x14ac:dyDescent="0.2">
      <c r="B387" s="2"/>
      <c r="C387" s="37"/>
      <c r="D387" s="37"/>
      <c r="E387" s="330"/>
      <c r="F387" s="37"/>
      <c r="G387" s="3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2:43" ht="15.75" customHeight="1" x14ac:dyDescent="0.2">
      <c r="B388" s="2"/>
      <c r="C388" s="37"/>
      <c r="D388" s="37"/>
      <c r="E388" s="330"/>
      <c r="F388" s="37"/>
      <c r="G388" s="3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2:43" ht="15.75" customHeight="1" x14ac:dyDescent="0.2">
      <c r="B389" s="2"/>
      <c r="C389" s="37"/>
      <c r="D389" s="37"/>
      <c r="E389" s="330"/>
      <c r="F389" s="37"/>
      <c r="G389" s="3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2:43" ht="15.75" customHeight="1" x14ac:dyDescent="0.2">
      <c r="B390" s="2"/>
      <c r="C390" s="37"/>
      <c r="D390" s="37"/>
      <c r="E390" s="330"/>
      <c r="F390" s="37"/>
      <c r="G390" s="3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2:43" ht="15.75" customHeight="1" x14ac:dyDescent="0.2">
      <c r="B391" s="2"/>
      <c r="C391" s="37"/>
      <c r="D391" s="37"/>
      <c r="E391" s="330"/>
      <c r="F391" s="37"/>
      <c r="G391" s="3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2:43" ht="15.75" customHeight="1" x14ac:dyDescent="0.2">
      <c r="B392" s="2"/>
      <c r="C392" s="37"/>
      <c r="D392" s="37"/>
      <c r="E392" s="330"/>
      <c r="F392" s="37"/>
      <c r="G392" s="3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2:43" ht="15.75" customHeight="1" x14ac:dyDescent="0.2">
      <c r="B393" s="2"/>
      <c r="C393" s="37"/>
      <c r="D393" s="37"/>
      <c r="E393" s="330"/>
      <c r="F393" s="37"/>
      <c r="G393" s="3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2:43" ht="15.75" customHeight="1" x14ac:dyDescent="0.2">
      <c r="B394" s="2"/>
      <c r="C394" s="37"/>
      <c r="D394" s="37"/>
      <c r="E394" s="330"/>
      <c r="F394" s="37"/>
      <c r="G394" s="3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2:43" ht="15.75" customHeight="1" x14ac:dyDescent="0.2">
      <c r="B395" s="2"/>
      <c r="C395" s="37"/>
      <c r="D395" s="37"/>
      <c r="E395" s="330"/>
      <c r="F395" s="37"/>
      <c r="G395" s="3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2:43" ht="15.75" customHeight="1" x14ac:dyDescent="0.2">
      <c r="B396" s="2"/>
      <c r="C396" s="37"/>
      <c r="D396" s="37"/>
      <c r="E396" s="330"/>
      <c r="F396" s="37"/>
      <c r="G396" s="3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2:43" ht="15.75" customHeight="1" x14ac:dyDescent="0.2">
      <c r="B397" s="2"/>
      <c r="C397" s="37"/>
      <c r="D397" s="37"/>
      <c r="E397" s="330"/>
      <c r="F397" s="37"/>
      <c r="G397" s="3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2:43" ht="15.75" customHeight="1" x14ac:dyDescent="0.2">
      <c r="B398" s="2"/>
      <c r="C398" s="37"/>
      <c r="D398" s="37"/>
      <c r="E398" s="330"/>
      <c r="F398" s="37"/>
      <c r="G398" s="3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2:43" ht="15.75" customHeight="1" x14ac:dyDescent="0.2">
      <c r="B399" s="2"/>
      <c r="C399" s="37"/>
      <c r="D399" s="37"/>
      <c r="E399" s="330"/>
      <c r="F399" s="37"/>
      <c r="G399" s="3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2:43" ht="15.75" customHeight="1" x14ac:dyDescent="0.2">
      <c r="B400" s="2"/>
      <c r="C400" s="37"/>
      <c r="D400" s="37"/>
      <c r="E400" s="330"/>
      <c r="F400" s="37"/>
      <c r="G400" s="3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2:43" ht="15.75" customHeight="1" x14ac:dyDescent="0.2">
      <c r="B401" s="2"/>
      <c r="C401" s="37"/>
      <c r="D401" s="37"/>
      <c r="E401" s="330"/>
      <c r="F401" s="37"/>
      <c r="G401" s="3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2:43" ht="15.75" customHeight="1" x14ac:dyDescent="0.2">
      <c r="B402" s="2"/>
      <c r="C402" s="37"/>
      <c r="D402" s="37"/>
      <c r="E402" s="330"/>
      <c r="F402" s="37"/>
      <c r="G402" s="3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2:43" ht="15.75" customHeight="1" x14ac:dyDescent="0.2">
      <c r="B403" s="2"/>
      <c r="C403" s="37"/>
      <c r="D403" s="37"/>
      <c r="E403" s="330"/>
      <c r="F403" s="37"/>
      <c r="G403" s="3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2:43" ht="15.75" customHeight="1" x14ac:dyDescent="0.2">
      <c r="B404" s="2"/>
      <c r="C404" s="37"/>
      <c r="D404" s="37"/>
      <c r="E404" s="330"/>
      <c r="F404" s="37"/>
      <c r="G404" s="3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2:43" ht="15.75" customHeight="1" x14ac:dyDescent="0.2">
      <c r="B405" s="2"/>
      <c r="C405" s="37"/>
      <c r="D405" s="37"/>
      <c r="E405" s="330"/>
      <c r="F405" s="37"/>
      <c r="G405" s="3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2:43" ht="15.75" customHeight="1" x14ac:dyDescent="0.2">
      <c r="B406" s="2"/>
      <c r="C406" s="37"/>
      <c r="D406" s="37"/>
      <c r="E406" s="330"/>
      <c r="F406" s="37"/>
      <c r="G406" s="3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2:43" ht="15.75" customHeight="1" x14ac:dyDescent="0.2">
      <c r="B407" s="2"/>
      <c r="C407" s="37"/>
      <c r="D407" s="37"/>
      <c r="E407" s="330"/>
      <c r="F407" s="37"/>
      <c r="G407" s="3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2:43" ht="15.75" customHeight="1" x14ac:dyDescent="0.2">
      <c r="B408" s="2"/>
      <c r="C408" s="37"/>
      <c r="D408" s="37"/>
      <c r="E408" s="330"/>
      <c r="F408" s="37"/>
      <c r="G408" s="3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2:43" ht="15.75" customHeight="1" x14ac:dyDescent="0.2">
      <c r="B409" s="2"/>
      <c r="C409" s="37"/>
      <c r="D409" s="37"/>
      <c r="E409" s="330"/>
      <c r="F409" s="37"/>
      <c r="G409" s="3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2:43" ht="15.75" customHeight="1" x14ac:dyDescent="0.2">
      <c r="B410" s="2"/>
      <c r="C410" s="37"/>
      <c r="D410" s="37"/>
      <c r="E410" s="330"/>
      <c r="F410" s="37"/>
      <c r="G410" s="3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2:43" ht="15.75" customHeight="1" x14ac:dyDescent="0.2">
      <c r="B411" s="2"/>
      <c r="C411" s="37"/>
      <c r="D411" s="37"/>
      <c r="E411" s="330"/>
      <c r="F411" s="37"/>
      <c r="G411" s="3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2:43" ht="15.75" customHeight="1" x14ac:dyDescent="0.2">
      <c r="B412" s="2"/>
      <c r="C412" s="37"/>
      <c r="D412" s="37"/>
      <c r="E412" s="330"/>
      <c r="F412" s="37"/>
      <c r="G412" s="3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2:43" ht="15.75" customHeight="1" x14ac:dyDescent="0.2">
      <c r="B413" s="2"/>
      <c r="C413" s="37"/>
      <c r="D413" s="37"/>
      <c r="E413" s="330"/>
      <c r="F413" s="37"/>
      <c r="G413" s="3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2:43" ht="15.75" customHeight="1" x14ac:dyDescent="0.2">
      <c r="B414" s="2"/>
      <c r="C414" s="37"/>
      <c r="D414" s="37"/>
      <c r="E414" s="330"/>
      <c r="F414" s="37"/>
      <c r="G414" s="3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2:43" ht="15.75" customHeight="1" x14ac:dyDescent="0.2">
      <c r="B415" s="2"/>
      <c r="C415" s="37"/>
      <c r="D415" s="37"/>
      <c r="E415" s="330"/>
      <c r="F415" s="37"/>
      <c r="G415" s="3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2:43" ht="15.75" customHeight="1" x14ac:dyDescent="0.2">
      <c r="B416" s="2"/>
      <c r="C416" s="37"/>
      <c r="D416" s="37"/>
      <c r="E416" s="330"/>
      <c r="F416" s="37"/>
      <c r="G416" s="3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2:43" ht="15.75" customHeight="1" x14ac:dyDescent="0.2">
      <c r="B417" s="2"/>
      <c r="C417" s="37"/>
      <c r="D417" s="37"/>
      <c r="E417" s="330"/>
      <c r="F417" s="37"/>
      <c r="G417" s="3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2:43" ht="15.75" customHeight="1" x14ac:dyDescent="0.2">
      <c r="B418" s="2"/>
      <c r="C418" s="37"/>
      <c r="D418" s="37"/>
      <c r="E418" s="330"/>
      <c r="F418" s="37"/>
      <c r="G418" s="3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2:43" ht="15.75" customHeight="1" x14ac:dyDescent="0.2">
      <c r="B419" s="2"/>
      <c r="C419" s="37"/>
      <c r="D419" s="37"/>
      <c r="E419" s="330"/>
      <c r="F419" s="37"/>
      <c r="G419" s="3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2:43" ht="15.75" customHeight="1" x14ac:dyDescent="0.2">
      <c r="B420" s="2"/>
      <c r="C420" s="37"/>
      <c r="D420" s="37"/>
      <c r="E420" s="330"/>
      <c r="F420" s="37"/>
      <c r="G420" s="3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2:43" ht="15.75" customHeight="1" x14ac:dyDescent="0.2">
      <c r="B421" s="2"/>
      <c r="C421" s="37"/>
      <c r="D421" s="37"/>
      <c r="E421" s="330"/>
      <c r="F421" s="37"/>
      <c r="G421" s="3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2:43" ht="15.75" customHeight="1" x14ac:dyDescent="0.2">
      <c r="B422" s="2"/>
      <c r="C422" s="37"/>
      <c r="D422" s="37"/>
      <c r="E422" s="330"/>
      <c r="F422" s="37"/>
      <c r="G422" s="3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2:43" ht="15.75" customHeight="1" x14ac:dyDescent="0.2">
      <c r="B423" s="2"/>
      <c r="C423" s="37"/>
      <c r="D423" s="37"/>
      <c r="E423" s="330"/>
      <c r="F423" s="37"/>
      <c r="G423" s="3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2:43" ht="15.75" customHeight="1" x14ac:dyDescent="0.2">
      <c r="B424" s="2"/>
      <c r="C424" s="37"/>
      <c r="D424" s="37"/>
      <c r="E424" s="330"/>
      <c r="F424" s="37"/>
      <c r="G424" s="3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2:43" ht="15.75" customHeight="1" x14ac:dyDescent="0.2">
      <c r="B425" s="2"/>
      <c r="C425" s="37"/>
      <c r="D425" s="37"/>
      <c r="E425" s="330"/>
      <c r="F425" s="37"/>
      <c r="G425" s="3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2:43" ht="15.75" customHeight="1" x14ac:dyDescent="0.2">
      <c r="B426" s="2"/>
      <c r="C426" s="37"/>
      <c r="D426" s="37"/>
      <c r="E426" s="330"/>
      <c r="F426" s="37"/>
      <c r="G426" s="3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2:43" ht="15.75" customHeight="1" x14ac:dyDescent="0.2">
      <c r="B427" s="2"/>
      <c r="C427" s="37"/>
      <c r="D427" s="37"/>
      <c r="E427" s="330"/>
      <c r="F427" s="37"/>
      <c r="G427" s="3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2:43" ht="15.75" customHeight="1" x14ac:dyDescent="0.2">
      <c r="B428" s="2"/>
      <c r="C428" s="37"/>
      <c r="D428" s="37"/>
      <c r="E428" s="330"/>
      <c r="F428" s="37"/>
      <c r="G428" s="3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2:43" ht="15.75" customHeight="1" x14ac:dyDescent="0.2">
      <c r="B429" s="2"/>
      <c r="C429" s="37"/>
      <c r="D429" s="37"/>
      <c r="E429" s="330"/>
      <c r="F429" s="37"/>
      <c r="G429" s="3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2:43" ht="15.75" customHeight="1" x14ac:dyDescent="0.2">
      <c r="B430" s="2"/>
      <c r="C430" s="37"/>
      <c r="D430" s="37"/>
      <c r="E430" s="330"/>
      <c r="F430" s="37"/>
      <c r="G430" s="3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2:43" ht="15.75" customHeight="1" x14ac:dyDescent="0.2">
      <c r="B431" s="2"/>
      <c r="C431" s="37"/>
      <c r="D431" s="37"/>
      <c r="E431" s="330"/>
      <c r="F431" s="37"/>
      <c r="G431" s="3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2:43" ht="15.75" customHeight="1" x14ac:dyDescent="0.2">
      <c r="B432" s="2"/>
      <c r="C432" s="37"/>
      <c r="D432" s="37"/>
      <c r="E432" s="330"/>
      <c r="F432" s="37"/>
      <c r="G432" s="3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2:43" ht="15.75" customHeight="1" x14ac:dyDescent="0.2">
      <c r="B433" s="2"/>
      <c r="C433" s="37"/>
      <c r="D433" s="37"/>
      <c r="E433" s="330"/>
      <c r="F433" s="37"/>
      <c r="G433" s="3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2:43" ht="15.75" customHeight="1" x14ac:dyDescent="0.2">
      <c r="B434" s="2"/>
      <c r="C434" s="37"/>
      <c r="D434" s="37"/>
      <c r="E434" s="330"/>
      <c r="F434" s="37"/>
      <c r="G434" s="3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2:43" ht="15.75" customHeight="1" x14ac:dyDescent="0.2">
      <c r="B435" s="2"/>
      <c r="C435" s="37"/>
      <c r="D435" s="37"/>
      <c r="E435" s="330"/>
      <c r="F435" s="37"/>
      <c r="G435" s="3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2:43" ht="15.75" customHeight="1" x14ac:dyDescent="0.2">
      <c r="B436" s="2"/>
      <c r="C436" s="37"/>
      <c r="D436" s="37"/>
      <c r="E436" s="330"/>
      <c r="F436" s="37"/>
      <c r="G436" s="3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2:43" ht="15.75" customHeight="1" x14ac:dyDescent="0.2">
      <c r="B437" s="2"/>
      <c r="C437" s="37"/>
      <c r="D437" s="37"/>
      <c r="E437" s="330"/>
      <c r="F437" s="37"/>
      <c r="G437" s="3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2:43" ht="15.75" customHeight="1" x14ac:dyDescent="0.2">
      <c r="B438" s="2"/>
      <c r="C438" s="37"/>
      <c r="D438" s="37"/>
      <c r="E438" s="330"/>
      <c r="F438" s="37"/>
      <c r="G438" s="3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2:43" ht="15.75" customHeight="1" x14ac:dyDescent="0.2">
      <c r="B439" s="2"/>
      <c r="C439" s="37"/>
      <c r="D439" s="37"/>
      <c r="E439" s="330"/>
      <c r="F439" s="37"/>
      <c r="G439" s="3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2:43" ht="15.75" customHeight="1" x14ac:dyDescent="0.2">
      <c r="B440" s="2"/>
      <c r="C440" s="37"/>
      <c r="D440" s="37"/>
      <c r="E440" s="330"/>
      <c r="F440" s="37"/>
      <c r="G440" s="3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2:43" ht="15.75" customHeight="1" x14ac:dyDescent="0.2">
      <c r="B441" s="2"/>
      <c r="C441" s="37"/>
      <c r="D441" s="37"/>
      <c r="E441" s="330"/>
      <c r="F441" s="37"/>
      <c r="G441" s="3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2:43" ht="15.75" customHeight="1" x14ac:dyDescent="0.2">
      <c r="B442" s="2"/>
      <c r="C442" s="37"/>
      <c r="D442" s="37"/>
      <c r="E442" s="330"/>
      <c r="F442" s="37"/>
      <c r="G442" s="3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2:43" ht="15.75" customHeight="1" x14ac:dyDescent="0.2">
      <c r="B443" s="2"/>
      <c r="C443" s="37"/>
      <c r="D443" s="37"/>
      <c r="E443" s="330"/>
      <c r="F443" s="37"/>
      <c r="G443" s="3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2:43" ht="15.75" customHeight="1" x14ac:dyDescent="0.2">
      <c r="B444" s="2"/>
      <c r="C444" s="37"/>
      <c r="D444" s="37"/>
      <c r="E444" s="330"/>
      <c r="F444" s="37"/>
      <c r="G444" s="3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2:43" ht="15.75" customHeight="1" x14ac:dyDescent="0.2">
      <c r="B445" s="2"/>
      <c r="C445" s="37"/>
      <c r="D445" s="37"/>
      <c r="E445" s="330"/>
      <c r="F445" s="37"/>
      <c r="G445" s="3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2:43" ht="15.75" customHeight="1" x14ac:dyDescent="0.2">
      <c r="B446" s="2"/>
      <c r="C446" s="37"/>
      <c r="D446" s="37"/>
      <c r="E446" s="330"/>
      <c r="F446" s="37"/>
      <c r="G446" s="3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2:43" ht="15.75" customHeight="1" x14ac:dyDescent="0.2">
      <c r="B447" s="2"/>
      <c r="C447" s="37"/>
      <c r="D447" s="37"/>
      <c r="E447" s="330"/>
      <c r="F447" s="37"/>
      <c r="G447" s="3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2:43" ht="15.75" customHeight="1" x14ac:dyDescent="0.2">
      <c r="B448" s="2"/>
      <c r="C448" s="37"/>
      <c r="D448" s="37"/>
      <c r="E448" s="330"/>
      <c r="F448" s="37"/>
      <c r="G448" s="3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2:43" ht="15.75" customHeight="1" x14ac:dyDescent="0.2">
      <c r="B449" s="2"/>
      <c r="C449" s="37"/>
      <c r="D449" s="37"/>
      <c r="E449" s="330"/>
      <c r="F449" s="37"/>
      <c r="G449" s="3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2:43" ht="15.75" customHeight="1" x14ac:dyDescent="0.2">
      <c r="B450" s="2"/>
      <c r="C450" s="37"/>
      <c r="D450" s="37"/>
      <c r="E450" s="330"/>
      <c r="F450" s="37"/>
      <c r="G450" s="3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2:43" ht="15.75" customHeight="1" x14ac:dyDescent="0.2">
      <c r="B451" s="2"/>
      <c r="C451" s="37"/>
      <c r="D451" s="37"/>
      <c r="E451" s="330"/>
      <c r="F451" s="37"/>
      <c r="G451" s="3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2:43" ht="15.75" customHeight="1" x14ac:dyDescent="0.2">
      <c r="B452" s="2"/>
      <c r="C452" s="37"/>
      <c r="D452" s="37"/>
      <c r="E452" s="330"/>
      <c r="F452" s="37"/>
      <c r="G452" s="3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2:43" ht="15.75" customHeight="1" x14ac:dyDescent="0.2">
      <c r="B453" s="2"/>
      <c r="C453" s="37"/>
      <c r="D453" s="37"/>
      <c r="E453" s="330"/>
      <c r="F453" s="37"/>
      <c r="G453" s="3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2:43" ht="15.75" customHeight="1" x14ac:dyDescent="0.2">
      <c r="B454" s="2"/>
      <c r="C454" s="37"/>
      <c r="D454" s="37"/>
      <c r="E454" s="330"/>
      <c r="F454" s="37"/>
      <c r="G454" s="3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2:43" ht="15.75" customHeight="1" x14ac:dyDescent="0.2">
      <c r="B455" s="2"/>
      <c r="C455" s="37"/>
      <c r="D455" s="37"/>
      <c r="E455" s="330"/>
      <c r="F455" s="37"/>
      <c r="G455" s="3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2:43" ht="15.75" customHeight="1" x14ac:dyDescent="0.2">
      <c r="B456" s="2"/>
      <c r="C456" s="37"/>
      <c r="D456" s="37"/>
      <c r="E456" s="330"/>
      <c r="F456" s="37"/>
      <c r="G456" s="3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2:43" ht="15.75" customHeight="1" x14ac:dyDescent="0.2">
      <c r="B457" s="2"/>
      <c r="C457" s="37"/>
      <c r="D457" s="37"/>
      <c r="E457" s="330"/>
      <c r="F457" s="37"/>
      <c r="G457" s="3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2:43" ht="15.75" customHeight="1" x14ac:dyDescent="0.2">
      <c r="B458" s="2"/>
      <c r="C458" s="37"/>
      <c r="D458" s="37"/>
      <c r="E458" s="330"/>
      <c r="F458" s="37"/>
      <c r="G458" s="3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2:43" ht="15.75" customHeight="1" x14ac:dyDescent="0.2">
      <c r="B459" s="2"/>
      <c r="C459" s="37"/>
      <c r="D459" s="37"/>
      <c r="E459" s="330"/>
      <c r="F459" s="37"/>
      <c r="G459" s="3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2:43" ht="15.75" customHeight="1" x14ac:dyDescent="0.2">
      <c r="B460" s="2"/>
      <c r="C460" s="37"/>
      <c r="D460" s="37"/>
      <c r="E460" s="330"/>
      <c r="F460" s="37"/>
      <c r="G460" s="3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2:43" ht="15.75" customHeight="1" x14ac:dyDescent="0.2">
      <c r="B461" s="2"/>
      <c r="C461" s="37"/>
      <c r="D461" s="37"/>
      <c r="E461" s="330"/>
      <c r="F461" s="37"/>
      <c r="G461" s="3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2:43" ht="15.75" customHeight="1" x14ac:dyDescent="0.2">
      <c r="B462" s="2"/>
      <c r="C462" s="37"/>
      <c r="D462" s="37"/>
      <c r="E462" s="330"/>
      <c r="F462" s="37"/>
      <c r="G462" s="3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2:43" ht="15.75" customHeight="1" x14ac:dyDescent="0.2">
      <c r="B463" s="2"/>
      <c r="C463" s="37"/>
      <c r="D463" s="37"/>
      <c r="E463" s="330"/>
      <c r="F463" s="37"/>
      <c r="G463" s="3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2:43" ht="15.75" customHeight="1" x14ac:dyDescent="0.2">
      <c r="B464" s="2"/>
      <c r="C464" s="37"/>
      <c r="D464" s="37"/>
      <c r="E464" s="330"/>
      <c r="F464" s="37"/>
      <c r="G464" s="3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2:43" ht="15.75" customHeight="1" x14ac:dyDescent="0.2">
      <c r="B465" s="2"/>
      <c r="C465" s="37"/>
      <c r="D465" s="37"/>
      <c r="E465" s="330"/>
      <c r="F465" s="37"/>
      <c r="G465" s="3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2:43" ht="15.75" customHeight="1" x14ac:dyDescent="0.2">
      <c r="B466" s="2"/>
      <c r="C466" s="37"/>
      <c r="D466" s="37"/>
      <c r="E466" s="330"/>
      <c r="F466" s="37"/>
      <c r="G466" s="3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2:43" ht="15.75" customHeight="1" x14ac:dyDescent="0.2">
      <c r="B467" s="2"/>
      <c r="C467" s="37"/>
      <c r="D467" s="37"/>
      <c r="E467" s="330"/>
      <c r="F467" s="37"/>
      <c r="G467" s="3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2:43" ht="15.75" customHeight="1" x14ac:dyDescent="0.2">
      <c r="B468" s="2"/>
      <c r="C468" s="37"/>
      <c r="D468" s="37"/>
      <c r="E468" s="330"/>
      <c r="F468" s="37"/>
      <c r="G468" s="3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2:43" ht="15.75" customHeight="1" x14ac:dyDescent="0.2">
      <c r="B469" s="2"/>
      <c r="C469" s="37"/>
      <c r="D469" s="37"/>
      <c r="E469" s="330"/>
      <c r="F469" s="37"/>
      <c r="G469" s="3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2:43" ht="15.75" customHeight="1" x14ac:dyDescent="0.2">
      <c r="B470" s="2"/>
      <c r="C470" s="37"/>
      <c r="D470" s="37"/>
      <c r="E470" s="330"/>
      <c r="F470" s="37"/>
      <c r="G470" s="3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2:43" ht="15.75" customHeight="1" x14ac:dyDescent="0.2">
      <c r="B471" s="2"/>
      <c r="C471" s="37"/>
      <c r="D471" s="37"/>
      <c r="E471" s="330"/>
      <c r="F471" s="37"/>
      <c r="G471" s="3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2:43" ht="15.75" customHeight="1" x14ac:dyDescent="0.2">
      <c r="B472" s="2"/>
      <c r="C472" s="37"/>
      <c r="D472" s="37"/>
      <c r="E472" s="330"/>
      <c r="F472" s="37"/>
      <c r="G472" s="3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2:43" ht="15.75" customHeight="1" x14ac:dyDescent="0.2">
      <c r="B473" s="2"/>
      <c r="C473" s="37"/>
      <c r="D473" s="37"/>
      <c r="E473" s="330"/>
      <c r="F473" s="37"/>
      <c r="G473" s="3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2:43" ht="15.75" customHeight="1" x14ac:dyDescent="0.2">
      <c r="B474" s="2"/>
      <c r="C474" s="37"/>
      <c r="D474" s="37"/>
      <c r="E474" s="330"/>
      <c r="F474" s="37"/>
      <c r="G474" s="3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2:43" ht="15.75" customHeight="1" x14ac:dyDescent="0.2">
      <c r="B475" s="2"/>
      <c r="C475" s="37"/>
      <c r="D475" s="37"/>
      <c r="E475" s="330"/>
      <c r="F475" s="37"/>
      <c r="G475" s="3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2:43" ht="15.75" customHeight="1" x14ac:dyDescent="0.2">
      <c r="B476" s="2"/>
      <c r="C476" s="37"/>
      <c r="D476" s="37"/>
      <c r="E476" s="330"/>
      <c r="F476" s="37"/>
      <c r="G476" s="3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2:43" ht="15.75" customHeight="1" x14ac:dyDescent="0.2">
      <c r="B477" s="2"/>
      <c r="C477" s="37"/>
      <c r="D477" s="37"/>
      <c r="E477" s="330"/>
      <c r="F477" s="37"/>
      <c r="G477" s="3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2:43" ht="15.75" customHeight="1" x14ac:dyDescent="0.2">
      <c r="B478" s="2"/>
      <c r="C478" s="37"/>
      <c r="D478" s="37"/>
      <c r="E478" s="330"/>
      <c r="F478" s="37"/>
      <c r="G478" s="3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2:43" ht="15.75" customHeight="1" x14ac:dyDescent="0.2">
      <c r="B479" s="2"/>
      <c r="C479" s="37"/>
      <c r="D479" s="37"/>
      <c r="E479" s="330"/>
      <c r="F479" s="37"/>
      <c r="G479" s="3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2:43" ht="15.75" customHeight="1" x14ac:dyDescent="0.2">
      <c r="B480" s="2"/>
      <c r="C480" s="37"/>
      <c r="D480" s="37"/>
      <c r="E480" s="330"/>
      <c r="F480" s="37"/>
      <c r="G480" s="3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2:43" ht="15.75" customHeight="1" x14ac:dyDescent="0.2">
      <c r="B481" s="2"/>
      <c r="C481" s="37"/>
      <c r="D481" s="37"/>
      <c r="E481" s="330"/>
      <c r="F481" s="37"/>
      <c r="G481" s="3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2:43" ht="15.75" customHeight="1" x14ac:dyDescent="0.2">
      <c r="B482" s="2"/>
      <c r="C482" s="37"/>
      <c r="D482" s="37"/>
      <c r="E482" s="330"/>
      <c r="F482" s="37"/>
      <c r="G482" s="3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2:43" ht="15.75" customHeight="1" x14ac:dyDescent="0.2">
      <c r="B483" s="2"/>
      <c r="C483" s="37"/>
      <c r="D483" s="37"/>
      <c r="E483" s="330"/>
      <c r="F483" s="37"/>
      <c r="G483" s="3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2:43" ht="15.75" customHeight="1" x14ac:dyDescent="0.2">
      <c r="B484" s="2"/>
      <c r="C484" s="37"/>
      <c r="D484" s="37"/>
      <c r="E484" s="330"/>
      <c r="F484" s="37"/>
      <c r="G484" s="3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2:43" ht="15.75" customHeight="1" x14ac:dyDescent="0.2">
      <c r="B485" s="2"/>
      <c r="C485" s="37"/>
      <c r="D485" s="37"/>
      <c r="E485" s="330"/>
      <c r="F485" s="37"/>
      <c r="G485" s="3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2:43" ht="15.75" customHeight="1" x14ac:dyDescent="0.2">
      <c r="B486" s="2"/>
      <c r="C486" s="37"/>
      <c r="D486" s="37"/>
      <c r="E486" s="330"/>
      <c r="F486" s="37"/>
      <c r="G486" s="3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2:43" ht="15.75" customHeight="1" x14ac:dyDescent="0.2">
      <c r="B487" s="2"/>
      <c r="C487" s="37"/>
      <c r="D487" s="37"/>
      <c r="E487" s="330"/>
      <c r="F487" s="37"/>
      <c r="G487" s="3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2:43" ht="15.75" customHeight="1" x14ac:dyDescent="0.2">
      <c r="B488" s="2"/>
      <c r="C488" s="37"/>
      <c r="D488" s="37"/>
      <c r="E488" s="330"/>
      <c r="F488" s="37"/>
      <c r="G488" s="3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2:43" ht="15.75" customHeight="1" x14ac:dyDescent="0.2">
      <c r="B489" s="2"/>
      <c r="C489" s="37"/>
      <c r="D489" s="37"/>
      <c r="E489" s="330"/>
      <c r="F489" s="37"/>
      <c r="G489" s="3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2:43" ht="15.75" customHeight="1" x14ac:dyDescent="0.2">
      <c r="B490" s="2"/>
      <c r="C490" s="37"/>
      <c r="D490" s="37"/>
      <c r="E490" s="330"/>
      <c r="F490" s="37"/>
      <c r="G490" s="3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2:43" ht="15.75" customHeight="1" x14ac:dyDescent="0.2">
      <c r="B491" s="2"/>
      <c r="C491" s="37"/>
      <c r="D491" s="37"/>
      <c r="E491" s="330"/>
      <c r="F491" s="37"/>
      <c r="G491" s="3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2:43" ht="15.75" customHeight="1" x14ac:dyDescent="0.2">
      <c r="B492" s="2"/>
      <c r="C492" s="37"/>
      <c r="D492" s="37"/>
      <c r="E492" s="330"/>
      <c r="F492" s="37"/>
      <c r="G492" s="3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2:43" ht="15.75" customHeight="1" x14ac:dyDescent="0.2">
      <c r="B493" s="2"/>
      <c r="C493" s="37"/>
      <c r="D493" s="37"/>
      <c r="E493" s="330"/>
      <c r="F493" s="37"/>
      <c r="G493" s="3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2:43" ht="15.75" customHeight="1" x14ac:dyDescent="0.2">
      <c r="B494" s="2"/>
      <c r="C494" s="37"/>
      <c r="D494" s="37"/>
      <c r="E494" s="330"/>
      <c r="F494" s="37"/>
      <c r="G494" s="3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2:43" ht="15.75" customHeight="1" x14ac:dyDescent="0.2">
      <c r="B495" s="2"/>
      <c r="C495" s="37"/>
      <c r="D495" s="37"/>
      <c r="E495" s="330"/>
      <c r="F495" s="37"/>
      <c r="G495" s="3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2:43" ht="15.75" customHeight="1" x14ac:dyDescent="0.2">
      <c r="B496" s="2"/>
      <c r="C496" s="37"/>
      <c r="D496" s="37"/>
      <c r="E496" s="330"/>
      <c r="F496" s="37"/>
      <c r="G496" s="3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2:43" ht="15.75" customHeight="1" x14ac:dyDescent="0.2">
      <c r="B497" s="2"/>
      <c r="C497" s="37"/>
      <c r="D497" s="37"/>
      <c r="E497" s="330"/>
      <c r="F497" s="37"/>
      <c r="G497" s="3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2:43" ht="15.75" customHeight="1" x14ac:dyDescent="0.2">
      <c r="B498" s="2"/>
      <c r="C498" s="37"/>
      <c r="D498" s="37"/>
      <c r="E498" s="330"/>
      <c r="F498" s="37"/>
      <c r="G498" s="3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2:43" ht="15.75" customHeight="1" x14ac:dyDescent="0.2">
      <c r="B499" s="2"/>
      <c r="C499" s="37"/>
      <c r="D499" s="37"/>
      <c r="E499" s="330"/>
      <c r="F499" s="37"/>
      <c r="G499" s="3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2:43" ht="15.75" customHeight="1" x14ac:dyDescent="0.2">
      <c r="B500" s="2"/>
      <c r="C500" s="37"/>
      <c r="D500" s="37"/>
      <c r="E500" s="330"/>
      <c r="F500" s="37"/>
      <c r="G500" s="3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2:43" ht="15.75" customHeight="1" x14ac:dyDescent="0.2">
      <c r="B501" s="2"/>
      <c r="C501" s="37"/>
      <c r="D501" s="37"/>
      <c r="E501" s="330"/>
      <c r="F501" s="37"/>
      <c r="G501" s="3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2:43" ht="15.75" customHeight="1" x14ac:dyDescent="0.2">
      <c r="B502" s="2"/>
      <c r="C502" s="37"/>
      <c r="D502" s="37"/>
      <c r="E502" s="330"/>
      <c r="F502" s="37"/>
      <c r="G502" s="3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2:43" ht="15.75" customHeight="1" x14ac:dyDescent="0.2">
      <c r="B503" s="2"/>
      <c r="C503" s="37"/>
      <c r="D503" s="37"/>
      <c r="E503" s="330"/>
      <c r="F503" s="37"/>
      <c r="G503" s="3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2:43" ht="15.75" customHeight="1" x14ac:dyDescent="0.2">
      <c r="B504" s="2"/>
      <c r="C504" s="37"/>
      <c r="D504" s="37"/>
      <c r="E504" s="330"/>
      <c r="F504" s="37"/>
      <c r="G504" s="3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2:43" ht="15.75" customHeight="1" x14ac:dyDescent="0.2">
      <c r="B505" s="2"/>
      <c r="C505" s="37"/>
      <c r="D505" s="37"/>
      <c r="E505" s="330"/>
      <c r="F505" s="37"/>
      <c r="G505" s="3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2:43" ht="15.75" customHeight="1" x14ac:dyDescent="0.2">
      <c r="B506" s="2"/>
      <c r="C506" s="37"/>
      <c r="D506" s="37"/>
      <c r="E506" s="330"/>
      <c r="F506" s="37"/>
      <c r="G506" s="3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2:43" ht="15.75" customHeight="1" x14ac:dyDescent="0.2">
      <c r="B507" s="2"/>
      <c r="C507" s="37"/>
      <c r="D507" s="37"/>
      <c r="E507" s="330"/>
      <c r="F507" s="37"/>
      <c r="G507" s="3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2:43" ht="15.75" customHeight="1" x14ac:dyDescent="0.2">
      <c r="B508" s="2"/>
      <c r="C508" s="37"/>
      <c r="D508" s="37"/>
      <c r="E508" s="330"/>
      <c r="F508" s="37"/>
      <c r="G508" s="3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2:43" ht="15.75" customHeight="1" x14ac:dyDescent="0.2">
      <c r="B509" s="2"/>
      <c r="C509" s="37"/>
      <c r="D509" s="37"/>
      <c r="E509" s="330"/>
      <c r="F509" s="37"/>
      <c r="G509" s="3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2:43" ht="15.75" customHeight="1" x14ac:dyDescent="0.2">
      <c r="B510" s="2"/>
      <c r="C510" s="37"/>
      <c r="D510" s="37"/>
      <c r="E510" s="330"/>
      <c r="F510" s="37"/>
      <c r="G510" s="3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2:43" ht="15.75" customHeight="1" x14ac:dyDescent="0.2">
      <c r="B511" s="2"/>
      <c r="C511" s="37"/>
      <c r="D511" s="37"/>
      <c r="E511" s="330"/>
      <c r="F511" s="37"/>
      <c r="G511" s="3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2:43" ht="15.75" customHeight="1" x14ac:dyDescent="0.2">
      <c r="B512" s="2"/>
      <c r="C512" s="37"/>
      <c r="D512" s="37"/>
      <c r="E512" s="330"/>
      <c r="F512" s="37"/>
      <c r="G512" s="3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2:43" ht="15.75" customHeight="1" x14ac:dyDescent="0.2">
      <c r="B513" s="2"/>
      <c r="C513" s="37"/>
      <c r="D513" s="37"/>
      <c r="E513" s="330"/>
      <c r="F513" s="37"/>
      <c r="G513" s="3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2:43" ht="15.75" customHeight="1" x14ac:dyDescent="0.2">
      <c r="B514" s="2"/>
      <c r="C514" s="37"/>
      <c r="D514" s="37"/>
      <c r="E514" s="330"/>
      <c r="F514" s="37"/>
      <c r="G514" s="3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2:43" ht="15.75" customHeight="1" x14ac:dyDescent="0.2">
      <c r="B515" s="2"/>
      <c r="C515" s="37"/>
      <c r="D515" s="37"/>
      <c r="E515" s="330"/>
      <c r="F515" s="37"/>
      <c r="G515" s="3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2:43" ht="15.75" customHeight="1" x14ac:dyDescent="0.2">
      <c r="B516" s="2"/>
      <c r="C516" s="37"/>
      <c r="D516" s="37"/>
      <c r="E516" s="330"/>
      <c r="F516" s="37"/>
      <c r="G516" s="3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2:43" ht="15.75" customHeight="1" x14ac:dyDescent="0.2">
      <c r="B517" s="2"/>
      <c r="C517" s="37"/>
      <c r="D517" s="37"/>
      <c r="E517" s="330"/>
      <c r="F517" s="37"/>
      <c r="G517" s="3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2:43" ht="15.75" customHeight="1" x14ac:dyDescent="0.2">
      <c r="B518" s="2"/>
      <c r="C518" s="37"/>
      <c r="D518" s="37"/>
      <c r="E518" s="330"/>
      <c r="F518" s="37"/>
      <c r="G518" s="3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2:43" ht="15.75" customHeight="1" x14ac:dyDescent="0.2">
      <c r="B519" s="2"/>
      <c r="C519" s="37"/>
      <c r="D519" s="37"/>
      <c r="E519" s="330"/>
      <c r="F519" s="37"/>
      <c r="G519" s="3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2:43" ht="15.75" customHeight="1" x14ac:dyDescent="0.2">
      <c r="B520" s="2"/>
      <c r="C520" s="37"/>
      <c r="D520" s="37"/>
      <c r="E520" s="330"/>
      <c r="F520" s="37"/>
      <c r="G520" s="3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2:43" ht="15.75" customHeight="1" x14ac:dyDescent="0.2">
      <c r="B521" s="2"/>
      <c r="C521" s="37"/>
      <c r="D521" s="37"/>
      <c r="E521" s="330"/>
      <c r="F521" s="37"/>
      <c r="G521" s="3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2:43" ht="15.75" customHeight="1" x14ac:dyDescent="0.2">
      <c r="B522" s="2"/>
      <c r="C522" s="37"/>
      <c r="D522" s="37"/>
      <c r="E522" s="330"/>
      <c r="F522" s="37"/>
      <c r="G522" s="3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2:43" ht="15.75" customHeight="1" x14ac:dyDescent="0.2">
      <c r="B523" s="2"/>
      <c r="C523" s="37"/>
      <c r="D523" s="37"/>
      <c r="E523" s="330"/>
      <c r="F523" s="37"/>
      <c r="G523" s="3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2:43" ht="15.75" customHeight="1" x14ac:dyDescent="0.2">
      <c r="B524" s="2"/>
      <c r="C524" s="37"/>
      <c r="D524" s="37"/>
      <c r="E524" s="330"/>
      <c r="F524" s="37"/>
      <c r="G524" s="3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2:43" ht="15.75" customHeight="1" x14ac:dyDescent="0.2">
      <c r="B525" s="2"/>
      <c r="C525" s="37"/>
      <c r="D525" s="37"/>
      <c r="E525" s="330"/>
      <c r="F525" s="37"/>
      <c r="G525" s="3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2:43" ht="15.75" customHeight="1" x14ac:dyDescent="0.2">
      <c r="B526" s="2"/>
      <c r="C526" s="37"/>
      <c r="D526" s="37"/>
      <c r="E526" s="330"/>
      <c r="F526" s="37"/>
      <c r="G526" s="3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2:43" ht="15.75" customHeight="1" x14ac:dyDescent="0.2">
      <c r="B527" s="2"/>
      <c r="C527" s="37"/>
      <c r="D527" s="37"/>
      <c r="E527" s="330"/>
      <c r="F527" s="37"/>
      <c r="G527" s="3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2:43" ht="15.75" customHeight="1" x14ac:dyDescent="0.2">
      <c r="B528" s="2"/>
      <c r="C528" s="37"/>
      <c r="D528" s="37"/>
      <c r="E528" s="330"/>
      <c r="F528" s="37"/>
      <c r="G528" s="3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2:43" ht="15.75" customHeight="1" x14ac:dyDescent="0.2">
      <c r="B529" s="2"/>
      <c r="C529" s="37"/>
      <c r="D529" s="37"/>
      <c r="E529" s="330"/>
      <c r="F529" s="37"/>
      <c r="G529" s="3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2:43" ht="15.75" customHeight="1" x14ac:dyDescent="0.2">
      <c r="B530" s="2"/>
      <c r="C530" s="37"/>
      <c r="D530" s="37"/>
      <c r="E530" s="330"/>
      <c r="F530" s="37"/>
      <c r="G530" s="3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2:43" ht="15.75" customHeight="1" x14ac:dyDescent="0.2">
      <c r="B531" s="2"/>
      <c r="C531" s="37"/>
      <c r="D531" s="37"/>
      <c r="E531" s="330"/>
      <c r="F531" s="37"/>
      <c r="G531" s="3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2:43" ht="15.75" customHeight="1" x14ac:dyDescent="0.2">
      <c r="B532" s="2"/>
      <c r="C532" s="37"/>
      <c r="D532" s="37"/>
      <c r="E532" s="330"/>
      <c r="F532" s="37"/>
      <c r="G532" s="3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2:43" ht="15.75" customHeight="1" x14ac:dyDescent="0.2">
      <c r="B533" s="2"/>
      <c r="C533" s="37"/>
      <c r="D533" s="37"/>
      <c r="E533" s="330"/>
      <c r="F533" s="37"/>
      <c r="G533" s="3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2:43" ht="15.75" customHeight="1" x14ac:dyDescent="0.2">
      <c r="B534" s="2"/>
      <c r="C534" s="37"/>
      <c r="D534" s="37"/>
      <c r="E534" s="330"/>
      <c r="F534" s="37"/>
      <c r="G534" s="3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2:43" ht="15.75" customHeight="1" x14ac:dyDescent="0.2">
      <c r="B535" s="2"/>
      <c r="C535" s="37"/>
      <c r="D535" s="37"/>
      <c r="E535" s="330"/>
      <c r="F535" s="37"/>
      <c r="G535" s="3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2:43" ht="15.75" customHeight="1" x14ac:dyDescent="0.2">
      <c r="B536" s="2"/>
      <c r="C536" s="37"/>
      <c r="D536" s="37"/>
      <c r="E536" s="330"/>
      <c r="F536" s="37"/>
      <c r="G536" s="3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2:43" ht="15.75" customHeight="1" x14ac:dyDescent="0.2">
      <c r="B537" s="2"/>
      <c r="C537" s="37"/>
      <c r="D537" s="37"/>
      <c r="E537" s="330"/>
      <c r="F537" s="37"/>
      <c r="G537" s="3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2:43" ht="15.75" customHeight="1" x14ac:dyDescent="0.2">
      <c r="B538" s="2"/>
      <c r="C538" s="37"/>
      <c r="D538" s="37"/>
      <c r="E538" s="330"/>
      <c r="F538" s="37"/>
      <c r="G538" s="3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2:43" ht="15.75" customHeight="1" x14ac:dyDescent="0.2">
      <c r="B539" s="2"/>
      <c r="C539" s="37"/>
      <c r="D539" s="37"/>
      <c r="E539" s="330"/>
      <c r="F539" s="37"/>
      <c r="G539" s="3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2:43" ht="15.75" customHeight="1" x14ac:dyDescent="0.2">
      <c r="B540" s="2"/>
      <c r="C540" s="37"/>
      <c r="D540" s="37"/>
      <c r="E540" s="330"/>
      <c r="F540" s="37"/>
      <c r="G540" s="3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2:43" ht="15.75" customHeight="1" x14ac:dyDescent="0.2">
      <c r="B541" s="2"/>
      <c r="C541" s="37"/>
      <c r="D541" s="37"/>
      <c r="E541" s="330"/>
      <c r="F541" s="37"/>
      <c r="G541" s="3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2:43" ht="15.75" customHeight="1" x14ac:dyDescent="0.2">
      <c r="B542" s="2"/>
      <c r="C542" s="37"/>
      <c r="D542" s="37"/>
      <c r="E542" s="330"/>
      <c r="F542" s="37"/>
      <c r="G542" s="3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2:43" ht="15.75" customHeight="1" x14ac:dyDescent="0.2">
      <c r="B543" s="2"/>
      <c r="C543" s="37"/>
      <c r="D543" s="37"/>
      <c r="E543" s="330"/>
      <c r="F543" s="37"/>
      <c r="G543" s="3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2:43" ht="15.75" customHeight="1" x14ac:dyDescent="0.2">
      <c r="B544" s="2"/>
      <c r="C544" s="37"/>
      <c r="D544" s="37"/>
      <c r="E544" s="330"/>
      <c r="F544" s="37"/>
      <c r="G544" s="3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2:43" ht="15.75" customHeight="1" x14ac:dyDescent="0.2">
      <c r="B545" s="2"/>
      <c r="C545" s="37"/>
      <c r="D545" s="37"/>
      <c r="E545" s="330"/>
      <c r="F545" s="37"/>
      <c r="G545" s="3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2:43" ht="15.75" customHeight="1" x14ac:dyDescent="0.2">
      <c r="B546" s="2"/>
      <c r="C546" s="37"/>
      <c r="D546" s="37"/>
      <c r="E546" s="330"/>
      <c r="F546" s="37"/>
      <c r="G546" s="3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2:43" ht="15.75" customHeight="1" x14ac:dyDescent="0.2">
      <c r="B547" s="2"/>
      <c r="C547" s="37"/>
      <c r="D547" s="37"/>
      <c r="E547" s="330"/>
      <c r="F547" s="37"/>
      <c r="G547" s="3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2:43" ht="15.75" customHeight="1" x14ac:dyDescent="0.2">
      <c r="B548" s="2"/>
      <c r="C548" s="37"/>
      <c r="D548" s="37"/>
      <c r="E548" s="330"/>
      <c r="F548" s="37"/>
      <c r="G548" s="3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2:43" ht="15.75" customHeight="1" x14ac:dyDescent="0.2">
      <c r="B549" s="2"/>
      <c r="C549" s="37"/>
      <c r="D549" s="37"/>
      <c r="E549" s="330"/>
      <c r="F549" s="37"/>
      <c r="G549" s="3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2:43" ht="15.75" customHeight="1" x14ac:dyDescent="0.2">
      <c r="B550" s="2"/>
      <c r="C550" s="37"/>
      <c r="D550" s="37"/>
      <c r="E550" s="330"/>
      <c r="F550" s="37"/>
      <c r="G550" s="3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2:43" ht="15.75" customHeight="1" x14ac:dyDescent="0.2">
      <c r="B551" s="2"/>
      <c r="C551" s="37"/>
      <c r="D551" s="37"/>
      <c r="E551" s="330"/>
      <c r="F551" s="37"/>
      <c r="G551" s="3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2:43" ht="15.75" customHeight="1" x14ac:dyDescent="0.2">
      <c r="B552" s="2"/>
      <c r="C552" s="37"/>
      <c r="D552" s="37"/>
      <c r="E552" s="330"/>
      <c r="F552" s="37"/>
      <c r="G552" s="3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2:43" ht="15.75" customHeight="1" x14ac:dyDescent="0.2">
      <c r="B553" s="2"/>
      <c r="C553" s="37"/>
      <c r="D553" s="37"/>
      <c r="E553" s="330"/>
      <c r="F553" s="37"/>
      <c r="G553" s="3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2:43" ht="15.75" customHeight="1" x14ac:dyDescent="0.2">
      <c r="B554" s="2"/>
      <c r="C554" s="37"/>
      <c r="D554" s="37"/>
      <c r="E554" s="330"/>
      <c r="F554" s="37"/>
      <c r="G554" s="3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2:43" ht="15.75" customHeight="1" x14ac:dyDescent="0.2">
      <c r="B555" s="2"/>
      <c r="C555" s="37"/>
      <c r="D555" s="37"/>
      <c r="E555" s="330"/>
      <c r="F555" s="37"/>
      <c r="G555" s="3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2:43" ht="15.75" customHeight="1" x14ac:dyDescent="0.2">
      <c r="B556" s="2"/>
      <c r="C556" s="37"/>
      <c r="D556" s="37"/>
      <c r="E556" s="330"/>
      <c r="F556" s="37"/>
      <c r="G556" s="3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2:43" ht="15.75" customHeight="1" x14ac:dyDescent="0.2">
      <c r="B557" s="2"/>
      <c r="C557" s="37"/>
      <c r="D557" s="37"/>
      <c r="E557" s="330"/>
      <c r="F557" s="37"/>
      <c r="G557" s="3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2:43" ht="15.75" customHeight="1" x14ac:dyDescent="0.2">
      <c r="B558" s="2"/>
      <c r="C558" s="37"/>
      <c r="D558" s="37"/>
      <c r="E558" s="330"/>
      <c r="F558" s="37"/>
      <c r="G558" s="3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2:43" ht="15.75" customHeight="1" x14ac:dyDescent="0.2">
      <c r="B559" s="2"/>
      <c r="C559" s="37"/>
      <c r="D559" s="37"/>
      <c r="E559" s="330"/>
      <c r="F559" s="37"/>
      <c r="G559" s="3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2:43" ht="15.75" customHeight="1" x14ac:dyDescent="0.2">
      <c r="B560" s="2"/>
      <c r="C560" s="37"/>
      <c r="D560" s="37"/>
      <c r="E560" s="330"/>
      <c r="F560" s="37"/>
      <c r="G560" s="3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2:43" ht="15.75" customHeight="1" x14ac:dyDescent="0.2">
      <c r="B561" s="2"/>
      <c r="C561" s="37"/>
      <c r="D561" s="37"/>
      <c r="E561" s="330"/>
      <c r="F561" s="37"/>
      <c r="G561" s="3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2:43" ht="15.75" customHeight="1" x14ac:dyDescent="0.2">
      <c r="B562" s="2"/>
      <c r="C562" s="37"/>
      <c r="D562" s="37"/>
      <c r="E562" s="330"/>
      <c r="F562" s="37"/>
      <c r="G562" s="3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2:43" ht="15.75" customHeight="1" x14ac:dyDescent="0.2">
      <c r="B563" s="2"/>
      <c r="C563" s="37"/>
      <c r="D563" s="37"/>
      <c r="E563" s="330"/>
      <c r="F563" s="37"/>
      <c r="G563" s="3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2:43" ht="15.75" customHeight="1" x14ac:dyDescent="0.2">
      <c r="B564" s="2"/>
      <c r="C564" s="37"/>
      <c r="D564" s="37"/>
      <c r="E564" s="330"/>
      <c r="F564" s="37"/>
      <c r="G564" s="3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2:43" ht="15.75" customHeight="1" x14ac:dyDescent="0.2">
      <c r="B565" s="2"/>
      <c r="C565" s="37"/>
      <c r="D565" s="37"/>
      <c r="E565" s="330"/>
      <c r="F565" s="37"/>
      <c r="G565" s="3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2:43" ht="15.75" customHeight="1" x14ac:dyDescent="0.2">
      <c r="B566" s="2"/>
      <c r="C566" s="37"/>
      <c r="D566" s="37"/>
      <c r="E566" s="330"/>
      <c r="F566" s="37"/>
      <c r="G566" s="3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2:43" ht="15.75" customHeight="1" x14ac:dyDescent="0.2">
      <c r="B567" s="2"/>
      <c r="C567" s="37"/>
      <c r="D567" s="37"/>
      <c r="E567" s="330"/>
      <c r="F567" s="37"/>
      <c r="G567" s="3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2:43" ht="15.75" customHeight="1" x14ac:dyDescent="0.2">
      <c r="B568" s="2"/>
      <c r="C568" s="37"/>
      <c r="D568" s="37"/>
      <c r="E568" s="330"/>
      <c r="F568" s="37"/>
      <c r="G568" s="3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2:43" ht="15.75" customHeight="1" x14ac:dyDescent="0.2">
      <c r="B569" s="2"/>
      <c r="C569" s="37"/>
      <c r="D569" s="37"/>
      <c r="E569" s="330"/>
      <c r="F569" s="37"/>
      <c r="G569" s="3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2:43" ht="15.75" customHeight="1" x14ac:dyDescent="0.2">
      <c r="B570" s="2"/>
      <c r="C570" s="37"/>
      <c r="D570" s="37"/>
      <c r="E570" s="330"/>
      <c r="F570" s="37"/>
      <c r="G570" s="3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2:43" ht="15.75" customHeight="1" x14ac:dyDescent="0.2">
      <c r="B571" s="2"/>
      <c r="C571" s="37"/>
      <c r="D571" s="37"/>
      <c r="E571" s="330"/>
      <c r="F571" s="37"/>
      <c r="G571" s="3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2:43" ht="15.75" customHeight="1" x14ac:dyDescent="0.2">
      <c r="B572" s="2"/>
      <c r="C572" s="37"/>
      <c r="D572" s="37"/>
      <c r="E572" s="330"/>
      <c r="F572" s="37"/>
      <c r="G572" s="3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2:43" ht="15.75" customHeight="1" x14ac:dyDescent="0.2">
      <c r="B573" s="2"/>
      <c r="C573" s="37"/>
      <c r="D573" s="37"/>
      <c r="E573" s="330"/>
      <c r="F573" s="37"/>
      <c r="G573" s="3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2:43" ht="15.75" customHeight="1" x14ac:dyDescent="0.2">
      <c r="B574" s="2"/>
      <c r="C574" s="37"/>
      <c r="D574" s="37"/>
      <c r="E574" s="330"/>
      <c r="F574" s="37"/>
      <c r="G574" s="3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2:43" ht="15.75" customHeight="1" x14ac:dyDescent="0.2">
      <c r="B575" s="2"/>
      <c r="C575" s="37"/>
      <c r="D575" s="37"/>
      <c r="E575" s="330"/>
      <c r="F575" s="37"/>
      <c r="G575" s="3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2:43" ht="15.75" customHeight="1" x14ac:dyDescent="0.2">
      <c r="B576" s="2"/>
      <c r="C576" s="37"/>
      <c r="D576" s="37"/>
      <c r="E576" s="330"/>
      <c r="F576" s="37"/>
      <c r="G576" s="3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2:43" ht="15.75" customHeight="1" x14ac:dyDescent="0.2">
      <c r="B577" s="2"/>
      <c r="C577" s="37"/>
      <c r="D577" s="37"/>
      <c r="E577" s="330"/>
      <c r="F577" s="37"/>
      <c r="G577" s="3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2:43" ht="15.75" customHeight="1" x14ac:dyDescent="0.2">
      <c r="B578" s="2"/>
      <c r="C578" s="37"/>
      <c r="D578" s="37"/>
      <c r="E578" s="330"/>
      <c r="F578" s="37"/>
      <c r="G578" s="3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2:43" ht="15.75" customHeight="1" x14ac:dyDescent="0.2">
      <c r="B579" s="2"/>
      <c r="C579" s="37"/>
      <c r="D579" s="37"/>
      <c r="E579" s="330"/>
      <c r="F579" s="37"/>
      <c r="G579" s="3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2:43" ht="15.75" customHeight="1" x14ac:dyDescent="0.2">
      <c r="B580" s="2"/>
      <c r="C580" s="37"/>
      <c r="D580" s="37"/>
      <c r="E580" s="330"/>
      <c r="F580" s="37"/>
      <c r="G580" s="3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2:43" ht="15.75" customHeight="1" x14ac:dyDescent="0.2">
      <c r="B581" s="2"/>
      <c r="C581" s="37"/>
      <c r="D581" s="37"/>
      <c r="E581" s="330"/>
      <c r="F581" s="37"/>
      <c r="G581" s="3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2:43" ht="15.75" customHeight="1" x14ac:dyDescent="0.2">
      <c r="B582" s="2"/>
      <c r="C582" s="37"/>
      <c r="D582" s="37"/>
      <c r="E582" s="330"/>
      <c r="F582" s="37"/>
      <c r="G582" s="3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2:43" ht="15.75" customHeight="1" x14ac:dyDescent="0.2">
      <c r="B583" s="2"/>
      <c r="C583" s="37"/>
      <c r="D583" s="37"/>
      <c r="E583" s="330"/>
      <c r="F583" s="37"/>
      <c r="G583" s="3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2:43" ht="15.75" customHeight="1" x14ac:dyDescent="0.2">
      <c r="B584" s="2"/>
      <c r="C584" s="37"/>
      <c r="D584" s="37"/>
      <c r="E584" s="330"/>
      <c r="F584" s="37"/>
      <c r="G584" s="3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2:43" ht="15.75" customHeight="1" x14ac:dyDescent="0.2">
      <c r="B585" s="2"/>
      <c r="C585" s="37"/>
      <c r="D585" s="37"/>
      <c r="E585" s="330"/>
      <c r="F585" s="37"/>
      <c r="G585" s="3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2:43" ht="15.75" customHeight="1" x14ac:dyDescent="0.2">
      <c r="B586" s="2"/>
      <c r="C586" s="37"/>
      <c r="D586" s="37"/>
      <c r="E586" s="330"/>
      <c r="F586" s="37"/>
      <c r="G586" s="3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2:43" ht="15.75" customHeight="1" x14ac:dyDescent="0.2">
      <c r="B587" s="2"/>
      <c r="C587" s="37"/>
      <c r="D587" s="37"/>
      <c r="E587" s="330"/>
      <c r="F587" s="37"/>
      <c r="G587" s="3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2:43" ht="15.75" customHeight="1" x14ac:dyDescent="0.2">
      <c r="B588" s="2"/>
      <c r="C588" s="37"/>
      <c r="D588" s="37"/>
      <c r="E588" s="330"/>
      <c r="F588" s="37"/>
      <c r="G588" s="3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2:43" ht="15.75" customHeight="1" x14ac:dyDescent="0.2">
      <c r="B589" s="2"/>
      <c r="C589" s="37"/>
      <c r="D589" s="37"/>
      <c r="E589" s="330"/>
      <c r="F589" s="37"/>
      <c r="G589" s="3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2:43" ht="15.75" customHeight="1" x14ac:dyDescent="0.2">
      <c r="B590" s="2"/>
      <c r="C590" s="37"/>
      <c r="D590" s="37"/>
      <c r="E590" s="330"/>
      <c r="F590" s="37"/>
      <c r="G590" s="3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2:43" ht="15.75" customHeight="1" x14ac:dyDescent="0.2">
      <c r="B591" s="2"/>
      <c r="C591" s="37"/>
      <c r="D591" s="37"/>
      <c r="E591" s="330"/>
      <c r="F591" s="37"/>
      <c r="G591" s="3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2:43" ht="15.75" customHeight="1" x14ac:dyDescent="0.2">
      <c r="B592" s="2"/>
      <c r="C592" s="37"/>
      <c r="D592" s="37"/>
      <c r="E592" s="330"/>
      <c r="F592" s="37"/>
      <c r="G592" s="3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2:43" ht="15.75" customHeight="1" x14ac:dyDescent="0.2">
      <c r="B593" s="2"/>
      <c r="C593" s="37"/>
      <c r="D593" s="37"/>
      <c r="E593" s="330"/>
      <c r="F593" s="37"/>
      <c r="G593" s="3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2:43" ht="15.75" customHeight="1" x14ac:dyDescent="0.2">
      <c r="B594" s="2"/>
      <c r="C594" s="37"/>
      <c r="D594" s="37"/>
      <c r="E594" s="330"/>
      <c r="F594" s="37"/>
      <c r="G594" s="3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2:43" ht="15.75" customHeight="1" x14ac:dyDescent="0.2">
      <c r="B595" s="2"/>
      <c r="C595" s="37"/>
      <c r="D595" s="37"/>
      <c r="E595" s="330"/>
      <c r="F595" s="37"/>
      <c r="G595" s="3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2:43" ht="15.75" customHeight="1" x14ac:dyDescent="0.2">
      <c r="B596" s="2"/>
      <c r="C596" s="37"/>
      <c r="D596" s="37"/>
      <c r="E596" s="330"/>
      <c r="F596" s="37"/>
      <c r="G596" s="3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2:43" ht="15.75" customHeight="1" x14ac:dyDescent="0.2">
      <c r="B597" s="2"/>
      <c r="C597" s="37"/>
      <c r="D597" s="37"/>
      <c r="E597" s="330"/>
      <c r="F597" s="37"/>
      <c r="G597" s="3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2:43" ht="15.75" customHeight="1" x14ac:dyDescent="0.2">
      <c r="B598" s="2"/>
      <c r="C598" s="37"/>
      <c r="D598" s="37"/>
      <c r="E598" s="330"/>
      <c r="F598" s="37"/>
      <c r="G598" s="3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2:43" ht="15.75" customHeight="1" x14ac:dyDescent="0.2">
      <c r="B599" s="2"/>
      <c r="C599" s="37"/>
      <c r="D599" s="37"/>
      <c r="E599" s="330"/>
      <c r="F599" s="37"/>
      <c r="G599" s="3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2:43" ht="15.75" customHeight="1" x14ac:dyDescent="0.2">
      <c r="B600" s="2"/>
      <c r="C600" s="37"/>
      <c r="D600" s="37"/>
      <c r="E600" s="330"/>
      <c r="F600" s="37"/>
      <c r="G600" s="3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2:43" ht="15.75" customHeight="1" x14ac:dyDescent="0.2">
      <c r="B601" s="2"/>
      <c r="C601" s="37"/>
      <c r="D601" s="37"/>
      <c r="E601" s="330"/>
      <c r="F601" s="37"/>
      <c r="G601" s="3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2:43" ht="15.75" customHeight="1" x14ac:dyDescent="0.2">
      <c r="B602" s="2"/>
      <c r="C602" s="37"/>
      <c r="D602" s="37"/>
      <c r="E602" s="330"/>
      <c r="F602" s="37"/>
      <c r="G602" s="3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2:43" ht="15.75" customHeight="1" x14ac:dyDescent="0.2">
      <c r="B603" s="2"/>
      <c r="C603" s="37"/>
      <c r="D603" s="37"/>
      <c r="E603" s="330"/>
      <c r="F603" s="37"/>
      <c r="G603" s="3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2:43" ht="15.75" customHeight="1" x14ac:dyDescent="0.2">
      <c r="B604" s="2"/>
      <c r="C604" s="37"/>
      <c r="D604" s="37"/>
      <c r="E604" s="330"/>
      <c r="F604" s="37"/>
      <c r="G604" s="3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2:43" ht="15.75" customHeight="1" x14ac:dyDescent="0.2">
      <c r="B605" s="2"/>
      <c r="C605" s="37"/>
      <c r="D605" s="37"/>
      <c r="E605" s="330"/>
      <c r="F605" s="37"/>
      <c r="G605" s="3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2:43" ht="15.75" customHeight="1" x14ac:dyDescent="0.2">
      <c r="B606" s="2"/>
      <c r="C606" s="37"/>
      <c r="D606" s="37"/>
      <c r="E606" s="330"/>
      <c r="F606" s="37"/>
      <c r="G606" s="3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2:43" ht="15.75" customHeight="1" x14ac:dyDescent="0.2">
      <c r="B607" s="2"/>
      <c r="C607" s="37"/>
      <c r="D607" s="37"/>
      <c r="E607" s="330"/>
      <c r="F607" s="37"/>
      <c r="G607" s="3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2:43" ht="15.75" customHeight="1" x14ac:dyDescent="0.2">
      <c r="B608" s="2"/>
      <c r="C608" s="37"/>
      <c r="D608" s="37"/>
      <c r="E608" s="330"/>
      <c r="F608" s="37"/>
      <c r="G608" s="3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2:43" ht="15.75" customHeight="1" x14ac:dyDescent="0.2">
      <c r="B609" s="2"/>
      <c r="C609" s="37"/>
      <c r="D609" s="37"/>
      <c r="E609" s="330"/>
      <c r="F609" s="37"/>
      <c r="G609" s="3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2:43" ht="15.75" customHeight="1" x14ac:dyDescent="0.2">
      <c r="B610" s="2"/>
      <c r="C610" s="37"/>
      <c r="D610" s="37"/>
      <c r="E610" s="330"/>
      <c r="F610" s="37"/>
      <c r="G610" s="3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2:43" ht="15.75" customHeight="1" x14ac:dyDescent="0.2">
      <c r="B611" s="2"/>
      <c r="C611" s="37"/>
      <c r="D611" s="37"/>
      <c r="E611" s="330"/>
      <c r="F611" s="37"/>
      <c r="G611" s="3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2:43" ht="15.75" customHeight="1" x14ac:dyDescent="0.2">
      <c r="B612" s="2"/>
      <c r="C612" s="37"/>
      <c r="D612" s="37"/>
      <c r="E612" s="330"/>
      <c r="F612" s="37"/>
      <c r="G612" s="3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2:43" ht="15.75" customHeight="1" x14ac:dyDescent="0.2">
      <c r="B613" s="2"/>
      <c r="C613" s="37"/>
      <c r="D613" s="37"/>
      <c r="E613" s="330"/>
      <c r="F613" s="37"/>
      <c r="G613" s="3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2:43" ht="15.75" customHeight="1" x14ac:dyDescent="0.2">
      <c r="B614" s="2"/>
      <c r="C614" s="37"/>
      <c r="D614" s="37"/>
      <c r="E614" s="330"/>
      <c r="F614" s="37"/>
      <c r="G614" s="3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2:43" ht="15.75" customHeight="1" x14ac:dyDescent="0.2">
      <c r="B615" s="2"/>
      <c r="C615" s="37"/>
      <c r="D615" s="37"/>
      <c r="E615" s="330"/>
      <c r="F615" s="37"/>
      <c r="G615" s="3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2:43" ht="15.75" customHeight="1" x14ac:dyDescent="0.2">
      <c r="B616" s="2"/>
      <c r="C616" s="37"/>
      <c r="D616" s="37"/>
      <c r="E616" s="330"/>
      <c r="F616" s="37"/>
      <c r="G616" s="3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2:43" ht="15.75" customHeight="1" x14ac:dyDescent="0.2">
      <c r="B617" s="2"/>
      <c r="C617" s="37"/>
      <c r="D617" s="37"/>
      <c r="E617" s="330"/>
      <c r="F617" s="37"/>
      <c r="G617" s="3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2:43" ht="15.75" customHeight="1" x14ac:dyDescent="0.2">
      <c r="B618" s="2"/>
      <c r="C618" s="37"/>
      <c r="D618" s="37"/>
      <c r="E618" s="330"/>
      <c r="F618" s="37"/>
      <c r="G618" s="3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2:43" ht="15.75" customHeight="1" x14ac:dyDescent="0.2">
      <c r="B619" s="2"/>
      <c r="C619" s="37"/>
      <c r="D619" s="37"/>
      <c r="E619" s="330"/>
      <c r="F619" s="37"/>
      <c r="G619" s="3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2:43" ht="15.75" customHeight="1" x14ac:dyDescent="0.2">
      <c r="B620" s="2"/>
      <c r="C620" s="37"/>
      <c r="D620" s="37"/>
      <c r="E620" s="330"/>
      <c r="F620" s="37"/>
      <c r="G620" s="3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2:43" ht="15.75" customHeight="1" x14ac:dyDescent="0.2">
      <c r="B621" s="2"/>
      <c r="C621" s="37"/>
      <c r="D621" s="37"/>
      <c r="E621" s="330"/>
      <c r="F621" s="37"/>
      <c r="G621" s="3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2:43" ht="15.75" customHeight="1" x14ac:dyDescent="0.2">
      <c r="B622" s="2"/>
      <c r="C622" s="37"/>
      <c r="D622" s="37"/>
      <c r="E622" s="330"/>
      <c r="F622" s="37"/>
      <c r="G622" s="3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2:43" ht="15.75" customHeight="1" x14ac:dyDescent="0.2">
      <c r="B623" s="2"/>
      <c r="C623" s="37"/>
      <c r="D623" s="37"/>
      <c r="E623" s="330"/>
      <c r="F623" s="37"/>
      <c r="G623" s="3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2:43" ht="15.75" customHeight="1" x14ac:dyDescent="0.2">
      <c r="B624" s="2"/>
      <c r="C624" s="37"/>
      <c r="D624" s="37"/>
      <c r="E624" s="330"/>
      <c r="F624" s="37"/>
      <c r="G624" s="3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2:43" ht="15.75" customHeight="1" x14ac:dyDescent="0.2">
      <c r="B625" s="2"/>
      <c r="C625" s="37"/>
      <c r="D625" s="37"/>
      <c r="E625" s="330"/>
      <c r="F625" s="37"/>
      <c r="G625" s="3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2:43" ht="15.75" customHeight="1" x14ac:dyDescent="0.2">
      <c r="B626" s="2"/>
      <c r="C626" s="37"/>
      <c r="D626" s="37"/>
      <c r="E626" s="330"/>
      <c r="F626" s="37"/>
      <c r="G626" s="3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2:43" ht="15.75" customHeight="1" x14ac:dyDescent="0.2">
      <c r="B627" s="2"/>
      <c r="C627" s="37"/>
      <c r="D627" s="37"/>
      <c r="E627" s="330"/>
      <c r="F627" s="37"/>
      <c r="G627" s="3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2:43" ht="15.75" customHeight="1" x14ac:dyDescent="0.2">
      <c r="B628" s="2"/>
      <c r="C628" s="37"/>
      <c r="D628" s="37"/>
      <c r="E628" s="330"/>
      <c r="F628" s="37"/>
      <c r="G628" s="3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2:43" ht="15.75" customHeight="1" x14ac:dyDescent="0.2">
      <c r="B629" s="2"/>
      <c r="C629" s="37"/>
      <c r="D629" s="37"/>
      <c r="E629" s="330"/>
      <c r="F629" s="37"/>
      <c r="G629" s="3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2:43" ht="15.75" customHeight="1" x14ac:dyDescent="0.2">
      <c r="B630" s="2"/>
      <c r="C630" s="37"/>
      <c r="D630" s="37"/>
      <c r="E630" s="330"/>
      <c r="F630" s="37"/>
      <c r="G630" s="3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2:43" ht="15.75" customHeight="1" x14ac:dyDescent="0.2">
      <c r="B631" s="2"/>
      <c r="C631" s="37"/>
      <c r="D631" s="37"/>
      <c r="E631" s="330"/>
      <c r="F631" s="37"/>
      <c r="G631" s="3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2:43" ht="15.75" customHeight="1" x14ac:dyDescent="0.2">
      <c r="B632" s="2"/>
      <c r="C632" s="37"/>
      <c r="D632" s="37"/>
      <c r="E632" s="330"/>
      <c r="F632" s="37"/>
      <c r="G632" s="3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2:43" ht="15.75" customHeight="1" x14ac:dyDescent="0.2">
      <c r="B633" s="2"/>
      <c r="C633" s="37"/>
      <c r="D633" s="37"/>
      <c r="E633" s="330"/>
      <c r="F633" s="37"/>
      <c r="G633" s="3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2:43" ht="15.75" customHeight="1" x14ac:dyDescent="0.2">
      <c r="B634" s="2"/>
      <c r="C634" s="37"/>
      <c r="D634" s="37"/>
      <c r="E634" s="330"/>
      <c r="F634" s="37"/>
      <c r="G634" s="3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2:43" ht="15.75" customHeight="1" x14ac:dyDescent="0.2">
      <c r="B635" s="2"/>
      <c r="C635" s="37"/>
      <c r="D635" s="37"/>
      <c r="E635" s="330"/>
      <c r="F635" s="37"/>
      <c r="G635" s="3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2:43" ht="15.75" customHeight="1" x14ac:dyDescent="0.2">
      <c r="B636" s="2"/>
      <c r="C636" s="37"/>
      <c r="D636" s="37"/>
      <c r="E636" s="330"/>
      <c r="F636" s="37"/>
      <c r="G636" s="3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2:43" ht="15.75" customHeight="1" x14ac:dyDescent="0.2">
      <c r="B637" s="2"/>
      <c r="C637" s="37"/>
      <c r="D637" s="37"/>
      <c r="E637" s="330"/>
      <c r="F637" s="37"/>
      <c r="G637" s="3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2:43" ht="15.75" customHeight="1" x14ac:dyDescent="0.2">
      <c r="B638" s="2"/>
      <c r="C638" s="37"/>
      <c r="D638" s="37"/>
      <c r="E638" s="330"/>
      <c r="F638" s="37"/>
      <c r="G638" s="3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2:43" ht="15.75" customHeight="1" x14ac:dyDescent="0.2">
      <c r="B639" s="2"/>
      <c r="C639" s="37"/>
      <c r="D639" s="37"/>
      <c r="E639" s="330"/>
      <c r="F639" s="37"/>
      <c r="G639" s="3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2:43" ht="15.75" customHeight="1" x14ac:dyDescent="0.2">
      <c r="B640" s="2"/>
      <c r="C640" s="37"/>
      <c r="D640" s="37"/>
      <c r="E640" s="330"/>
      <c r="F640" s="37"/>
      <c r="G640" s="3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</sheetData>
  <mergeCells count="2">
    <mergeCell ref="A3:G3"/>
    <mergeCell ref="A4:G4"/>
  </mergeCells>
  <phoneticPr fontId="11" type="noConversion"/>
  <pageMargins left="0.55000000000000004" right="0.15748031496062992" top="0.15748031496062992" bottom="0.15748031496062992" header="0.15748031496062992" footer="0.1574803149606299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93"/>
  <sheetViews>
    <sheetView zoomScale="96" zoomScaleNormal="96" zoomScaleSheetLayoutView="90" workbookViewId="0">
      <selection activeCell="D2" sqref="D2"/>
    </sheetView>
  </sheetViews>
  <sheetFormatPr defaultRowHeight="12.75" x14ac:dyDescent="0.2"/>
  <cols>
    <col min="1" max="1" width="6.28515625" style="2" customWidth="1"/>
    <col min="2" max="2" width="79.85546875" customWidth="1"/>
    <col min="3" max="4" width="17.28515625" style="45" customWidth="1"/>
    <col min="5" max="5" width="15.140625" style="199" hidden="1" customWidth="1"/>
    <col min="6" max="6" width="15.140625" style="45" hidden="1" customWidth="1"/>
    <col min="7" max="7" width="13.5703125" style="45" hidden="1" customWidth="1"/>
    <col min="8" max="8" width="11.140625" hidden="1" customWidth="1"/>
    <col min="9" max="9" width="9.7109375" customWidth="1"/>
    <col min="10" max="10" width="8" customWidth="1"/>
    <col min="11" max="11" width="8.85546875" bestFit="1" customWidth="1"/>
  </cols>
  <sheetData>
    <row r="1" spans="1:10" ht="13.5" customHeight="1" x14ac:dyDescent="0.3">
      <c r="A1" s="65"/>
      <c r="B1" s="42"/>
      <c r="D1" s="214" t="s">
        <v>996</v>
      </c>
      <c r="H1" s="2"/>
      <c r="I1" s="2"/>
      <c r="J1" s="2"/>
    </row>
    <row r="2" spans="1:10" ht="13.5" customHeight="1" x14ac:dyDescent="0.3">
      <c r="A2" s="65"/>
      <c r="B2" s="42"/>
      <c r="D2" s="214"/>
      <c r="H2" s="2"/>
      <c r="I2" s="2"/>
      <c r="J2" s="2"/>
    </row>
    <row r="3" spans="1:10" ht="16.5" customHeight="1" x14ac:dyDescent="0.35">
      <c r="A3" s="928" t="s">
        <v>27</v>
      </c>
      <c r="B3" s="928"/>
      <c r="C3" s="937"/>
      <c r="D3" s="937"/>
      <c r="E3" s="937"/>
      <c r="F3" s="937"/>
      <c r="G3" s="937"/>
      <c r="H3" s="2"/>
      <c r="I3" s="2"/>
      <c r="J3" s="2"/>
    </row>
    <row r="4" spans="1:10" ht="19.5" x14ac:dyDescent="0.35">
      <c r="A4" s="928" t="s">
        <v>1059</v>
      </c>
      <c r="B4" s="928"/>
      <c r="C4" s="937"/>
      <c r="D4" s="937"/>
      <c r="E4" s="937"/>
      <c r="F4" s="937"/>
      <c r="G4" s="937"/>
      <c r="H4" s="2"/>
      <c r="I4" s="2"/>
      <c r="J4" s="2"/>
    </row>
    <row r="5" spans="1:10" ht="13.5" thickBot="1" x14ac:dyDescent="0.25">
      <c r="A5" s="65"/>
      <c r="B5" s="1"/>
      <c r="D5" s="214" t="s">
        <v>0</v>
      </c>
      <c r="H5" s="2"/>
      <c r="I5" s="2"/>
      <c r="J5" s="2"/>
    </row>
    <row r="6" spans="1:10" ht="54.75" customHeight="1" thickBot="1" x14ac:dyDescent="0.25">
      <c r="A6" s="270" t="s">
        <v>124</v>
      </c>
      <c r="B6" s="54" t="s">
        <v>214</v>
      </c>
      <c r="C6" s="54" t="str">
        <f>'1.Bev-kiad.'!C6</f>
        <v>2021. évi eredeti előirányzat</v>
      </c>
      <c r="D6" s="54" t="str">
        <f>'1.Bev-kiad.'!D6</f>
        <v>Módosított előirányzat 2021.07. havi</v>
      </c>
      <c r="E6" s="54" t="str">
        <f>'1.Bev-kiad.'!E6</f>
        <v xml:space="preserve">Módosított előirányzat </v>
      </c>
      <c r="F6" s="54" t="str">
        <f>'1.Bev-kiad.'!F6</f>
        <v xml:space="preserve">Módosított előirányzat </v>
      </c>
      <c r="G6" s="55" t="str">
        <f>'1.Bev-kiad.'!G6</f>
        <v>Teljesítés 2021.12.31.</v>
      </c>
      <c r="H6" s="393"/>
      <c r="I6" s="2"/>
      <c r="J6" s="2"/>
    </row>
    <row r="7" spans="1:10" ht="17.25" customHeight="1" x14ac:dyDescent="0.2">
      <c r="A7" s="170" t="s">
        <v>375</v>
      </c>
      <c r="B7" s="280" t="s">
        <v>370</v>
      </c>
      <c r="C7" s="205">
        <f>SUM(C8+C67+C80+C92)</f>
        <v>824616</v>
      </c>
      <c r="D7" s="205">
        <f>SUM(D8+D67+D80+D92)</f>
        <v>841948</v>
      </c>
      <c r="E7" s="205" t="e">
        <f>SUM(E8+E67+E80+E92)</f>
        <v>#REF!</v>
      </c>
      <c r="F7" s="205" t="e">
        <f>SUM(F8+F67+F80+F92)</f>
        <v>#REF!</v>
      </c>
      <c r="G7" s="205" t="e">
        <f>SUM(G8+G67+G80+G92)</f>
        <v>#REF!</v>
      </c>
      <c r="H7" s="2"/>
      <c r="I7" s="2"/>
      <c r="J7" s="2"/>
    </row>
    <row r="8" spans="1:10" ht="18" customHeight="1" x14ac:dyDescent="0.25">
      <c r="A8" s="9" t="s">
        <v>126</v>
      </c>
      <c r="B8" s="30" t="s">
        <v>938</v>
      </c>
      <c r="C8" s="186">
        <f>C9+C57</f>
        <v>457088</v>
      </c>
      <c r="D8" s="186">
        <f>D9+D57</f>
        <v>468558</v>
      </c>
      <c r="E8" s="186" t="e">
        <f>E9+E57</f>
        <v>#REF!</v>
      </c>
      <c r="F8" s="186" t="e">
        <f>F9+F57</f>
        <v>#REF!</v>
      </c>
      <c r="G8" s="186" t="e">
        <f>G9+G57</f>
        <v>#REF!</v>
      </c>
      <c r="H8" s="2"/>
      <c r="I8" s="2"/>
      <c r="J8" s="2"/>
    </row>
    <row r="9" spans="1:10" ht="13.5" customHeight="1" x14ac:dyDescent="0.2">
      <c r="A9" s="9" t="s">
        <v>127</v>
      </c>
      <c r="B9" s="18" t="s">
        <v>1089</v>
      </c>
      <c r="C9" s="15">
        <f>C10+C22+C23+C33+C39+C42+C56</f>
        <v>413049</v>
      </c>
      <c r="D9" s="15">
        <f>D10+D22+D23+D33+D39+D42+D56</f>
        <v>416824</v>
      </c>
      <c r="E9" s="15" t="e">
        <f>E10+E22+E23+E33+E39+E42+E56</f>
        <v>#REF!</v>
      </c>
      <c r="F9" s="15" t="e">
        <f>F10+F22+F23+F33+F39+F42+F56</f>
        <v>#REF!</v>
      </c>
      <c r="G9" s="15" t="e">
        <f>G10+G22+G23+G33+G39+G42+G56</f>
        <v>#REF!</v>
      </c>
      <c r="H9" s="2"/>
      <c r="I9" s="2"/>
      <c r="J9" s="2"/>
    </row>
    <row r="10" spans="1:10" ht="13.5" customHeight="1" x14ac:dyDescent="0.2">
      <c r="A10" s="9" t="s">
        <v>216</v>
      </c>
      <c r="B10" s="340" t="s">
        <v>1090</v>
      </c>
      <c r="C10" s="15">
        <f>C11+C19+C20+C21</f>
        <v>178660</v>
      </c>
      <c r="D10" s="15">
        <f>D11+D19+D20+D21</f>
        <v>179332</v>
      </c>
      <c r="E10" s="6" t="e">
        <f>E11+E19+E20+#REF!+#REF!+E21</f>
        <v>#REF!</v>
      </c>
      <c r="F10" s="6" t="e">
        <f>F11+F19+F20+#REF!+#REF!+F21</f>
        <v>#REF!</v>
      </c>
      <c r="G10" s="6" t="e">
        <f>G11+G19+G20+#REF!+#REF!+G21</f>
        <v>#REF!</v>
      </c>
      <c r="H10" s="36"/>
      <c r="I10" s="2"/>
      <c r="J10" s="2"/>
    </row>
    <row r="11" spans="1:10" ht="13.5" customHeight="1" x14ac:dyDescent="0.2">
      <c r="A11" s="9"/>
      <c r="B11" s="282" t="s">
        <v>1091</v>
      </c>
      <c r="C11" s="16">
        <f>SUM(C12:C18)</f>
        <v>178660</v>
      </c>
      <c r="D11" s="16">
        <f>SUM(D12:D18)</f>
        <v>179332</v>
      </c>
      <c r="E11" s="17">
        <f>SUM(E12:E18)</f>
        <v>169302</v>
      </c>
      <c r="F11" s="17">
        <f>SUM(F12:F18)</f>
        <v>169302</v>
      </c>
      <c r="G11" s="17">
        <f>SUM(G12:G18)</f>
        <v>169302</v>
      </c>
      <c r="H11" s="646"/>
      <c r="I11" s="2"/>
      <c r="J11" s="2"/>
    </row>
    <row r="12" spans="1:10" ht="13.5" customHeight="1" x14ac:dyDescent="0.2">
      <c r="A12" s="9"/>
      <c r="B12" s="282" t="s">
        <v>1092</v>
      </c>
      <c r="C12" s="83">
        <v>131680</v>
      </c>
      <c r="D12" s="83">
        <f>131680+409</f>
        <v>132089</v>
      </c>
      <c r="E12" s="16">
        <f>130605+599</f>
        <v>131204</v>
      </c>
      <c r="F12" s="16">
        <f>130605+599</f>
        <v>131204</v>
      </c>
      <c r="G12" s="16">
        <f>130605+599</f>
        <v>131204</v>
      </c>
      <c r="H12" s="2"/>
      <c r="I12" s="2"/>
      <c r="J12" s="2"/>
    </row>
    <row r="13" spans="1:10" x14ac:dyDescent="0.2">
      <c r="A13" s="9"/>
      <c r="B13" s="282" t="s">
        <v>1136</v>
      </c>
      <c r="C13" s="83">
        <v>8694</v>
      </c>
      <c r="D13" s="83">
        <v>8694</v>
      </c>
      <c r="E13" s="209">
        <v>7812</v>
      </c>
      <c r="F13" s="209">
        <v>7812</v>
      </c>
      <c r="G13" s="209">
        <v>7812</v>
      </c>
      <c r="H13" s="36"/>
      <c r="I13" s="2"/>
      <c r="J13" s="2"/>
    </row>
    <row r="14" spans="1:10" ht="13.5" customHeight="1" x14ac:dyDescent="0.2">
      <c r="A14" s="9"/>
      <c r="B14" s="282" t="s">
        <v>1093</v>
      </c>
      <c r="C14" s="83">
        <v>22720</v>
      </c>
      <c r="D14" s="83">
        <v>22720</v>
      </c>
      <c r="E14" s="209">
        <v>22720</v>
      </c>
      <c r="F14" s="209">
        <v>22720</v>
      </c>
      <c r="G14" s="209">
        <v>22720</v>
      </c>
      <c r="H14" s="8"/>
      <c r="I14" s="2"/>
      <c r="J14" s="2"/>
    </row>
    <row r="15" spans="1:10" ht="13.5" customHeight="1" x14ac:dyDescent="0.2">
      <c r="A15" s="9"/>
      <c r="B15" s="282" t="s">
        <v>1137</v>
      </c>
      <c r="C15" s="83">
        <v>100</v>
      </c>
      <c r="D15" s="83">
        <v>100</v>
      </c>
      <c r="E15" s="209">
        <v>100</v>
      </c>
      <c r="F15" s="209">
        <v>100</v>
      </c>
      <c r="G15" s="209">
        <v>100</v>
      </c>
      <c r="H15" s="8"/>
      <c r="I15" s="2"/>
      <c r="J15" s="2"/>
    </row>
    <row r="16" spans="1:10" ht="13.5" customHeight="1" x14ac:dyDescent="0.2">
      <c r="A16" s="9"/>
      <c r="B16" s="282" t="s">
        <v>1138</v>
      </c>
      <c r="C16" s="83">
        <v>7466</v>
      </c>
      <c r="D16" s="83">
        <f>7466+263</f>
        <v>7729</v>
      </c>
      <c r="E16" s="209">
        <v>7466</v>
      </c>
      <c r="F16" s="209">
        <v>7466</v>
      </c>
      <c r="G16" s="209">
        <v>7466</v>
      </c>
      <c r="H16" s="8"/>
      <c r="I16" s="2"/>
      <c r="J16" s="2"/>
    </row>
    <row r="17" spans="1:10" ht="12.75" customHeight="1" x14ac:dyDescent="0.2">
      <c r="A17" s="9"/>
      <c r="B17" s="282" t="s">
        <v>1094</v>
      </c>
      <c r="C17" s="83">
        <v>8000</v>
      </c>
      <c r="D17" s="83">
        <v>8000</v>
      </c>
      <c r="E17" s="16"/>
      <c r="F17" s="16"/>
      <c r="G17" s="16"/>
      <c r="H17" s="2"/>
      <c r="I17" s="2"/>
      <c r="J17" s="2"/>
    </row>
    <row r="18" spans="1:10" ht="12.75" customHeight="1" x14ac:dyDescent="0.2">
      <c r="A18" s="9"/>
      <c r="B18" s="282" t="s">
        <v>1095</v>
      </c>
      <c r="C18" s="16"/>
      <c r="D18" s="16"/>
      <c r="E18" s="16"/>
      <c r="F18" s="16"/>
      <c r="G18" s="16"/>
      <c r="H18" s="2"/>
      <c r="I18" s="2"/>
      <c r="J18" s="2"/>
    </row>
    <row r="19" spans="1:10" x14ac:dyDescent="0.2">
      <c r="A19" s="9"/>
      <c r="B19" s="282" t="s">
        <v>1096</v>
      </c>
      <c r="C19" s="16"/>
      <c r="D19" s="16"/>
      <c r="E19" s="16"/>
      <c r="F19" s="16"/>
      <c r="G19" s="16"/>
      <c r="H19" s="8"/>
      <c r="I19" s="2"/>
      <c r="J19" s="2"/>
    </row>
    <row r="20" spans="1:10" x14ac:dyDescent="0.2">
      <c r="A20" s="9"/>
      <c r="B20" s="282" t="s">
        <v>1097</v>
      </c>
      <c r="C20" s="16"/>
      <c r="D20" s="16"/>
      <c r="E20" s="16"/>
      <c r="F20" s="16"/>
      <c r="G20" s="16"/>
      <c r="H20" s="2"/>
      <c r="I20" s="2"/>
      <c r="J20" s="2"/>
    </row>
    <row r="21" spans="1:10" hidden="1" x14ac:dyDescent="0.2">
      <c r="A21" s="9"/>
      <c r="B21" s="175" t="s">
        <v>990</v>
      </c>
      <c r="C21" s="16"/>
      <c r="D21" s="16"/>
      <c r="E21" s="16">
        <f>151-6</f>
        <v>145</v>
      </c>
      <c r="F21" s="16">
        <f>151-6</f>
        <v>145</v>
      </c>
      <c r="G21" s="16">
        <f>151-6</f>
        <v>145</v>
      </c>
      <c r="H21" s="8"/>
      <c r="I21" s="2"/>
      <c r="J21" s="2"/>
    </row>
    <row r="22" spans="1:10" ht="13.5" customHeight="1" x14ac:dyDescent="0.2">
      <c r="A22" s="9" t="s">
        <v>217</v>
      </c>
      <c r="B22" s="18" t="s">
        <v>1098</v>
      </c>
      <c r="C22" s="15">
        <v>79311</v>
      </c>
      <c r="D22" s="15">
        <f>79311+1995</f>
        <v>81306</v>
      </c>
      <c r="E22" s="15">
        <f>(58169+2054)+3938+3468</f>
        <v>67629</v>
      </c>
      <c r="F22" s="15">
        <f>(58169+2054)+3938+3468</f>
        <v>67629</v>
      </c>
      <c r="G22" s="15">
        <f>(58169+2054)+3938+3468</f>
        <v>67629</v>
      </c>
      <c r="H22" s="8"/>
      <c r="I22" s="2"/>
      <c r="J22" s="2"/>
    </row>
    <row r="23" spans="1:10" ht="13.5" customHeight="1" x14ac:dyDescent="0.2">
      <c r="A23" s="9" t="s">
        <v>218</v>
      </c>
      <c r="B23" s="18" t="s">
        <v>1099</v>
      </c>
      <c r="C23" s="15">
        <f>C24+C25+C32</f>
        <v>69421</v>
      </c>
      <c r="D23" s="15">
        <f>D24+D25+D32</f>
        <v>83218</v>
      </c>
      <c r="E23" s="15">
        <f>E24+E25</f>
        <v>70780</v>
      </c>
      <c r="F23" s="15">
        <f>F24+F25</f>
        <v>70780</v>
      </c>
      <c r="G23" s="15">
        <f>G24+G25</f>
        <v>70780</v>
      </c>
      <c r="H23" s="8"/>
      <c r="I23" s="2"/>
      <c r="J23" s="2"/>
    </row>
    <row r="24" spans="1:10" ht="13.5" customHeight="1" x14ac:dyDescent="0.2">
      <c r="A24" s="9"/>
      <c r="B24" s="282" t="s">
        <v>1100</v>
      </c>
      <c r="C24" s="16">
        <v>8813</v>
      </c>
      <c r="D24" s="16">
        <v>8813</v>
      </c>
      <c r="E24" s="16">
        <v>8974</v>
      </c>
      <c r="F24" s="16">
        <v>8974</v>
      </c>
      <c r="G24" s="16">
        <v>8974</v>
      </c>
      <c r="H24" s="2"/>
      <c r="I24" s="2"/>
      <c r="J24" s="2"/>
    </row>
    <row r="25" spans="1:10" ht="13.5" customHeight="1" x14ac:dyDescent="0.2">
      <c r="A25" s="9"/>
      <c r="B25" s="282" t="s">
        <v>1101</v>
      </c>
      <c r="C25" s="16">
        <f>C26+C27+C29+C31</f>
        <v>60608</v>
      </c>
      <c r="D25" s="16">
        <f>D26+D27+D29+D31</f>
        <v>63025</v>
      </c>
      <c r="E25" s="17">
        <f>E26+E27+E29+E31</f>
        <v>61806</v>
      </c>
      <c r="F25" s="17">
        <f>F26+F27+F29+F31</f>
        <v>61806</v>
      </c>
      <c r="G25" s="17">
        <f>G26+G27+G29+G31</f>
        <v>61806</v>
      </c>
      <c r="H25" s="2"/>
      <c r="I25" s="2"/>
      <c r="J25" s="2"/>
    </row>
    <row r="26" spans="1:10" ht="13.5" customHeight="1" x14ac:dyDescent="0.2">
      <c r="A26" s="9"/>
      <c r="B26" s="282" t="s">
        <v>1102</v>
      </c>
      <c r="C26" s="16">
        <v>14760</v>
      </c>
      <c r="D26" s="16">
        <f>14760+562</f>
        <v>15322</v>
      </c>
      <c r="E26" s="16">
        <f>13608+1152</f>
        <v>14760</v>
      </c>
      <c r="F26" s="16">
        <f>13608+1152</f>
        <v>14760</v>
      </c>
      <c r="G26" s="16">
        <f>13608+1152</f>
        <v>14760</v>
      </c>
      <c r="H26" s="2"/>
      <c r="I26" s="2"/>
      <c r="J26" s="2"/>
    </row>
    <row r="27" spans="1:10" ht="13.5" customHeight="1" x14ac:dyDescent="0.2">
      <c r="A27" s="9"/>
      <c r="B27" s="282" t="s">
        <v>1103</v>
      </c>
      <c r="C27" s="16">
        <f>C28</f>
        <v>8096</v>
      </c>
      <c r="D27" s="16">
        <f>D28</f>
        <v>8379</v>
      </c>
      <c r="E27" s="17">
        <f>E28</f>
        <v>8093</v>
      </c>
      <c r="F27" s="17">
        <f>F28</f>
        <v>8093</v>
      </c>
      <c r="G27" s="17">
        <f>G28</f>
        <v>8093</v>
      </c>
      <c r="H27" s="2"/>
      <c r="I27" s="2"/>
      <c r="J27" s="2"/>
    </row>
    <row r="28" spans="1:10" ht="13.5" customHeight="1" x14ac:dyDescent="0.2">
      <c r="A28" s="9"/>
      <c r="B28" s="282" t="s">
        <v>1135</v>
      </c>
      <c r="C28" s="16">
        <v>8096</v>
      </c>
      <c r="D28" s="16">
        <f>8096+148+135</f>
        <v>8379</v>
      </c>
      <c r="E28" s="16">
        <f>(7451+327)+119+196</f>
        <v>8093</v>
      </c>
      <c r="F28" s="16">
        <f>(7451+327)+119+196</f>
        <v>8093</v>
      </c>
      <c r="G28" s="16">
        <f>(7451+327)+119+196</f>
        <v>8093</v>
      </c>
      <c r="H28" s="2"/>
      <c r="I28" s="2"/>
      <c r="J28" s="2"/>
    </row>
    <row r="29" spans="1:10" ht="13.5" customHeight="1" x14ac:dyDescent="0.2">
      <c r="A29" s="9"/>
      <c r="B29" s="282" t="s">
        <v>1104</v>
      </c>
      <c r="C29" s="16">
        <f>C30</f>
        <v>37752</v>
      </c>
      <c r="D29" s="16">
        <f>D30</f>
        <v>39324</v>
      </c>
      <c r="E29" s="17">
        <f>E30</f>
        <v>38953</v>
      </c>
      <c r="F29" s="17">
        <f>F30</f>
        <v>38953</v>
      </c>
      <c r="G29" s="17">
        <f>G30</f>
        <v>38953</v>
      </c>
      <c r="H29" s="2"/>
      <c r="I29" s="2"/>
      <c r="J29" s="2"/>
    </row>
    <row r="30" spans="1:10" ht="13.5" customHeight="1" x14ac:dyDescent="0.2">
      <c r="A30" s="9"/>
      <c r="B30" s="282" t="s">
        <v>1105</v>
      </c>
      <c r="C30" s="16">
        <v>37752</v>
      </c>
      <c r="D30" s="16">
        <f>37752+1572</f>
        <v>39324</v>
      </c>
      <c r="E30" s="16">
        <f>33462+3346+2145</f>
        <v>38953</v>
      </c>
      <c r="F30" s="16">
        <f>33462+3346+2145</f>
        <v>38953</v>
      </c>
      <c r="G30" s="16">
        <f>33462+3346+2145</f>
        <v>38953</v>
      </c>
      <c r="H30" s="2"/>
      <c r="I30" s="2"/>
      <c r="J30" s="2"/>
    </row>
    <row r="31" spans="1:10" ht="13.5" customHeight="1" x14ac:dyDescent="0.2">
      <c r="A31" s="9"/>
      <c r="B31" s="282" t="s">
        <v>1106</v>
      </c>
      <c r="C31" s="16">
        <v>0</v>
      </c>
      <c r="D31" s="16">
        <v>0</v>
      </c>
      <c r="E31" s="17">
        <v>0</v>
      </c>
      <c r="F31" s="17">
        <v>0</v>
      </c>
      <c r="G31" s="17">
        <v>0</v>
      </c>
      <c r="H31" s="2"/>
      <c r="I31" s="2"/>
      <c r="J31" s="2"/>
    </row>
    <row r="32" spans="1:10" ht="13.5" customHeight="1" x14ac:dyDescent="0.2">
      <c r="A32" s="9"/>
      <c r="B32" s="175" t="s">
        <v>1272</v>
      </c>
      <c r="C32" s="16">
        <v>0</v>
      </c>
      <c r="D32" s="16">
        <v>11380</v>
      </c>
      <c r="E32" s="17"/>
      <c r="F32" s="17"/>
      <c r="G32" s="17"/>
      <c r="H32" s="2"/>
      <c r="I32" s="2"/>
      <c r="J32" s="2"/>
    </row>
    <row r="33" spans="1:10" ht="13.5" customHeight="1" x14ac:dyDescent="0.2">
      <c r="A33" s="9"/>
      <c r="B33" s="340" t="s">
        <v>1107</v>
      </c>
      <c r="C33" s="15">
        <f>C34+C37+C38</f>
        <v>42432</v>
      </c>
      <c r="D33" s="15">
        <f>D34+D37+D38</f>
        <v>41039</v>
      </c>
      <c r="E33" s="6">
        <f>E34+E37+E38</f>
        <v>43434</v>
      </c>
      <c r="F33" s="6">
        <f>F34+F37+F38</f>
        <v>43434</v>
      </c>
      <c r="G33" s="6">
        <f>G34+G37+G38</f>
        <v>43434</v>
      </c>
      <c r="H33" s="2"/>
      <c r="I33" s="2"/>
      <c r="J33" s="2"/>
    </row>
    <row r="34" spans="1:10" ht="13.5" customHeight="1" x14ac:dyDescent="0.2">
      <c r="A34" s="9"/>
      <c r="B34" s="282" t="s">
        <v>1108</v>
      </c>
      <c r="C34" s="16">
        <f>C35+C36</f>
        <v>42432</v>
      </c>
      <c r="D34" s="16">
        <f>D35+D36</f>
        <v>41039</v>
      </c>
      <c r="E34" s="17">
        <f>E35+E36</f>
        <v>32934</v>
      </c>
      <c r="F34" s="17">
        <f>F35+F36</f>
        <v>32934</v>
      </c>
      <c r="G34" s="17">
        <f>G35+G36</f>
        <v>32934</v>
      </c>
      <c r="H34" s="2"/>
      <c r="I34" s="2"/>
      <c r="J34" s="2"/>
    </row>
    <row r="35" spans="1:10" ht="13.5" customHeight="1" x14ac:dyDescent="0.2">
      <c r="A35" s="9"/>
      <c r="B35" s="282" t="s">
        <v>1109</v>
      </c>
      <c r="C35" s="16">
        <v>24235</v>
      </c>
      <c r="D35" s="16">
        <f>24235+551-1944</f>
        <v>22842</v>
      </c>
      <c r="E35" s="83">
        <f>(22000-5060)+1355+924</f>
        <v>19219</v>
      </c>
      <c r="F35" s="83">
        <f>(22000-5060)+1355+924</f>
        <v>19219</v>
      </c>
      <c r="G35" s="83">
        <f>(22000-5060)+1355+924</f>
        <v>19219</v>
      </c>
      <c r="H35" s="2"/>
      <c r="I35" s="2"/>
      <c r="J35" s="2"/>
    </row>
    <row r="36" spans="1:10" ht="13.5" customHeight="1" x14ac:dyDescent="0.2">
      <c r="A36" s="9"/>
      <c r="B36" s="282" t="s">
        <v>1110</v>
      </c>
      <c r="C36" s="16">
        <v>18197</v>
      </c>
      <c r="D36" s="16">
        <v>18197</v>
      </c>
      <c r="E36" s="83">
        <f>17001-3286</f>
        <v>13715</v>
      </c>
      <c r="F36" s="83">
        <f>17001-3286</f>
        <v>13715</v>
      </c>
      <c r="G36" s="83">
        <f>17001-3286</f>
        <v>13715</v>
      </c>
      <c r="H36" s="2"/>
      <c r="I36" s="2"/>
      <c r="J36" s="2"/>
    </row>
    <row r="37" spans="1:10" ht="13.5" customHeight="1" x14ac:dyDescent="0.2">
      <c r="A37" s="9"/>
      <c r="B37" s="282" t="s">
        <v>1111</v>
      </c>
      <c r="C37" s="16">
        <v>0</v>
      </c>
      <c r="D37" s="16">
        <v>0</v>
      </c>
      <c r="E37" s="17">
        <v>0</v>
      </c>
      <c r="F37" s="17">
        <v>0</v>
      </c>
      <c r="G37" s="17">
        <v>0</v>
      </c>
      <c r="H37" s="2"/>
      <c r="I37" s="2"/>
      <c r="J37" s="2"/>
    </row>
    <row r="38" spans="1:10" ht="13.5" hidden="1" customHeight="1" x14ac:dyDescent="0.2">
      <c r="A38" s="9"/>
      <c r="B38" s="175" t="s">
        <v>1258</v>
      </c>
      <c r="C38" s="16"/>
      <c r="D38" s="16"/>
      <c r="E38" s="16">
        <v>10500</v>
      </c>
      <c r="F38" s="16">
        <v>10500</v>
      </c>
      <c r="G38" s="16">
        <v>10500</v>
      </c>
      <c r="H38" s="2"/>
      <c r="I38" s="2"/>
      <c r="J38" s="2"/>
    </row>
    <row r="39" spans="1:10" ht="13.5" customHeight="1" x14ac:dyDescent="0.2">
      <c r="A39" s="9" t="s">
        <v>219</v>
      </c>
      <c r="B39" s="18" t="s">
        <v>1112</v>
      </c>
      <c r="C39" s="88">
        <f>SUM(C40:C41)</f>
        <v>5086</v>
      </c>
      <c r="D39" s="88">
        <f>SUM(D40:D41)</f>
        <v>28170</v>
      </c>
      <c r="E39" s="88">
        <f>SUM(E40:E41)</f>
        <v>26870</v>
      </c>
      <c r="F39" s="88">
        <f>SUM(F40:F41)</f>
        <v>26870</v>
      </c>
      <c r="G39" s="88">
        <f>SUM(G40:G41)</f>
        <v>26870</v>
      </c>
      <c r="H39" s="2"/>
      <c r="I39" s="2"/>
      <c r="J39" s="2"/>
    </row>
    <row r="40" spans="1:10" ht="13.5" customHeight="1" x14ac:dyDescent="0.2">
      <c r="A40" s="9"/>
      <c r="B40" s="282" t="s">
        <v>1144</v>
      </c>
      <c r="C40" s="209">
        <v>5086</v>
      </c>
      <c r="D40" s="209">
        <f>5086+84</f>
        <v>5170</v>
      </c>
      <c r="E40" s="209">
        <f>2880+990</f>
        <v>3870</v>
      </c>
      <c r="F40" s="209">
        <f>2880+990</f>
        <v>3870</v>
      </c>
      <c r="G40" s="209">
        <f>2880+990</f>
        <v>3870</v>
      </c>
      <c r="H40" s="8"/>
      <c r="I40" s="2"/>
      <c r="J40" s="2"/>
    </row>
    <row r="41" spans="1:10" ht="13.5" customHeight="1" x14ac:dyDescent="0.2">
      <c r="A41" s="9"/>
      <c r="B41" s="175" t="s">
        <v>1259</v>
      </c>
      <c r="C41" s="209">
        <v>0</v>
      </c>
      <c r="D41" s="209">
        <v>23000</v>
      </c>
      <c r="E41" s="209">
        <v>23000</v>
      </c>
      <c r="F41" s="209">
        <v>23000</v>
      </c>
      <c r="G41" s="209">
        <v>23000</v>
      </c>
      <c r="H41" s="2"/>
      <c r="I41" s="2"/>
      <c r="J41" s="2"/>
    </row>
    <row r="42" spans="1:10" ht="16.5" customHeight="1" x14ac:dyDescent="0.2">
      <c r="A42" s="9" t="s">
        <v>220</v>
      </c>
      <c r="B42" s="18" t="s">
        <v>1113</v>
      </c>
      <c r="C42" s="15">
        <f>C43+C48+C52</f>
        <v>36912</v>
      </c>
      <c r="D42" s="15">
        <f>D43+D48+D52</f>
        <v>2532</v>
      </c>
      <c r="E42" s="15">
        <f>E43+E48+E52</f>
        <v>49760</v>
      </c>
      <c r="F42" s="15">
        <f>F43+F48+F52</f>
        <v>49760</v>
      </c>
      <c r="G42" s="15">
        <f>G43+G48+G52</f>
        <v>49760</v>
      </c>
      <c r="H42" s="2"/>
      <c r="I42" s="2"/>
      <c r="J42" s="2"/>
    </row>
    <row r="43" spans="1:10" ht="14.25" customHeight="1" x14ac:dyDescent="0.2">
      <c r="A43" s="9"/>
      <c r="B43" s="791" t="s">
        <v>1114</v>
      </c>
      <c r="C43" s="15">
        <f>C44+C45+C46+C47</f>
        <v>0</v>
      </c>
      <c r="D43" s="15">
        <f>D44+D45+D46+D47</f>
        <v>0</v>
      </c>
      <c r="E43" s="15">
        <f>E44+E45+E46+E47</f>
        <v>6205</v>
      </c>
      <c r="F43" s="15">
        <f>F44+F45+F46+F47</f>
        <v>6205</v>
      </c>
      <c r="G43" s="15">
        <f>G44+G45+G46+G47</f>
        <v>6205</v>
      </c>
      <c r="H43" s="8"/>
      <c r="I43" s="2"/>
      <c r="J43" s="2"/>
    </row>
    <row r="44" spans="1:10" ht="11.25" customHeight="1" x14ac:dyDescent="0.2">
      <c r="A44" s="9"/>
      <c r="B44" s="791" t="s">
        <v>1115</v>
      </c>
      <c r="C44" s="16">
        <v>0</v>
      </c>
      <c r="D44" s="16">
        <v>0</v>
      </c>
      <c r="E44" s="16">
        <v>6205</v>
      </c>
      <c r="F44" s="16">
        <v>6205</v>
      </c>
      <c r="G44" s="16">
        <v>6205</v>
      </c>
      <c r="H44" s="8"/>
      <c r="I44" s="2"/>
      <c r="J44" s="2"/>
    </row>
    <row r="45" spans="1:10" ht="11.25" customHeight="1" x14ac:dyDescent="0.2">
      <c r="A45" s="9"/>
      <c r="B45" s="792" t="s">
        <v>1116</v>
      </c>
      <c r="C45" s="15"/>
      <c r="D45" s="15"/>
      <c r="E45" s="16"/>
      <c r="F45" s="16"/>
      <c r="G45" s="16"/>
      <c r="H45" s="8"/>
      <c r="I45" s="2"/>
      <c r="J45" s="2"/>
    </row>
    <row r="46" spans="1:10" ht="11.25" customHeight="1" x14ac:dyDescent="0.2">
      <c r="A46" s="9"/>
      <c r="B46" s="791" t="s">
        <v>1117</v>
      </c>
      <c r="C46" s="15"/>
      <c r="D46" s="15"/>
      <c r="E46" s="16"/>
      <c r="F46" s="16"/>
      <c r="G46" s="16"/>
      <c r="H46" s="8"/>
      <c r="I46" s="2"/>
      <c r="J46" s="2"/>
    </row>
    <row r="47" spans="1:10" ht="11.25" customHeight="1" x14ac:dyDescent="0.2">
      <c r="A47" s="9"/>
      <c r="B47" s="791" t="s">
        <v>1118</v>
      </c>
      <c r="C47" s="15"/>
      <c r="D47" s="15"/>
      <c r="E47" s="16"/>
      <c r="F47" s="16"/>
      <c r="G47" s="16"/>
      <c r="H47" s="8"/>
      <c r="I47" s="2"/>
      <c r="J47" s="2"/>
    </row>
    <row r="48" spans="1:10" ht="11.25" customHeight="1" x14ac:dyDescent="0.2">
      <c r="A48" s="9"/>
      <c r="B48" s="791" t="s">
        <v>1129</v>
      </c>
      <c r="C48" s="15">
        <f>C49+C50+C51</f>
        <v>11380</v>
      </c>
      <c r="D48" s="15">
        <f>D49+D50+D51</f>
        <v>0</v>
      </c>
      <c r="E48" s="15">
        <f>E49+E50+E51</f>
        <v>1314</v>
      </c>
      <c r="F48" s="15">
        <f>F49+F50+F51</f>
        <v>1314</v>
      </c>
      <c r="G48" s="15">
        <f>G49+G50+G51</f>
        <v>1314</v>
      </c>
      <c r="H48" s="8"/>
      <c r="I48" s="2"/>
      <c r="J48" s="2"/>
    </row>
    <row r="49" spans="1:10" x14ac:dyDescent="0.2">
      <c r="A49" s="9"/>
      <c r="B49" s="825" t="s">
        <v>1119</v>
      </c>
      <c r="C49" s="16">
        <v>0</v>
      </c>
      <c r="D49" s="16">
        <v>0</v>
      </c>
      <c r="E49" s="16">
        <v>1314</v>
      </c>
      <c r="F49" s="16">
        <v>1314</v>
      </c>
      <c r="G49" s="16">
        <v>1314</v>
      </c>
      <c r="H49" s="2"/>
      <c r="I49" s="2"/>
      <c r="J49" s="2"/>
    </row>
    <row r="50" spans="1:10" x14ac:dyDescent="0.2">
      <c r="A50" s="9"/>
      <c r="B50" s="825" t="s">
        <v>1128</v>
      </c>
      <c r="C50" s="16">
        <v>11380</v>
      </c>
      <c r="D50" s="16">
        <f>11380-11380</f>
        <v>0</v>
      </c>
      <c r="E50" s="16"/>
      <c r="F50" s="16"/>
      <c r="G50" s="16"/>
      <c r="H50" s="2"/>
      <c r="I50" s="2"/>
      <c r="J50" s="2"/>
    </row>
    <row r="51" spans="1:10" x14ac:dyDescent="0.2">
      <c r="A51" s="9"/>
      <c r="B51" s="825" t="s">
        <v>1120</v>
      </c>
      <c r="C51" s="16"/>
      <c r="D51" s="16"/>
      <c r="E51" s="16"/>
      <c r="F51" s="16"/>
      <c r="G51" s="16"/>
      <c r="H51" s="2"/>
      <c r="I51" s="2"/>
      <c r="J51" s="2"/>
    </row>
    <row r="52" spans="1:10" x14ac:dyDescent="0.2">
      <c r="A52" s="9"/>
      <c r="B52" s="825" t="s">
        <v>1130</v>
      </c>
      <c r="C52" s="15">
        <f>C53+C54+C55</f>
        <v>25532</v>
      </c>
      <c r="D52" s="15">
        <f>D53+D54+D55</f>
        <v>2532</v>
      </c>
      <c r="E52" s="15">
        <f>E53+E54+E55</f>
        <v>42241</v>
      </c>
      <c r="F52" s="15">
        <f>F53+F54+F55</f>
        <v>42241</v>
      </c>
      <c r="G52" s="15">
        <f>G53+G54+G55</f>
        <v>42241</v>
      </c>
      <c r="H52" s="2"/>
      <c r="I52" s="2"/>
      <c r="J52" s="2"/>
    </row>
    <row r="53" spans="1:10" x14ac:dyDescent="0.2">
      <c r="A53" s="9"/>
      <c r="B53" s="825" t="s">
        <v>1121</v>
      </c>
      <c r="C53" s="16">
        <v>23000</v>
      </c>
      <c r="D53" s="16">
        <f>23000-23000</f>
        <v>0</v>
      </c>
      <c r="E53" s="16">
        <v>0</v>
      </c>
      <c r="F53" s="16">
        <v>0</v>
      </c>
      <c r="G53" s="16">
        <v>0</v>
      </c>
      <c r="H53" s="2"/>
      <c r="I53" s="2"/>
      <c r="J53" s="2"/>
    </row>
    <row r="54" spans="1:10" x14ac:dyDescent="0.2">
      <c r="A54" s="9"/>
      <c r="B54" s="825" t="s">
        <v>1260</v>
      </c>
      <c r="C54" s="16">
        <v>2532</v>
      </c>
      <c r="D54" s="16">
        <v>2532</v>
      </c>
      <c r="E54" s="16">
        <v>42000</v>
      </c>
      <c r="F54" s="16">
        <v>42000</v>
      </c>
      <c r="G54" s="16">
        <v>42000</v>
      </c>
      <c r="H54" s="646"/>
      <c r="I54" s="2"/>
      <c r="J54" s="2"/>
    </row>
    <row r="55" spans="1:10" hidden="1" x14ac:dyDescent="0.2">
      <c r="A55" s="9"/>
      <c r="B55" s="825" t="s">
        <v>1182</v>
      </c>
      <c r="C55" s="16"/>
      <c r="D55" s="16"/>
      <c r="E55" s="16">
        <f>(392-151)</f>
        <v>241</v>
      </c>
      <c r="F55" s="16">
        <f>(392-151)</f>
        <v>241</v>
      </c>
      <c r="G55" s="16">
        <f>(392-151)</f>
        <v>241</v>
      </c>
      <c r="H55" s="646"/>
      <c r="I55" s="2"/>
      <c r="J55" s="2"/>
    </row>
    <row r="56" spans="1:10" ht="13.5" customHeight="1" x14ac:dyDescent="0.2">
      <c r="A56" s="9" t="s">
        <v>221</v>
      </c>
      <c r="B56" s="29" t="s">
        <v>1122</v>
      </c>
      <c r="C56" s="16">
        <v>1227</v>
      </c>
      <c r="D56" s="16">
        <v>1227</v>
      </c>
      <c r="E56" s="16">
        <v>2641</v>
      </c>
      <c r="F56" s="16">
        <v>2641</v>
      </c>
      <c r="G56" s="16">
        <v>2641</v>
      </c>
      <c r="H56" s="181"/>
      <c r="I56" s="2"/>
      <c r="J56" s="2"/>
    </row>
    <row r="57" spans="1:10" ht="15" x14ac:dyDescent="0.25">
      <c r="A57" s="9" t="s">
        <v>176</v>
      </c>
      <c r="B57" s="29" t="s">
        <v>1123</v>
      </c>
      <c r="C57" s="235">
        <f>SUM(C58:C66)</f>
        <v>44039</v>
      </c>
      <c r="D57" s="235">
        <f>SUM(D58:D66)</f>
        <v>51734</v>
      </c>
      <c r="E57" s="235">
        <f>SUM(E58:E66)</f>
        <v>46421</v>
      </c>
      <c r="F57" s="235">
        <f>SUM(F58:F66)</f>
        <v>46421</v>
      </c>
      <c r="G57" s="235">
        <f>SUM(G58:G66)</f>
        <v>46421</v>
      </c>
      <c r="H57" s="181"/>
      <c r="I57" s="2"/>
      <c r="J57" s="2"/>
    </row>
    <row r="58" spans="1:10" x14ac:dyDescent="0.2">
      <c r="A58" s="9" t="s">
        <v>131</v>
      </c>
      <c r="B58" s="25" t="s">
        <v>1124</v>
      </c>
      <c r="C58" s="92">
        <v>0</v>
      </c>
      <c r="D58" s="92">
        <v>7695</v>
      </c>
      <c r="E58" s="92">
        <f>6800+650</f>
        <v>7450</v>
      </c>
      <c r="F58" s="92">
        <f>6800+650</f>
        <v>7450</v>
      </c>
      <c r="G58" s="92">
        <f>6800+650</f>
        <v>7450</v>
      </c>
      <c r="H58" s="646"/>
      <c r="I58" s="2"/>
      <c r="J58" s="2"/>
    </row>
    <row r="59" spans="1:10" x14ac:dyDescent="0.2">
      <c r="A59" s="9" t="s">
        <v>131</v>
      </c>
      <c r="B59" s="9" t="s">
        <v>1142</v>
      </c>
      <c r="C59" s="92">
        <v>29925</v>
      </c>
      <c r="D59" s="92">
        <v>29925</v>
      </c>
      <c r="E59" s="92">
        <v>29927</v>
      </c>
      <c r="F59" s="92">
        <v>29927</v>
      </c>
      <c r="G59" s="92">
        <v>29927</v>
      </c>
      <c r="H59" s="2"/>
      <c r="I59" s="2"/>
      <c r="J59" s="2"/>
    </row>
    <row r="60" spans="1:10" x14ac:dyDescent="0.2">
      <c r="A60" s="9" t="s">
        <v>131</v>
      </c>
      <c r="B60" s="9" t="s">
        <v>1141</v>
      </c>
      <c r="C60" s="92">
        <v>5000</v>
      </c>
      <c r="D60" s="92">
        <v>5000</v>
      </c>
      <c r="E60" s="92">
        <v>8500</v>
      </c>
      <c r="F60" s="92">
        <v>8500</v>
      </c>
      <c r="G60" s="92">
        <v>8500</v>
      </c>
      <c r="H60" s="2"/>
      <c r="I60" s="2"/>
      <c r="J60" s="2"/>
    </row>
    <row r="61" spans="1:10" x14ac:dyDescent="0.2">
      <c r="A61" s="9" t="s">
        <v>131</v>
      </c>
      <c r="B61" s="9" t="s">
        <v>1127</v>
      </c>
      <c r="C61" s="92"/>
      <c r="D61" s="92"/>
      <c r="E61" s="92"/>
      <c r="F61" s="92"/>
      <c r="G61" s="92"/>
      <c r="H61" s="2"/>
      <c r="I61" s="2"/>
      <c r="J61" s="2"/>
    </row>
    <row r="62" spans="1:10" x14ac:dyDescent="0.2">
      <c r="A62" s="9" t="s">
        <v>131</v>
      </c>
      <c r="B62" s="9" t="s">
        <v>1125</v>
      </c>
      <c r="C62" s="92">
        <v>240</v>
      </c>
      <c r="D62" s="92">
        <v>240</v>
      </c>
      <c r="E62" s="92">
        <v>240</v>
      </c>
      <c r="F62" s="92">
        <v>240</v>
      </c>
      <c r="G62" s="92">
        <v>240</v>
      </c>
      <c r="H62" s="2"/>
      <c r="I62" s="2"/>
      <c r="J62" s="2"/>
    </row>
    <row r="63" spans="1:10" x14ac:dyDescent="0.2">
      <c r="A63" s="9" t="s">
        <v>131</v>
      </c>
      <c r="B63" s="9" t="s">
        <v>1126</v>
      </c>
      <c r="C63" s="92"/>
      <c r="D63" s="92"/>
      <c r="E63" s="92"/>
      <c r="F63" s="92"/>
      <c r="G63" s="92"/>
      <c r="H63" s="2"/>
      <c r="I63" s="2"/>
      <c r="J63" s="2"/>
    </row>
    <row r="64" spans="1:10" x14ac:dyDescent="0.2">
      <c r="A64" s="9" t="s">
        <v>131</v>
      </c>
      <c r="B64" s="9" t="s">
        <v>1256</v>
      </c>
      <c r="C64" s="47">
        <v>1749</v>
      </c>
      <c r="D64" s="47">
        <v>1749</v>
      </c>
      <c r="E64" s="47">
        <v>0</v>
      </c>
      <c r="F64" s="47">
        <v>0</v>
      </c>
      <c r="G64" s="47">
        <v>0</v>
      </c>
      <c r="H64" s="193"/>
      <c r="I64" s="2"/>
      <c r="J64" s="2"/>
    </row>
    <row r="65" spans="1:12" x14ac:dyDescent="0.2">
      <c r="A65" s="9" t="s">
        <v>131</v>
      </c>
      <c r="B65" s="9" t="s">
        <v>1195</v>
      </c>
      <c r="C65" s="47">
        <v>7125</v>
      </c>
      <c r="D65" s="47">
        <v>7125</v>
      </c>
      <c r="E65" s="47"/>
      <c r="F65" s="47"/>
      <c r="G65" s="47"/>
      <c r="H65" s="193"/>
      <c r="I65" s="2"/>
      <c r="J65" s="2"/>
    </row>
    <row r="66" spans="1:12" x14ac:dyDescent="0.2">
      <c r="A66" s="9" t="s">
        <v>131</v>
      </c>
      <c r="B66" s="9" t="s">
        <v>1143</v>
      </c>
      <c r="C66" s="47">
        <v>0</v>
      </c>
      <c r="D66" s="47">
        <v>0</v>
      </c>
      <c r="E66" s="47">
        <v>304</v>
      </c>
      <c r="F66" s="47">
        <v>304</v>
      </c>
      <c r="G66" s="47">
        <v>304</v>
      </c>
      <c r="H66" s="193"/>
      <c r="I66" s="2"/>
      <c r="J66" s="2"/>
    </row>
    <row r="67" spans="1:12" ht="18" customHeight="1" x14ac:dyDescent="0.25">
      <c r="A67" s="18" t="s">
        <v>146</v>
      </c>
      <c r="B67" s="30" t="s">
        <v>234</v>
      </c>
      <c r="C67" s="248">
        <f>SUM(C71+C75+C79)</f>
        <v>312000</v>
      </c>
      <c r="D67" s="248">
        <f>SUM(D71+D75+D79)</f>
        <v>312000</v>
      </c>
      <c r="E67" s="186">
        <f>SUM(E71+E75+E79)</f>
        <v>285200</v>
      </c>
      <c r="F67" s="186">
        <f>SUM(F71+F75+F79)</f>
        <v>285200</v>
      </c>
      <c r="G67" s="186">
        <f>SUM(G71+G75+G79)</f>
        <v>285200</v>
      </c>
      <c r="H67" s="812"/>
      <c r="I67" s="2"/>
      <c r="J67" s="2"/>
    </row>
    <row r="68" spans="1:12" ht="13.5" hidden="1" customHeight="1" x14ac:dyDescent="0.2">
      <c r="A68" s="9" t="s">
        <v>147</v>
      </c>
      <c r="B68" s="9" t="s">
        <v>153</v>
      </c>
      <c r="C68" s="173"/>
      <c r="D68" s="173"/>
      <c r="E68" s="234"/>
      <c r="F68" s="234"/>
      <c r="G68" s="234"/>
      <c r="H68" s="812"/>
      <c r="I68" s="2"/>
      <c r="J68" s="2"/>
    </row>
    <row r="69" spans="1:12" ht="13.5" hidden="1" customHeight="1" x14ac:dyDescent="0.2">
      <c r="A69" s="9" t="s">
        <v>148</v>
      </c>
      <c r="B69" s="9" t="s">
        <v>154</v>
      </c>
      <c r="C69" s="173"/>
      <c r="D69" s="173"/>
      <c r="E69" s="234"/>
      <c r="F69" s="234"/>
      <c r="G69" s="234"/>
      <c r="H69" s="812"/>
      <c r="I69" s="2"/>
      <c r="J69" s="2"/>
    </row>
    <row r="70" spans="1:12" ht="13.5" hidden="1" customHeight="1" x14ac:dyDescent="0.2">
      <c r="A70" s="9" t="s">
        <v>149</v>
      </c>
      <c r="B70" s="26" t="s">
        <v>155</v>
      </c>
      <c r="C70" s="173"/>
      <c r="D70" s="173"/>
      <c r="E70" s="234"/>
      <c r="F70" s="234"/>
      <c r="G70" s="234"/>
      <c r="H70" s="812"/>
      <c r="I70" s="2"/>
      <c r="J70" s="2"/>
    </row>
    <row r="71" spans="1:12" ht="13.5" customHeight="1" x14ac:dyDescent="0.2">
      <c r="A71" s="9" t="s">
        <v>150</v>
      </c>
      <c r="B71" s="9" t="s">
        <v>474</v>
      </c>
      <c r="C71" s="185">
        <f>SUM(C72:C74)</f>
        <v>265500</v>
      </c>
      <c r="D71" s="185">
        <f>SUM(D72:D74)</f>
        <v>265500</v>
      </c>
      <c r="E71" s="185">
        <f>SUM(E72:E74)</f>
        <v>220000</v>
      </c>
      <c r="F71" s="185">
        <f>SUM(F72:F74)</f>
        <v>220000</v>
      </c>
      <c r="G71" s="185">
        <f>SUM(G72:G74)</f>
        <v>220000</v>
      </c>
      <c r="H71" s="193"/>
      <c r="I71" s="2"/>
      <c r="J71" s="2"/>
    </row>
    <row r="72" spans="1:12" ht="13.5" customHeight="1" x14ac:dyDescent="0.2">
      <c r="A72" s="9"/>
      <c r="B72" s="282" t="s">
        <v>475</v>
      </c>
      <c r="C72" s="47">
        <f>(225000+10000+10000)</f>
        <v>245000</v>
      </c>
      <c r="D72" s="47">
        <f>(225000+10000+10000)</f>
        <v>245000</v>
      </c>
      <c r="E72" s="47">
        <v>200000</v>
      </c>
      <c r="F72" s="47">
        <v>200000</v>
      </c>
      <c r="G72" s="47">
        <v>200000</v>
      </c>
      <c r="H72" s="8"/>
      <c r="I72" s="2"/>
      <c r="J72" s="2"/>
    </row>
    <row r="73" spans="1:12" ht="13.5" customHeight="1" x14ac:dyDescent="0.2">
      <c r="A73" s="9"/>
      <c r="B73" s="282" t="s">
        <v>815</v>
      </c>
      <c r="C73" s="47">
        <v>9500</v>
      </c>
      <c r="D73" s="47">
        <v>9500</v>
      </c>
      <c r="E73" s="47">
        <v>9500</v>
      </c>
      <c r="F73" s="47">
        <v>9500</v>
      </c>
      <c r="G73" s="47">
        <v>9500</v>
      </c>
      <c r="H73" s="8"/>
      <c r="I73" s="2"/>
      <c r="J73" s="2"/>
    </row>
    <row r="74" spans="1:12" ht="13.5" customHeight="1" x14ac:dyDescent="0.2">
      <c r="A74" s="9"/>
      <c r="B74" s="282" t="s">
        <v>816</v>
      </c>
      <c r="C74" s="47">
        <v>11000</v>
      </c>
      <c r="D74" s="47">
        <v>11000</v>
      </c>
      <c r="E74" s="47">
        <v>10500</v>
      </c>
      <c r="F74" s="47">
        <v>10500</v>
      </c>
      <c r="G74" s="47">
        <v>10500</v>
      </c>
      <c r="H74" s="8"/>
      <c r="I74" s="2"/>
      <c r="J74" s="2"/>
    </row>
    <row r="75" spans="1:12" s="59" customFormat="1" ht="13.5" customHeight="1" x14ac:dyDescent="0.2">
      <c r="A75" s="9" t="s">
        <v>151</v>
      </c>
      <c r="B75" s="9" t="s">
        <v>235</v>
      </c>
      <c r="C75" s="88">
        <f>SUM(C76:C78)</f>
        <v>45000</v>
      </c>
      <c r="D75" s="88">
        <f>SUM(D76:D78)</f>
        <v>45000</v>
      </c>
      <c r="E75" s="88">
        <f>SUM(E76:E78)</f>
        <v>61700</v>
      </c>
      <c r="F75" s="88">
        <f>SUM(F76:F78)</f>
        <v>61700</v>
      </c>
      <c r="G75" s="88">
        <f>SUM(G76:G78)</f>
        <v>61700</v>
      </c>
      <c r="H75" s="8"/>
      <c r="I75" s="2"/>
      <c r="J75" s="2"/>
      <c r="K75"/>
      <c r="L75"/>
    </row>
    <row r="76" spans="1:12" s="59" customFormat="1" ht="13.5" customHeight="1" x14ac:dyDescent="0.2">
      <c r="A76" s="9"/>
      <c r="B76" s="282" t="s">
        <v>236</v>
      </c>
      <c r="C76" s="173">
        <v>45000</v>
      </c>
      <c r="D76" s="173">
        <v>45000</v>
      </c>
      <c r="E76" s="173">
        <f>(30000+30000)</f>
        <v>60000</v>
      </c>
      <c r="F76" s="173">
        <f>(30000+30000)</f>
        <v>60000</v>
      </c>
      <c r="G76" s="173">
        <f>(30000+30000)</f>
        <v>60000</v>
      </c>
      <c r="H76" s="823"/>
      <c r="I76" s="2"/>
      <c r="J76" s="2"/>
      <c r="K76"/>
      <c r="L76"/>
    </row>
    <row r="77" spans="1:12" s="59" customFormat="1" ht="13.5" hidden="1" customHeight="1" x14ac:dyDescent="0.2">
      <c r="A77" s="9"/>
      <c r="B77" s="282" t="s">
        <v>476</v>
      </c>
      <c r="C77" s="173"/>
      <c r="D77" s="173"/>
      <c r="E77" s="173">
        <f>116-116</f>
        <v>0</v>
      </c>
      <c r="F77" s="173">
        <f>116-116</f>
        <v>0</v>
      </c>
      <c r="G77" s="173">
        <f>116-116</f>
        <v>0</v>
      </c>
      <c r="H77" s="646"/>
      <c r="I77" s="2"/>
      <c r="J77" s="2"/>
      <c r="K77"/>
      <c r="L77"/>
    </row>
    <row r="78" spans="1:12" s="59" customFormat="1" ht="13.5" customHeight="1" x14ac:dyDescent="0.2">
      <c r="A78" s="9"/>
      <c r="B78" s="282" t="s">
        <v>1186</v>
      </c>
      <c r="C78" s="173"/>
      <c r="D78" s="173"/>
      <c r="E78" s="173">
        <v>1700</v>
      </c>
      <c r="F78" s="173">
        <v>1700</v>
      </c>
      <c r="G78" s="173">
        <v>1700</v>
      </c>
      <c r="H78" s="824"/>
      <c r="I78" s="2"/>
      <c r="J78" s="2"/>
      <c r="K78"/>
      <c r="L78"/>
    </row>
    <row r="79" spans="1:12" s="59" customFormat="1" ht="13.5" customHeight="1" x14ac:dyDescent="0.2">
      <c r="A79" s="9" t="s">
        <v>152</v>
      </c>
      <c r="B79" s="9" t="s">
        <v>343</v>
      </c>
      <c r="C79" s="88">
        <v>1500</v>
      </c>
      <c r="D79" s="88">
        <v>1500</v>
      </c>
      <c r="E79" s="88">
        <v>3500</v>
      </c>
      <c r="F79" s="88">
        <v>3500</v>
      </c>
      <c r="G79" s="88">
        <v>3500</v>
      </c>
      <c r="H79" s="646"/>
      <c r="I79" s="2"/>
      <c r="J79" s="2"/>
      <c r="K79"/>
      <c r="L79"/>
    </row>
    <row r="80" spans="1:12" s="59" customFormat="1" ht="18" customHeight="1" x14ac:dyDescent="0.25">
      <c r="A80" s="18" t="s">
        <v>157</v>
      </c>
      <c r="B80" s="30" t="s">
        <v>237</v>
      </c>
      <c r="C80" s="632">
        <f>SUM(C81:C91)</f>
        <v>38528</v>
      </c>
      <c r="D80" s="632">
        <f>SUM(D81:D91)</f>
        <v>39270</v>
      </c>
      <c r="E80" s="632">
        <f>SUM(E81:E91)</f>
        <v>64720</v>
      </c>
      <c r="F80" s="632">
        <f>SUM(F81:F91)</f>
        <v>64720</v>
      </c>
      <c r="G80" s="632">
        <f>SUM(G81:G91)</f>
        <v>64720</v>
      </c>
      <c r="H80" s="646"/>
      <c r="I80" s="2"/>
      <c r="J80" s="2"/>
      <c r="K80"/>
      <c r="L80"/>
    </row>
    <row r="81" spans="1:12" x14ac:dyDescent="0.2">
      <c r="A81" s="9" t="s">
        <v>160</v>
      </c>
      <c r="B81" s="9" t="s">
        <v>238</v>
      </c>
      <c r="C81" s="16"/>
      <c r="D81" s="16"/>
      <c r="E81" s="16"/>
      <c r="F81" s="16"/>
      <c r="G81" s="16"/>
      <c r="H81" s="646"/>
      <c r="I81" s="2"/>
      <c r="J81" s="2"/>
    </row>
    <row r="82" spans="1:12" s="59" customFormat="1" x14ac:dyDescent="0.2">
      <c r="A82" s="9" t="s">
        <v>161</v>
      </c>
      <c r="B82" s="9" t="s">
        <v>239</v>
      </c>
      <c r="C82" s="16"/>
      <c r="D82" s="16"/>
      <c r="E82" s="16"/>
      <c r="F82" s="16"/>
      <c r="G82" s="16"/>
      <c r="H82" s="646"/>
      <c r="I82" s="2"/>
      <c r="J82" s="2"/>
      <c r="K82"/>
      <c r="L82"/>
    </row>
    <row r="83" spans="1:12" s="59" customFormat="1" ht="13.5" customHeight="1" x14ac:dyDescent="0.2">
      <c r="A83" s="9" t="s">
        <v>162</v>
      </c>
      <c r="B83" s="9" t="s">
        <v>240</v>
      </c>
      <c r="C83" s="16">
        <v>1500</v>
      </c>
      <c r="D83" s="16">
        <v>1500</v>
      </c>
      <c r="E83" s="16">
        <v>1500</v>
      </c>
      <c r="F83" s="16">
        <v>1500</v>
      </c>
      <c r="G83" s="16">
        <v>1500</v>
      </c>
      <c r="H83" s="646"/>
      <c r="I83" s="2"/>
      <c r="J83" s="2"/>
      <c r="K83"/>
      <c r="L83"/>
    </row>
    <row r="84" spans="1:12" ht="13.5" customHeight="1" x14ac:dyDescent="0.2">
      <c r="A84" s="9" t="s">
        <v>163</v>
      </c>
      <c r="B84" s="26" t="s">
        <v>241</v>
      </c>
      <c r="C84" s="16">
        <v>22000</v>
      </c>
      <c r="D84" s="16">
        <v>22000</v>
      </c>
      <c r="E84" s="16">
        <f>7000+13000</f>
        <v>20000</v>
      </c>
      <c r="F84" s="16">
        <f>7000+13000</f>
        <v>20000</v>
      </c>
      <c r="G84" s="16">
        <f>7000+13000</f>
        <v>20000</v>
      </c>
      <c r="H84" s="646"/>
      <c r="I84" s="2"/>
      <c r="J84" s="2"/>
    </row>
    <row r="85" spans="1:12" ht="13.5" customHeight="1" x14ac:dyDescent="0.2">
      <c r="A85" s="9" t="s">
        <v>164</v>
      </c>
      <c r="B85" s="26" t="s">
        <v>242</v>
      </c>
      <c r="C85" s="16">
        <v>9000</v>
      </c>
      <c r="D85" s="16">
        <v>9000</v>
      </c>
      <c r="E85" s="16">
        <v>9000</v>
      </c>
      <c r="F85" s="16">
        <v>9000</v>
      </c>
      <c r="G85" s="16">
        <v>9000</v>
      </c>
      <c r="H85" s="2"/>
      <c r="I85" s="2"/>
      <c r="J85" s="2"/>
    </row>
    <row r="86" spans="1:12" x14ac:dyDescent="0.2">
      <c r="A86" s="9" t="s">
        <v>168</v>
      </c>
      <c r="B86" s="26" t="s">
        <v>243</v>
      </c>
      <c r="C86" s="16">
        <v>2000</v>
      </c>
      <c r="D86" s="16">
        <v>2000</v>
      </c>
      <c r="E86" s="16">
        <f>(2000+500)</f>
        <v>2500</v>
      </c>
      <c r="F86" s="16">
        <f>(2000+500)</f>
        <v>2500</v>
      </c>
      <c r="G86" s="16">
        <f>(2000+500)</f>
        <v>2500</v>
      </c>
      <c r="H86" s="2"/>
      <c r="I86" s="2"/>
      <c r="J86" s="2"/>
    </row>
    <row r="87" spans="1:12" hidden="1" x14ac:dyDescent="0.2">
      <c r="A87" s="9" t="s">
        <v>170</v>
      </c>
      <c r="B87" s="26" t="s">
        <v>244</v>
      </c>
      <c r="C87" s="16"/>
      <c r="D87" s="16"/>
      <c r="E87" s="16"/>
      <c r="F87" s="16"/>
      <c r="G87" s="16"/>
      <c r="H87" s="2"/>
      <c r="I87" s="2"/>
      <c r="J87" s="2"/>
    </row>
    <row r="88" spans="1:12" x14ac:dyDescent="0.2">
      <c r="A88" s="9" t="s">
        <v>172</v>
      </c>
      <c r="B88" s="26" t="s">
        <v>245</v>
      </c>
      <c r="C88" s="16">
        <v>28</v>
      </c>
      <c r="D88" s="16">
        <f>27+(1+2)</f>
        <v>30</v>
      </c>
      <c r="E88" s="16">
        <v>30</v>
      </c>
      <c r="F88" s="16">
        <v>30</v>
      </c>
      <c r="G88" s="16">
        <v>30</v>
      </c>
      <c r="H88" s="2"/>
      <c r="I88" s="2"/>
      <c r="J88" s="2"/>
    </row>
    <row r="89" spans="1:12" hidden="1" x14ac:dyDescent="0.2">
      <c r="A89" s="9" t="s">
        <v>174</v>
      </c>
      <c r="B89" s="26" t="s">
        <v>246</v>
      </c>
      <c r="C89" s="16"/>
      <c r="D89" s="16"/>
      <c r="E89" s="16"/>
      <c r="F89" s="16"/>
      <c r="G89" s="16"/>
      <c r="H89" s="2"/>
      <c r="I89" s="2"/>
      <c r="J89" s="2"/>
    </row>
    <row r="90" spans="1:12" x14ac:dyDescent="0.2">
      <c r="A90" s="9" t="s">
        <v>180</v>
      </c>
      <c r="B90" s="26" t="s">
        <v>413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2"/>
      <c r="I90" s="2"/>
      <c r="J90" s="2"/>
    </row>
    <row r="91" spans="1:12" x14ac:dyDescent="0.2">
      <c r="A91" s="9" t="s">
        <v>407</v>
      </c>
      <c r="B91" s="137" t="s">
        <v>465</v>
      </c>
      <c r="C91" s="16">
        <v>4000</v>
      </c>
      <c r="D91" s="16">
        <f>(3981+570)+(19+167+3)</f>
        <v>4740</v>
      </c>
      <c r="E91" s="16">
        <f>(4000+542+27148)</f>
        <v>31690</v>
      </c>
      <c r="F91" s="16">
        <f>(4000+542+27148)</f>
        <v>31690</v>
      </c>
      <c r="G91" s="16">
        <f>(4000+542+27148)</f>
        <v>31690</v>
      </c>
      <c r="H91" s="8"/>
      <c r="I91" s="2"/>
      <c r="J91" s="2"/>
    </row>
    <row r="92" spans="1:12" ht="15.75" x14ac:dyDescent="0.25">
      <c r="A92" s="18" t="s">
        <v>195</v>
      </c>
      <c r="B92" s="30" t="s">
        <v>247</v>
      </c>
      <c r="C92" s="632">
        <f>SUM(C96)</f>
        <v>17000</v>
      </c>
      <c r="D92" s="632">
        <f>SUM(D96)+D97</f>
        <v>22120</v>
      </c>
      <c r="E92" s="52">
        <f>SUM(E96)</f>
        <v>14169</v>
      </c>
      <c r="F92" s="52">
        <f>SUM(F96)</f>
        <v>14169</v>
      </c>
      <c r="G92" s="52">
        <f>SUM(G96)</f>
        <v>14169</v>
      </c>
      <c r="H92" s="2"/>
      <c r="I92" s="2"/>
      <c r="J92" s="2"/>
    </row>
    <row r="93" spans="1:12" hidden="1" x14ac:dyDescent="0.2">
      <c r="A93" s="9" t="s">
        <v>201</v>
      </c>
      <c r="B93" s="26" t="s">
        <v>248</v>
      </c>
      <c r="C93" s="19"/>
      <c r="D93" s="19"/>
      <c r="E93" s="13"/>
      <c r="F93" s="13"/>
      <c r="G93" s="13"/>
      <c r="H93" s="2"/>
      <c r="I93" s="2"/>
      <c r="J93" s="2"/>
    </row>
    <row r="94" spans="1:12" hidden="1" x14ac:dyDescent="0.2">
      <c r="A94" s="9" t="s">
        <v>202</v>
      </c>
      <c r="B94" s="26" t="s">
        <v>249</v>
      </c>
      <c r="C94" s="19"/>
      <c r="D94" s="19"/>
      <c r="E94" s="13"/>
      <c r="F94" s="13"/>
      <c r="G94" s="13"/>
      <c r="H94" s="2"/>
      <c r="I94" s="2"/>
      <c r="J94" s="2"/>
    </row>
    <row r="95" spans="1:12" hidden="1" x14ac:dyDescent="0.2">
      <c r="A95" s="9" t="s">
        <v>203</v>
      </c>
      <c r="B95" s="26" t="s">
        <v>250</v>
      </c>
      <c r="C95" s="15"/>
      <c r="D95" s="15"/>
      <c r="E95" s="6"/>
      <c r="F95" s="6"/>
      <c r="G95" s="6"/>
      <c r="H95" s="2"/>
      <c r="I95" s="2"/>
      <c r="J95" s="2"/>
    </row>
    <row r="96" spans="1:12" x14ac:dyDescent="0.2">
      <c r="A96" s="9" t="s">
        <v>414</v>
      </c>
      <c r="B96" s="9" t="s">
        <v>1252</v>
      </c>
      <c r="C96" s="16">
        <v>17000</v>
      </c>
      <c r="D96" s="16">
        <v>17000</v>
      </c>
      <c r="E96" s="17">
        <v>14169</v>
      </c>
      <c r="F96" s="17">
        <v>14169</v>
      </c>
      <c r="G96" s="17">
        <v>14169</v>
      </c>
      <c r="H96" s="2"/>
      <c r="I96" s="2"/>
      <c r="J96" s="2"/>
    </row>
    <row r="97" spans="1:10" x14ac:dyDescent="0.2">
      <c r="A97" s="9"/>
      <c r="B97" s="9" t="s">
        <v>1326</v>
      </c>
      <c r="C97" s="16">
        <v>0</v>
      </c>
      <c r="D97" s="16">
        <f>2000+120+3000</f>
        <v>5120</v>
      </c>
      <c r="E97" s="17"/>
      <c r="F97" s="17"/>
      <c r="G97" s="17"/>
      <c r="H97" s="2"/>
      <c r="I97" s="2"/>
      <c r="J97" s="2"/>
    </row>
    <row r="98" spans="1:10" ht="18" customHeight="1" x14ac:dyDescent="0.25">
      <c r="A98" s="32" t="s">
        <v>197</v>
      </c>
      <c r="B98" s="204" t="s">
        <v>361</v>
      </c>
      <c r="C98" s="632">
        <f>SUM(C99)</f>
        <v>270035</v>
      </c>
      <c r="D98" s="632">
        <f>SUM(D99)</f>
        <v>270035</v>
      </c>
      <c r="E98" s="52">
        <f>SUM(E99)</f>
        <v>127532</v>
      </c>
      <c r="F98" s="52">
        <f>SUM(F99)</f>
        <v>127532</v>
      </c>
      <c r="G98" s="52">
        <f>SUM(G99)</f>
        <v>127532</v>
      </c>
      <c r="H98" s="2"/>
      <c r="I98" s="2"/>
      <c r="J98" s="2"/>
    </row>
    <row r="99" spans="1:10" ht="13.5" customHeight="1" x14ac:dyDescent="0.25">
      <c r="A99" s="32"/>
      <c r="B99" s="30" t="str">
        <f>'1.Bev-kiad.'!B54</f>
        <v xml:space="preserve">   1. Belföldi finanszírozás bevételei</v>
      </c>
      <c r="C99" s="631">
        <f>SUM(C100+C105)</f>
        <v>270035</v>
      </c>
      <c r="D99" s="631">
        <f>SUM(D100+D105)</f>
        <v>270035</v>
      </c>
      <c r="E99" s="187">
        <f>SUM(E100+E105)</f>
        <v>127532</v>
      </c>
      <c r="F99" s="187">
        <f>SUM(F100+F105)</f>
        <v>127532</v>
      </c>
      <c r="G99" s="187">
        <f>SUM(G100+G105)</f>
        <v>127532</v>
      </c>
      <c r="H99" s="2"/>
      <c r="I99" s="2"/>
      <c r="J99" s="2"/>
    </row>
    <row r="100" spans="1:10" x14ac:dyDescent="0.2">
      <c r="A100" s="32"/>
      <c r="B100" s="39" t="str">
        <f>'1.Bev-kiad.'!B55</f>
        <v xml:space="preserve">        1.1. Előző év költségvetési maradványának igénybevétele</v>
      </c>
      <c r="C100" s="16">
        <f>(252154+17881)</f>
        <v>270035</v>
      </c>
      <c r="D100" s="16">
        <f>(252154+17881)</f>
        <v>270035</v>
      </c>
      <c r="E100" s="16">
        <v>127532</v>
      </c>
      <c r="F100" s="16">
        <v>127532</v>
      </c>
      <c r="G100" s="16">
        <v>127532</v>
      </c>
      <c r="H100" s="2"/>
      <c r="I100" s="2"/>
      <c r="J100" s="2"/>
    </row>
    <row r="101" spans="1:10" hidden="1" x14ac:dyDescent="0.2">
      <c r="A101" s="32"/>
      <c r="B101" s="169" t="s">
        <v>900</v>
      </c>
      <c r="C101" s="16">
        <f>(381956+18883+19378+10058+5652-'3.felh'!C32+4167-34702+40056)</f>
        <v>293336</v>
      </c>
      <c r="D101" s="16">
        <f>(381956+18883+19378+10058+5652-'3.felh'!D32+4167-34702+40056)</f>
        <v>293336</v>
      </c>
      <c r="E101" s="16"/>
      <c r="F101" s="16"/>
      <c r="G101" s="16"/>
      <c r="H101" s="2"/>
      <c r="I101" s="2"/>
      <c r="J101" s="2"/>
    </row>
    <row r="102" spans="1:10" hidden="1" x14ac:dyDescent="0.2">
      <c r="A102" s="32"/>
      <c r="B102" s="169"/>
      <c r="C102" s="16"/>
      <c r="D102" s="16"/>
      <c r="E102" s="16"/>
      <c r="F102" s="16"/>
      <c r="G102" s="16"/>
      <c r="H102" s="2"/>
      <c r="I102" s="2"/>
      <c r="J102" s="2"/>
    </row>
    <row r="103" spans="1:10" hidden="1" x14ac:dyDescent="0.2">
      <c r="A103" s="32"/>
      <c r="B103" s="169" t="s">
        <v>897</v>
      </c>
      <c r="C103" s="16"/>
      <c r="D103" s="16"/>
      <c r="E103" s="16"/>
      <c r="F103" s="16"/>
      <c r="G103" s="16"/>
      <c r="H103" s="2"/>
      <c r="I103" s="2"/>
      <c r="J103" s="2"/>
    </row>
    <row r="104" spans="1:10" hidden="1" x14ac:dyDescent="0.2">
      <c r="A104" s="32"/>
      <c r="B104" s="169" t="s">
        <v>895</v>
      </c>
      <c r="C104" s="16">
        <f>(32623-4167)</f>
        <v>28456</v>
      </c>
      <c r="D104" s="16">
        <f>(32623-4167)</f>
        <v>28456</v>
      </c>
      <c r="E104" s="16"/>
      <c r="F104" s="16"/>
      <c r="G104" s="16"/>
      <c r="H104" s="2"/>
      <c r="I104" s="2"/>
      <c r="J104" s="2"/>
    </row>
    <row r="105" spans="1:10" ht="13.5" customHeight="1" x14ac:dyDescent="0.2">
      <c r="A105" s="32"/>
      <c r="B105" s="169" t="s">
        <v>529</v>
      </c>
      <c r="C105" s="16"/>
      <c r="D105" s="16"/>
      <c r="E105" s="16">
        <v>0</v>
      </c>
      <c r="F105" s="16">
        <v>0</v>
      </c>
      <c r="G105" s="16">
        <v>0</v>
      </c>
      <c r="H105" s="8"/>
      <c r="I105" s="2"/>
      <c r="J105" s="2"/>
    </row>
    <row r="106" spans="1:10" ht="13.5" customHeight="1" x14ac:dyDescent="0.25">
      <c r="A106" s="32"/>
      <c r="B106" s="30" t="s">
        <v>454</v>
      </c>
      <c r="C106" s="631"/>
      <c r="D106" s="631"/>
      <c r="E106" s="187"/>
      <c r="F106" s="187"/>
      <c r="G106" s="187"/>
      <c r="H106" s="2"/>
      <c r="I106" s="2"/>
      <c r="J106" s="2"/>
    </row>
    <row r="107" spans="1:10" ht="13.5" customHeight="1" thickBot="1" x14ac:dyDescent="0.3">
      <c r="A107" s="286"/>
      <c r="B107" s="14" t="s">
        <v>254</v>
      </c>
      <c r="C107" s="826"/>
      <c r="D107" s="267"/>
      <c r="E107" s="267"/>
      <c r="F107" s="267"/>
      <c r="G107" s="267"/>
      <c r="H107" s="2"/>
      <c r="I107" s="2"/>
      <c r="J107" s="2"/>
    </row>
    <row r="108" spans="1:10" ht="19.5" customHeight="1" thickBot="1" x14ac:dyDescent="0.4">
      <c r="A108" s="268"/>
      <c r="B108" s="269" t="s">
        <v>399</v>
      </c>
      <c r="C108" s="212">
        <f>SUM(C7+C98)</f>
        <v>1094651</v>
      </c>
      <c r="D108" s="212">
        <f>SUM(D7+D98)</f>
        <v>1111983</v>
      </c>
      <c r="E108" s="212" t="e">
        <f>SUM(E7+E98)</f>
        <v>#REF!</v>
      </c>
      <c r="F108" s="212" t="e">
        <f>SUM(F7+F98)</f>
        <v>#REF!</v>
      </c>
      <c r="G108" s="212" t="e">
        <f>SUM(G7+G98)</f>
        <v>#REF!</v>
      </c>
      <c r="H108" s="8"/>
      <c r="I108" s="2"/>
      <c r="J108" s="2"/>
    </row>
    <row r="109" spans="1:10" ht="18" customHeight="1" x14ac:dyDescent="0.25">
      <c r="A109" s="170" t="s">
        <v>374</v>
      </c>
      <c r="B109" s="279" t="s">
        <v>371</v>
      </c>
      <c r="C109" s="225">
        <f>SUM(C110+C113+C116+C119+C120)</f>
        <v>1000160</v>
      </c>
      <c r="D109" s="225">
        <f>SUM(D110+D113+D116+D119+D120)</f>
        <v>1017492</v>
      </c>
      <c r="E109" s="225" t="e">
        <f>SUM(E110+E113+E116+E119+E120)</f>
        <v>#REF!</v>
      </c>
      <c r="F109" s="225">
        <f>SUM(F110+F113+F116+F119+F120)</f>
        <v>1001319</v>
      </c>
      <c r="G109" s="225">
        <f>SUM(G110+G113+G116+G119+G120)</f>
        <v>1001319</v>
      </c>
      <c r="H109" s="666"/>
      <c r="I109" s="2"/>
      <c r="J109" s="2"/>
    </row>
    <row r="110" spans="1:10" ht="18" customHeight="1" x14ac:dyDescent="0.25">
      <c r="A110" s="18" t="s">
        <v>222</v>
      </c>
      <c r="B110" s="229" t="s">
        <v>251</v>
      </c>
      <c r="C110" s="226">
        <f>SUM(C111:C112)</f>
        <v>214835</v>
      </c>
      <c r="D110" s="226">
        <f>SUM(D111:D112)</f>
        <v>221127</v>
      </c>
      <c r="E110" s="226">
        <f>SUM(E111:E112)</f>
        <v>201757</v>
      </c>
      <c r="F110" s="226">
        <f>SUM(F111:F112)</f>
        <v>201757</v>
      </c>
      <c r="G110" s="226">
        <f>SUM(G111:G112)</f>
        <v>201757</v>
      </c>
      <c r="H110" s="795"/>
      <c r="I110" s="2"/>
      <c r="J110" s="2"/>
    </row>
    <row r="111" spans="1:10" ht="13.5" customHeight="1" x14ac:dyDescent="0.2">
      <c r="A111" s="18"/>
      <c r="B111" s="284" t="s">
        <v>432</v>
      </c>
      <c r="C111" s="283">
        <f>SUM('8.Önk.'!BA23)</f>
        <v>39528</v>
      </c>
      <c r="D111" s="283">
        <f>SUM('8.Önk.'!BB23)</f>
        <v>40264</v>
      </c>
      <c r="E111" s="283">
        <f>SUM('8.Önk.'!BC23)</f>
        <v>34475</v>
      </c>
      <c r="F111" s="283">
        <f>SUM('8.Önk.'!BD23)</f>
        <v>34475</v>
      </c>
      <c r="G111" s="283">
        <f>SUM('8.Önk.'!BE23)</f>
        <v>34475</v>
      </c>
      <c r="H111" s="8"/>
      <c r="I111" s="2"/>
      <c r="J111" s="2"/>
    </row>
    <row r="112" spans="1:10" ht="13.5" customHeight="1" x14ac:dyDescent="0.2">
      <c r="A112" s="18"/>
      <c r="B112" s="284" t="s">
        <v>479</v>
      </c>
      <c r="C112" s="283">
        <f>SUM('9.Hivatal'!R20)</f>
        <v>175307</v>
      </c>
      <c r="D112" s="283">
        <f>SUM('9.Hivatal'!S20)</f>
        <v>180863</v>
      </c>
      <c r="E112" s="283">
        <f>SUM('9.Hivatal'!T20)</f>
        <v>167282</v>
      </c>
      <c r="F112" s="283">
        <f>SUM('9.Hivatal'!U20)</f>
        <v>167282</v>
      </c>
      <c r="G112" s="283">
        <f>SUM('9.Hivatal'!V20)</f>
        <v>167282</v>
      </c>
      <c r="H112" s="8"/>
      <c r="I112" s="2"/>
      <c r="J112" s="2"/>
    </row>
    <row r="113" spans="1:12" ht="18" customHeight="1" x14ac:dyDescent="0.25">
      <c r="A113" s="18" t="s">
        <v>223</v>
      </c>
      <c r="B113" s="30" t="s">
        <v>252</v>
      </c>
      <c r="C113" s="226">
        <f>SUM(C114:C115)</f>
        <v>33198</v>
      </c>
      <c r="D113" s="226">
        <f>SUM(D114:D115)</f>
        <v>34088</v>
      </c>
      <c r="E113" s="226">
        <f>SUM(E114:E115)</f>
        <v>35075</v>
      </c>
      <c r="F113" s="226">
        <f>SUM(F114:F115)</f>
        <v>35075</v>
      </c>
      <c r="G113" s="226">
        <f>SUM(G114:G115)</f>
        <v>35075</v>
      </c>
      <c r="H113" s="8"/>
      <c r="I113" s="2"/>
      <c r="J113" s="2"/>
    </row>
    <row r="114" spans="1:12" ht="13.5" customHeight="1" x14ac:dyDescent="0.2">
      <c r="A114" s="18"/>
      <c r="B114" s="285" t="s">
        <v>433</v>
      </c>
      <c r="C114" s="283">
        <f>SUM('8.Önk.'!BA27)</f>
        <v>6357</v>
      </c>
      <c r="D114" s="283">
        <f>SUM('8.Önk.'!BB27)</f>
        <v>6452</v>
      </c>
      <c r="E114" s="283">
        <f>SUM('8.Önk.'!BC27)</f>
        <v>6069</v>
      </c>
      <c r="F114" s="283">
        <f>SUM('8.Önk.'!BD27)</f>
        <v>6069</v>
      </c>
      <c r="G114" s="283">
        <f>SUM('8.Önk.'!BE27)</f>
        <v>6069</v>
      </c>
      <c r="H114" s="8"/>
      <c r="I114" s="2"/>
      <c r="J114" s="2"/>
    </row>
    <row r="115" spans="1:12" ht="13.5" customHeight="1" x14ac:dyDescent="0.2">
      <c r="A115" s="18"/>
      <c r="B115" s="285" t="s">
        <v>478</v>
      </c>
      <c r="C115" s="283">
        <f>SUM('9.Hivatal'!R23)</f>
        <v>26841</v>
      </c>
      <c r="D115" s="283">
        <f>SUM('9.Hivatal'!S23)</f>
        <v>27636</v>
      </c>
      <c r="E115" s="283">
        <f>SUM('9.Hivatal'!T23)</f>
        <v>29006</v>
      </c>
      <c r="F115" s="283">
        <f>SUM('9.Hivatal'!U23)</f>
        <v>29006</v>
      </c>
      <c r="G115" s="283">
        <f>SUM('9.Hivatal'!V23)</f>
        <v>29006</v>
      </c>
      <c r="H115" s="8"/>
      <c r="I115" s="2"/>
      <c r="J115" s="2"/>
    </row>
    <row r="116" spans="1:12" ht="18" customHeight="1" x14ac:dyDescent="0.25">
      <c r="A116" s="18" t="s">
        <v>224</v>
      </c>
      <c r="B116" s="30" t="s">
        <v>253</v>
      </c>
      <c r="C116" s="44">
        <f>SUM(C117:C118)</f>
        <v>327528</v>
      </c>
      <c r="D116" s="44">
        <f>SUM(D117:D118)</f>
        <v>352483</v>
      </c>
      <c r="E116" s="44" t="e">
        <f>SUM(E117:E118)</f>
        <v>#REF!</v>
      </c>
      <c r="F116" s="44">
        <f>SUM(F117:F118)</f>
        <v>295719</v>
      </c>
      <c r="G116" s="44">
        <f>SUM(G117:G118)</f>
        <v>295719</v>
      </c>
      <c r="H116" s="8"/>
      <c r="I116" s="2"/>
      <c r="J116" s="2"/>
    </row>
    <row r="117" spans="1:12" s="231" customFormat="1" ht="13.5" customHeight="1" x14ac:dyDescent="0.2">
      <c r="A117" s="9"/>
      <c r="B117" s="285" t="s">
        <v>433</v>
      </c>
      <c r="C117" s="209">
        <f>SUM('8.Önk.'!BA92)</f>
        <v>303726</v>
      </c>
      <c r="D117" s="209">
        <f>SUM('8.Önk.'!BB92)</f>
        <v>327886</v>
      </c>
      <c r="E117" s="209" t="e">
        <f>SUM('8.Önk.'!BC92)</f>
        <v>#REF!</v>
      </c>
      <c r="F117" s="209">
        <f>SUM('8.Önk.'!BD92)</f>
        <v>269268</v>
      </c>
      <c r="G117" s="209">
        <f>SUM('8.Önk.'!BE92)</f>
        <v>269268</v>
      </c>
      <c r="H117" s="8"/>
      <c r="I117" s="2"/>
      <c r="J117" s="2"/>
      <c r="K117"/>
      <c r="L117"/>
    </row>
    <row r="118" spans="1:12" s="231" customFormat="1" ht="13.5" customHeight="1" x14ac:dyDescent="0.2">
      <c r="A118" s="9"/>
      <c r="B118" s="285" t="s">
        <v>477</v>
      </c>
      <c r="C118" s="209">
        <f>SUM('9.Hivatal'!R71)</f>
        <v>23802</v>
      </c>
      <c r="D118" s="209">
        <f>SUM('9.Hivatal'!S71)</f>
        <v>24597</v>
      </c>
      <c r="E118" s="209">
        <f>SUM('9.Hivatal'!T71)</f>
        <v>26451</v>
      </c>
      <c r="F118" s="209">
        <f>SUM('9.Hivatal'!U71)</f>
        <v>26451</v>
      </c>
      <c r="G118" s="209">
        <f>SUM('9.Hivatal'!V71)</f>
        <v>26451</v>
      </c>
      <c r="H118" s="8"/>
      <c r="I118" s="2"/>
      <c r="J118" s="2"/>
      <c r="K118"/>
      <c r="L118"/>
    </row>
    <row r="119" spans="1:12" ht="18" customHeight="1" x14ac:dyDescent="0.25">
      <c r="A119" s="18" t="s">
        <v>225</v>
      </c>
      <c r="B119" s="30" t="s">
        <v>466</v>
      </c>
      <c r="C119" s="44">
        <f>SUM('8.Önk.'!BA93)</f>
        <v>9300</v>
      </c>
      <c r="D119" s="44">
        <f>SUM('8.Önk.'!BB93)</f>
        <v>9300</v>
      </c>
      <c r="E119" s="44">
        <f>SUM('8.Önk.'!BC93)</f>
        <v>9300</v>
      </c>
      <c r="F119" s="44">
        <f>SUM('8.Önk.'!BD93)</f>
        <v>9300</v>
      </c>
      <c r="G119" s="44">
        <f>SUM('8.Önk.'!BE93)</f>
        <v>9300</v>
      </c>
      <c r="H119" s="8"/>
      <c r="I119" s="2"/>
      <c r="J119" s="2"/>
    </row>
    <row r="120" spans="1:12" ht="18" customHeight="1" x14ac:dyDescent="0.25">
      <c r="A120" s="18" t="s">
        <v>226</v>
      </c>
      <c r="B120" s="30" t="s">
        <v>351</v>
      </c>
      <c r="C120" s="44">
        <f>SUM(C121:C122)</f>
        <v>415299</v>
      </c>
      <c r="D120" s="44">
        <f>SUM(D121:D122)</f>
        <v>400494</v>
      </c>
      <c r="E120" s="44">
        <f>SUM(E121:E122)</f>
        <v>459468</v>
      </c>
      <c r="F120" s="44">
        <f>SUM(F121:F122)</f>
        <v>459468</v>
      </c>
      <c r="G120" s="44">
        <f>SUM(G121:G122)</f>
        <v>459468</v>
      </c>
      <c r="H120" s="8"/>
      <c r="I120" s="2"/>
      <c r="J120" s="2"/>
    </row>
    <row r="121" spans="1:12" ht="15" customHeight="1" thickBot="1" x14ac:dyDescent="0.25">
      <c r="A121" s="18"/>
      <c r="B121" s="9" t="s">
        <v>1139</v>
      </c>
      <c r="C121" s="202">
        <f>SUM('4. Átadott p.eszk.'!B76)</f>
        <v>385336</v>
      </c>
      <c r="D121" s="202">
        <f>SUM('4. Átadott p.eszk.'!C76)</f>
        <v>388888</v>
      </c>
      <c r="E121" s="202">
        <f>SUM('4. Átadott p.eszk.'!D76)</f>
        <v>346152</v>
      </c>
      <c r="F121" s="202">
        <f>SUM('4. Átadott p.eszk.'!E76)</f>
        <v>346152</v>
      </c>
      <c r="G121" s="202">
        <f>SUM('4. Átadott p.eszk.'!F76)</f>
        <v>346152</v>
      </c>
      <c r="H121" s="8"/>
      <c r="I121" s="2"/>
      <c r="J121" s="2"/>
    </row>
    <row r="122" spans="1:12" ht="15" customHeight="1" thickBot="1" x14ac:dyDescent="0.25">
      <c r="A122" s="18"/>
      <c r="B122" s="25" t="s">
        <v>352</v>
      </c>
      <c r="C122" s="671">
        <f>(40000+7125+1227-5130-242-12-15000+2000+1749+3145-4897-2)</f>
        <v>29963</v>
      </c>
      <c r="D122" s="671">
        <f>(40000+7125+1227-5130-242-12-15000+2000+1749+3145-4897-2)-12465+6984-3000-2000-930-2440-329-612-790+3000-5775</f>
        <v>11606</v>
      </c>
      <c r="E122" s="671">
        <f>(48179-4481-50)-1016-1000-626-88-27093+42000+5796-2641-116+31700+13000-9250-3038-947-3600-250-3-3160+30000</f>
        <v>113316</v>
      </c>
      <c r="F122" s="671">
        <f>(48179-4481-50)-1016-1000-626-88-27093+42000+5796-2641-116+31700+13000-9250-3038-947-3600-250-3-3160+30000</f>
        <v>113316</v>
      </c>
      <c r="G122" s="671">
        <f>(48179-4481-50)-1016-1000-626-88-27093+42000+5796-2641-116+31700+13000-9250-3038-947-3600-250-3-3160+30000</f>
        <v>113316</v>
      </c>
      <c r="H122" s="8">
        <f>D122-C122</f>
        <v>-18357</v>
      </c>
      <c r="I122" s="2"/>
      <c r="J122" s="2"/>
    </row>
    <row r="123" spans="1:12" x14ac:dyDescent="0.2">
      <c r="A123" s="18"/>
      <c r="B123" s="175" t="s">
        <v>884</v>
      </c>
      <c r="C123" s="670"/>
      <c r="D123" s="83"/>
      <c r="E123" s="83"/>
      <c r="F123" s="83"/>
      <c r="G123" s="83"/>
      <c r="H123" s="2"/>
      <c r="I123" s="2"/>
      <c r="J123" s="2"/>
    </row>
    <row r="124" spans="1:12" ht="17.25" customHeight="1" x14ac:dyDescent="0.25">
      <c r="A124" s="18" t="s">
        <v>212</v>
      </c>
      <c r="B124" s="204" t="s">
        <v>365</v>
      </c>
      <c r="C124" s="632">
        <f t="shared" ref="C124:G125" si="0">SUM(C125)</f>
        <v>14996</v>
      </c>
      <c r="D124" s="52">
        <f t="shared" si="0"/>
        <v>14996</v>
      </c>
      <c r="E124" s="52">
        <f t="shared" si="0"/>
        <v>14316</v>
      </c>
      <c r="F124" s="52">
        <f t="shared" si="0"/>
        <v>14316</v>
      </c>
      <c r="G124" s="52">
        <f t="shared" si="0"/>
        <v>14316</v>
      </c>
      <c r="H124" s="2"/>
      <c r="I124" s="2"/>
      <c r="J124" s="2"/>
    </row>
    <row r="125" spans="1:12" ht="15" customHeight="1" x14ac:dyDescent="0.25">
      <c r="A125" s="18"/>
      <c r="B125" s="224" t="s">
        <v>401</v>
      </c>
      <c r="C125" s="632">
        <f t="shared" si="0"/>
        <v>14996</v>
      </c>
      <c r="D125" s="52">
        <f t="shared" si="0"/>
        <v>14996</v>
      </c>
      <c r="E125" s="52">
        <f t="shared" si="0"/>
        <v>14316</v>
      </c>
      <c r="F125" s="52">
        <f t="shared" si="0"/>
        <v>14316</v>
      </c>
      <c r="G125" s="52">
        <f t="shared" si="0"/>
        <v>14316</v>
      </c>
      <c r="H125" s="2"/>
      <c r="I125" s="2"/>
      <c r="J125" s="2"/>
    </row>
    <row r="126" spans="1:12" ht="13.5" customHeight="1" thickBot="1" x14ac:dyDescent="0.25">
      <c r="A126" s="18" t="s">
        <v>408</v>
      </c>
      <c r="B126" s="9" t="s">
        <v>412</v>
      </c>
      <c r="C126" s="16">
        <v>14996</v>
      </c>
      <c r="D126" s="16">
        <v>14996</v>
      </c>
      <c r="E126" s="16">
        <v>14316</v>
      </c>
      <c r="F126" s="17">
        <v>14316</v>
      </c>
      <c r="G126" s="16">
        <v>14316</v>
      </c>
      <c r="H126" s="2"/>
      <c r="I126" s="2"/>
      <c r="J126" s="2"/>
    </row>
    <row r="127" spans="1:12" ht="15" hidden="1" customHeight="1" thickBot="1" x14ac:dyDescent="0.3">
      <c r="A127" s="18"/>
      <c r="B127" s="224" t="s">
        <v>403</v>
      </c>
      <c r="C127" s="632"/>
      <c r="D127" s="52"/>
      <c r="E127" s="657"/>
      <c r="F127" s="52"/>
      <c r="G127" s="52"/>
      <c r="H127" s="2"/>
      <c r="I127" s="2"/>
      <c r="J127" s="2"/>
    </row>
    <row r="128" spans="1:12" ht="15" hidden="1" customHeight="1" thickBot="1" x14ac:dyDescent="0.3">
      <c r="A128" s="28"/>
      <c r="B128" s="221" t="s">
        <v>404</v>
      </c>
      <c r="C128" s="827"/>
      <c r="D128" s="203"/>
      <c r="E128" s="658"/>
      <c r="F128" s="203"/>
      <c r="G128" s="203"/>
      <c r="H128" s="2"/>
      <c r="I128" s="2"/>
      <c r="J128" s="2"/>
    </row>
    <row r="129" spans="1:10" ht="21.75" customHeight="1" thickBot="1" x14ac:dyDescent="0.4">
      <c r="A129" s="268"/>
      <c r="B129" s="269" t="s">
        <v>32</v>
      </c>
      <c r="C129" s="212">
        <f>SUM(C109+C124)</f>
        <v>1015156</v>
      </c>
      <c r="D129" s="212">
        <f>SUM(D109+D124)</f>
        <v>1032488</v>
      </c>
      <c r="E129" s="212" t="e">
        <f>SUM(E109+E124)</f>
        <v>#REF!</v>
      </c>
      <c r="F129" s="212">
        <f>SUM(F109+F124)</f>
        <v>1015635</v>
      </c>
      <c r="G129" s="57">
        <f>SUM(G109+G124)</f>
        <v>1015635</v>
      </c>
      <c r="H129" s="8"/>
      <c r="I129" s="2"/>
      <c r="J129" s="2"/>
    </row>
    <row r="130" spans="1:10" ht="15.75" hidden="1" customHeight="1" x14ac:dyDescent="0.2">
      <c r="B130" s="190" t="s">
        <v>956</v>
      </c>
      <c r="C130" s="646">
        <f>SUM(C7-C110-C113-C116-C121-C119-C126+C122)</f>
        <v>-130614</v>
      </c>
      <c r="D130" s="646">
        <f>SUM(D7-D110-D113-D116-D121-D119-D126+D122)</f>
        <v>-167328</v>
      </c>
      <c r="E130" s="330" t="e">
        <f>SUM(E7-E110-E113-E116-E121-E119+'8.Önk.'!#REF!+'8.Önk.'!#REF!+'8.Önk.'!#REF!+'8.Önk.'!H67)</f>
        <v>#REF!</v>
      </c>
      <c r="F130" s="330" t="e">
        <f>SUM(F7-F110-F113-F116-F121-F119+'8.Önk.'!#REF!+'8.Önk.'!#REF!+'8.Önk.'!#REF!+'8.Önk.'!I67)</f>
        <v>#REF!</v>
      </c>
      <c r="G130" s="330" t="e">
        <f>SUM(G7-G110-G113-G116-G121-G119+'8.Önk.'!#REF!+'8.Önk.'!#REF!+'8.Önk.'!#REF!+'8.Önk.'!J67)</f>
        <v>#REF!</v>
      </c>
      <c r="H130" s="193"/>
      <c r="I130" s="2"/>
      <c r="J130" s="2"/>
    </row>
    <row r="131" spans="1:10" ht="15.75" hidden="1" customHeight="1" x14ac:dyDescent="0.2">
      <c r="B131" s="190" t="s">
        <v>1177</v>
      </c>
      <c r="C131" s="646">
        <f>SUM('8.Önk.'!M125)</f>
        <v>46959.020000000004</v>
      </c>
      <c r="D131" s="646">
        <f>SUM('8.Önk.'!N125)</f>
        <v>0</v>
      </c>
      <c r="E131" s="330"/>
      <c r="F131" s="330"/>
      <c r="G131" s="330"/>
      <c r="H131" s="8"/>
      <c r="I131" s="2"/>
      <c r="J131" s="2"/>
    </row>
    <row r="132" spans="1:10" ht="15.75" hidden="1" customHeight="1" x14ac:dyDescent="0.2">
      <c r="B132" s="190" t="s">
        <v>1178</v>
      </c>
      <c r="C132" s="646">
        <f>SUM('8.Önk.'!AQ108+'8.Önk.'!AQ109)</f>
        <v>152132</v>
      </c>
      <c r="D132" s="646">
        <f>SUM('8.Önk.'!AR108+'8.Önk.'!AR109)</f>
        <v>0</v>
      </c>
      <c r="E132" s="330"/>
      <c r="F132" s="330"/>
      <c r="G132" s="330"/>
      <c r="H132" s="8"/>
      <c r="I132" s="2"/>
      <c r="J132" s="2"/>
    </row>
    <row r="133" spans="1:10" ht="15.75" hidden="1" customHeight="1" x14ac:dyDescent="0.2">
      <c r="B133" s="190" t="s">
        <v>1191</v>
      </c>
      <c r="C133" s="677">
        <f>SUM(C130+C131+C132)</f>
        <v>68477.02</v>
      </c>
      <c r="D133" s="677">
        <f>SUM(D130+D131+D132)</f>
        <v>-167328</v>
      </c>
      <c r="E133" s="330"/>
      <c r="F133" s="330"/>
      <c r="G133" s="330"/>
      <c r="H133" s="8"/>
      <c r="I133" s="2"/>
      <c r="J133" s="2"/>
    </row>
    <row r="134" spans="1:10" ht="15.75" customHeight="1" x14ac:dyDescent="0.2">
      <c r="C134" s="2"/>
      <c r="D134" s="2"/>
      <c r="E134" s="190"/>
      <c r="F134" s="2"/>
      <c r="G134" s="2"/>
      <c r="H134" s="2"/>
      <c r="I134" s="2"/>
      <c r="J134" s="2"/>
    </row>
    <row r="135" spans="1:10" ht="15.75" customHeight="1" x14ac:dyDescent="0.2">
      <c r="B135" s="89"/>
      <c r="C135" s="181"/>
      <c r="D135" s="2"/>
      <c r="E135" s="190"/>
      <c r="F135" s="2"/>
      <c r="G135" s="2"/>
      <c r="H135" s="2"/>
      <c r="I135" s="2"/>
      <c r="J135" s="2"/>
    </row>
    <row r="136" spans="1:10" ht="15.75" customHeight="1" x14ac:dyDescent="0.2">
      <c r="C136" s="2"/>
      <c r="D136" s="2"/>
      <c r="E136" s="190"/>
      <c r="F136" s="2"/>
      <c r="G136" s="2"/>
      <c r="H136" s="2"/>
      <c r="I136" s="2"/>
      <c r="J136" s="2"/>
    </row>
    <row r="137" spans="1:10" ht="15.75" customHeight="1" x14ac:dyDescent="0.2">
      <c r="C137" s="2"/>
      <c r="D137" s="2"/>
      <c r="E137" s="190"/>
      <c r="F137" s="2"/>
      <c r="G137" s="2"/>
      <c r="H137" s="2"/>
      <c r="I137" s="2"/>
      <c r="J137" s="2"/>
    </row>
    <row r="138" spans="1:10" ht="15.75" customHeight="1" x14ac:dyDescent="0.2">
      <c r="B138" s="2"/>
      <c r="C138" s="2"/>
      <c r="D138" s="2"/>
      <c r="E138" s="190"/>
      <c r="F138" s="2"/>
      <c r="G138" s="2"/>
      <c r="H138" s="2"/>
      <c r="I138" s="2"/>
      <c r="J138" s="2"/>
    </row>
    <row r="139" spans="1:10" ht="15.75" customHeight="1" x14ac:dyDescent="0.2">
      <c r="B139" s="2"/>
      <c r="C139" s="2"/>
      <c r="D139" s="2"/>
      <c r="E139" s="190"/>
      <c r="F139" s="2"/>
      <c r="G139" s="2"/>
      <c r="H139" s="2"/>
      <c r="I139" s="2"/>
      <c r="J139" s="2"/>
    </row>
    <row r="140" spans="1:10" ht="15.75" customHeight="1" x14ac:dyDescent="0.2">
      <c r="B140" s="2"/>
      <c r="C140" s="2"/>
      <c r="D140" s="2"/>
      <c r="E140" s="190"/>
      <c r="F140" s="2"/>
      <c r="G140" s="2"/>
      <c r="H140" s="2"/>
      <c r="I140" s="2"/>
      <c r="J140" s="2"/>
    </row>
    <row r="141" spans="1:10" ht="15.75" customHeight="1" x14ac:dyDescent="0.2">
      <c r="B141" s="2"/>
      <c r="C141" s="2"/>
      <c r="D141" s="2"/>
      <c r="E141" s="190"/>
      <c r="F141" s="2"/>
      <c r="G141" s="2"/>
      <c r="H141" s="2"/>
      <c r="I141" s="2"/>
      <c r="J141" s="2"/>
    </row>
    <row r="142" spans="1:10" ht="15.75" customHeight="1" x14ac:dyDescent="0.2">
      <c r="B142" s="2"/>
      <c r="C142" s="2"/>
      <c r="D142" s="2"/>
      <c r="E142" s="190"/>
      <c r="F142" s="2"/>
      <c r="G142" s="2"/>
      <c r="H142" s="2"/>
      <c r="I142" s="2"/>
      <c r="J142" s="2"/>
    </row>
    <row r="143" spans="1:10" ht="15.75" customHeight="1" x14ac:dyDescent="0.2">
      <c r="B143" s="2"/>
      <c r="C143" s="2"/>
      <c r="D143" s="2"/>
      <c r="E143" s="190"/>
      <c r="F143" s="2"/>
      <c r="G143" s="2"/>
      <c r="H143" s="2"/>
      <c r="I143" s="2"/>
      <c r="J143" s="2"/>
    </row>
    <row r="144" spans="1:10" ht="15.75" customHeight="1" x14ac:dyDescent="0.2">
      <c r="B144" s="2"/>
      <c r="C144" s="2"/>
      <c r="D144" s="2"/>
      <c r="E144" s="190"/>
      <c r="F144" s="2"/>
      <c r="G144" s="2"/>
      <c r="H144" s="2"/>
      <c r="I144" s="2"/>
      <c r="J144" s="2"/>
    </row>
    <row r="145" spans="2:10" ht="15.75" customHeight="1" x14ac:dyDescent="0.2">
      <c r="B145" s="2"/>
      <c r="C145" s="2"/>
      <c r="D145" s="2"/>
      <c r="E145" s="190"/>
      <c r="F145" s="2"/>
      <c r="G145" s="2"/>
      <c r="H145" s="2"/>
      <c r="I145" s="2"/>
      <c r="J145" s="2"/>
    </row>
    <row r="146" spans="2:10" ht="15.75" customHeight="1" x14ac:dyDescent="0.2">
      <c r="B146" s="2"/>
      <c r="C146" s="2"/>
      <c r="D146" s="2"/>
      <c r="E146" s="190"/>
      <c r="F146" s="2"/>
      <c r="G146" s="2"/>
      <c r="H146" s="2"/>
      <c r="I146" s="2"/>
      <c r="J146" s="2"/>
    </row>
    <row r="147" spans="2:10" ht="15.75" customHeight="1" x14ac:dyDescent="0.2">
      <c r="B147" s="2"/>
      <c r="C147" s="2"/>
      <c r="D147" s="2"/>
      <c r="E147" s="190"/>
      <c r="F147" s="2"/>
      <c r="G147" s="2"/>
      <c r="H147" s="2"/>
      <c r="I147" s="2"/>
      <c r="J147" s="2"/>
    </row>
    <row r="148" spans="2:10" ht="15.75" customHeight="1" x14ac:dyDescent="0.2">
      <c r="B148" s="2"/>
      <c r="C148" s="2"/>
      <c r="D148" s="2"/>
      <c r="E148" s="190"/>
      <c r="F148" s="2"/>
      <c r="G148" s="2"/>
      <c r="H148" s="2"/>
      <c r="I148" s="2"/>
      <c r="J148" s="2"/>
    </row>
    <row r="149" spans="2:10" ht="15.75" customHeight="1" x14ac:dyDescent="0.2">
      <c r="B149" s="2"/>
      <c r="C149" s="2"/>
      <c r="D149" s="2"/>
      <c r="E149" s="190"/>
      <c r="F149" s="2"/>
      <c r="G149" s="2"/>
      <c r="H149" s="2"/>
      <c r="I149" s="2"/>
      <c r="J149" s="2"/>
    </row>
    <row r="150" spans="2:10" ht="15.75" customHeight="1" x14ac:dyDescent="0.2">
      <c r="B150" s="2"/>
      <c r="C150" s="2"/>
      <c r="D150" s="2"/>
      <c r="E150" s="190"/>
      <c r="F150" s="2"/>
      <c r="G150" s="2"/>
      <c r="H150" s="2"/>
      <c r="I150" s="2"/>
      <c r="J150" s="2"/>
    </row>
    <row r="151" spans="2:10" ht="15.75" customHeight="1" x14ac:dyDescent="0.2">
      <c r="B151" s="2"/>
      <c r="C151" s="2"/>
      <c r="D151" s="2"/>
      <c r="E151" s="190"/>
      <c r="F151" s="2"/>
      <c r="G151" s="2"/>
      <c r="H151" s="2"/>
      <c r="I151" s="2"/>
      <c r="J151" s="2"/>
    </row>
    <row r="152" spans="2:10" ht="15.75" customHeight="1" x14ac:dyDescent="0.2">
      <c r="B152" s="2"/>
      <c r="C152" s="2"/>
      <c r="D152" s="2"/>
      <c r="E152" s="190"/>
      <c r="F152" s="2"/>
      <c r="G152" s="2"/>
      <c r="H152" s="2"/>
      <c r="I152" s="2"/>
      <c r="J152" s="2"/>
    </row>
    <row r="153" spans="2:10" ht="15.75" customHeight="1" x14ac:dyDescent="0.2">
      <c r="B153" s="2"/>
      <c r="C153" s="2"/>
      <c r="D153" s="2"/>
      <c r="E153" s="190"/>
      <c r="F153" s="2"/>
      <c r="G153" s="2"/>
      <c r="H153" s="2"/>
      <c r="I153" s="2"/>
      <c r="J153" s="2"/>
    </row>
    <row r="154" spans="2:10" ht="15.75" customHeight="1" x14ac:dyDescent="0.2">
      <c r="B154" s="2"/>
      <c r="C154" s="2"/>
      <c r="D154" s="2"/>
      <c r="E154" s="190"/>
      <c r="F154" s="2"/>
      <c r="G154" s="2"/>
      <c r="H154" s="2"/>
      <c r="I154" s="2"/>
      <c r="J154" s="2"/>
    </row>
    <row r="155" spans="2:10" ht="15.75" customHeight="1" x14ac:dyDescent="0.2">
      <c r="B155" s="2"/>
      <c r="C155" s="2"/>
      <c r="D155" s="2"/>
      <c r="E155" s="190"/>
      <c r="F155" s="2"/>
      <c r="G155" s="2"/>
      <c r="H155" s="2"/>
      <c r="I155" s="2"/>
      <c r="J155" s="2"/>
    </row>
    <row r="156" spans="2:10" ht="15.75" customHeight="1" x14ac:dyDescent="0.2">
      <c r="B156" s="2"/>
      <c r="C156" s="2"/>
      <c r="D156" s="2"/>
      <c r="E156" s="190"/>
      <c r="F156" s="2"/>
      <c r="G156" s="2"/>
      <c r="H156" s="2"/>
      <c r="I156" s="2"/>
      <c r="J156" s="2"/>
    </row>
    <row r="157" spans="2:10" ht="15.75" customHeight="1" x14ac:dyDescent="0.2">
      <c r="B157" s="2"/>
      <c r="C157" s="2"/>
      <c r="D157" s="2"/>
      <c r="E157" s="190"/>
      <c r="F157" s="2"/>
      <c r="G157" s="2"/>
      <c r="H157" s="2"/>
      <c r="I157" s="2"/>
      <c r="J157" s="2"/>
    </row>
    <row r="158" spans="2:10" ht="15.75" customHeight="1" x14ac:dyDescent="0.2">
      <c r="B158" s="2"/>
      <c r="C158" s="2"/>
      <c r="D158" s="2"/>
      <c r="E158" s="190"/>
      <c r="F158" s="2"/>
      <c r="G158" s="2"/>
      <c r="H158" s="2"/>
      <c r="I158" s="2"/>
      <c r="J158" s="2"/>
    </row>
    <row r="159" spans="2:10" ht="15.75" customHeight="1" x14ac:dyDescent="0.2">
      <c r="B159" s="2"/>
      <c r="C159" s="2"/>
      <c r="D159" s="2"/>
      <c r="E159" s="190"/>
      <c r="F159" s="2"/>
      <c r="G159" s="2"/>
      <c r="H159" s="2"/>
      <c r="I159" s="2"/>
      <c r="J159" s="2"/>
    </row>
    <row r="160" spans="2:10" ht="15.75" customHeight="1" x14ac:dyDescent="0.2">
      <c r="B160" s="2"/>
      <c r="C160" s="2"/>
      <c r="D160" s="2"/>
      <c r="E160" s="190"/>
      <c r="F160" s="2"/>
      <c r="G160" s="2"/>
      <c r="H160" s="2"/>
      <c r="I160" s="2"/>
      <c r="J160" s="2"/>
    </row>
    <row r="161" spans="2:10" ht="15.75" customHeight="1" x14ac:dyDescent="0.2">
      <c r="B161" s="2"/>
      <c r="C161" s="2"/>
      <c r="D161" s="2"/>
      <c r="E161" s="190"/>
      <c r="F161" s="2"/>
      <c r="G161" s="2"/>
      <c r="H161" s="2"/>
      <c r="I161" s="2"/>
      <c r="J161" s="2"/>
    </row>
    <row r="162" spans="2:10" ht="15.75" customHeight="1" x14ac:dyDescent="0.2">
      <c r="B162" s="2"/>
      <c r="C162" s="2"/>
      <c r="D162" s="2"/>
      <c r="E162" s="190"/>
      <c r="F162" s="2"/>
      <c r="G162" s="2"/>
      <c r="H162" s="2"/>
      <c r="I162" s="2"/>
      <c r="J162" s="2"/>
    </row>
    <row r="163" spans="2:10" ht="15.75" customHeight="1" x14ac:dyDescent="0.2">
      <c r="B163" s="2"/>
      <c r="C163" s="2"/>
      <c r="D163" s="2"/>
      <c r="E163" s="190"/>
      <c r="F163" s="2"/>
      <c r="G163" s="2"/>
      <c r="H163" s="2"/>
      <c r="I163" s="2"/>
      <c r="J163" s="2"/>
    </row>
    <row r="164" spans="2:10" ht="15.75" customHeight="1" x14ac:dyDescent="0.2">
      <c r="B164" s="2"/>
      <c r="C164" s="2"/>
      <c r="D164" s="2"/>
      <c r="E164" s="190"/>
      <c r="F164" s="2"/>
      <c r="G164" s="2"/>
      <c r="H164" s="2"/>
      <c r="I164" s="2"/>
      <c r="J164" s="2"/>
    </row>
    <row r="165" spans="2:10" ht="15.75" customHeight="1" x14ac:dyDescent="0.2">
      <c r="B165" s="2"/>
      <c r="C165" s="2"/>
      <c r="D165" s="2"/>
      <c r="E165" s="190"/>
      <c r="F165" s="2"/>
      <c r="G165" s="2"/>
      <c r="H165" s="2"/>
      <c r="I165" s="2"/>
      <c r="J165" s="2"/>
    </row>
    <row r="166" spans="2:10" ht="15.75" customHeight="1" x14ac:dyDescent="0.2">
      <c r="B166" s="2"/>
      <c r="C166" s="2"/>
      <c r="D166" s="2"/>
      <c r="E166" s="190"/>
      <c r="F166" s="2"/>
      <c r="G166" s="2"/>
      <c r="H166" s="2"/>
      <c r="I166" s="2"/>
      <c r="J166" s="2"/>
    </row>
    <row r="167" spans="2:10" ht="15.75" customHeight="1" x14ac:dyDescent="0.2">
      <c r="B167" s="2"/>
      <c r="C167" s="2"/>
      <c r="D167" s="2"/>
      <c r="E167" s="190"/>
      <c r="F167" s="2"/>
      <c r="G167" s="2"/>
      <c r="H167" s="2"/>
      <c r="I167" s="2"/>
      <c r="J167" s="2"/>
    </row>
    <row r="168" spans="2:10" ht="15.75" customHeight="1" x14ac:dyDescent="0.2">
      <c r="B168" s="2"/>
      <c r="C168" s="2"/>
      <c r="D168" s="2"/>
      <c r="E168" s="190"/>
      <c r="F168" s="2"/>
      <c r="G168" s="2"/>
      <c r="H168" s="2"/>
      <c r="I168" s="2"/>
      <c r="J168" s="2"/>
    </row>
    <row r="169" spans="2:10" ht="15.75" customHeight="1" x14ac:dyDescent="0.2">
      <c r="B169" s="2"/>
      <c r="C169" s="2"/>
      <c r="D169" s="2"/>
      <c r="E169" s="190"/>
      <c r="F169" s="2"/>
      <c r="G169" s="2"/>
      <c r="H169" s="2"/>
      <c r="I169" s="2"/>
      <c r="J169" s="2"/>
    </row>
    <row r="170" spans="2:10" ht="15.75" customHeight="1" x14ac:dyDescent="0.2">
      <c r="B170" s="2"/>
      <c r="C170" s="2"/>
      <c r="D170" s="2"/>
      <c r="E170" s="190"/>
      <c r="F170" s="2"/>
      <c r="G170" s="2"/>
      <c r="H170" s="2"/>
      <c r="I170" s="2"/>
      <c r="J170" s="2"/>
    </row>
    <row r="171" spans="2:10" ht="15.75" customHeight="1" x14ac:dyDescent="0.2">
      <c r="B171" s="2"/>
      <c r="C171" s="2"/>
      <c r="D171" s="2"/>
      <c r="E171" s="190"/>
      <c r="F171" s="2"/>
      <c r="G171" s="2"/>
      <c r="H171" s="2"/>
      <c r="I171" s="2"/>
      <c r="J171" s="2"/>
    </row>
    <row r="172" spans="2:10" ht="15.75" customHeight="1" x14ac:dyDescent="0.2">
      <c r="B172" s="2"/>
      <c r="C172" s="2"/>
      <c r="D172" s="2"/>
      <c r="E172" s="190"/>
      <c r="F172" s="2"/>
      <c r="G172" s="2"/>
      <c r="H172" s="2"/>
      <c r="I172" s="2"/>
      <c r="J172" s="2"/>
    </row>
    <row r="173" spans="2:10" ht="15.75" customHeight="1" x14ac:dyDescent="0.2">
      <c r="B173" s="2"/>
      <c r="C173" s="2"/>
      <c r="D173" s="2"/>
      <c r="E173" s="190"/>
      <c r="F173" s="2"/>
      <c r="G173" s="2"/>
      <c r="H173" s="2"/>
      <c r="I173" s="2"/>
      <c r="J173" s="2"/>
    </row>
    <row r="174" spans="2:10" ht="15.75" customHeight="1" x14ac:dyDescent="0.2">
      <c r="B174" s="2"/>
      <c r="C174" s="2"/>
      <c r="D174" s="2"/>
      <c r="E174" s="190"/>
      <c r="F174" s="2"/>
      <c r="G174" s="2"/>
      <c r="H174" s="2"/>
      <c r="I174" s="2"/>
      <c r="J174" s="2"/>
    </row>
    <row r="175" spans="2:10" ht="15.75" customHeight="1" x14ac:dyDescent="0.2">
      <c r="B175" s="2"/>
      <c r="C175" s="2"/>
      <c r="D175" s="2"/>
      <c r="E175" s="190"/>
      <c r="F175" s="2"/>
      <c r="G175" s="2"/>
      <c r="H175" s="2"/>
      <c r="I175" s="2"/>
      <c r="J175" s="2"/>
    </row>
    <row r="176" spans="2:10" ht="15.75" customHeight="1" x14ac:dyDescent="0.2">
      <c r="B176" s="2"/>
      <c r="C176" s="2"/>
      <c r="D176" s="2"/>
      <c r="E176" s="190"/>
      <c r="F176" s="2"/>
      <c r="G176" s="2"/>
      <c r="H176" s="2"/>
      <c r="I176" s="2"/>
      <c r="J176" s="2"/>
    </row>
    <row r="177" spans="2:10" ht="15.75" customHeight="1" x14ac:dyDescent="0.2">
      <c r="B177" s="2"/>
      <c r="C177" s="2"/>
      <c r="D177" s="2"/>
      <c r="E177" s="190"/>
      <c r="F177" s="2"/>
      <c r="G177" s="2"/>
      <c r="H177" s="2"/>
      <c r="I177" s="2"/>
      <c r="J177" s="2"/>
    </row>
    <row r="178" spans="2:10" ht="15.75" customHeight="1" x14ac:dyDescent="0.2">
      <c r="B178" s="2"/>
      <c r="C178" s="2"/>
      <c r="D178" s="2"/>
      <c r="E178" s="190"/>
      <c r="F178" s="2"/>
      <c r="G178" s="2"/>
      <c r="H178" s="2"/>
      <c r="I178" s="2"/>
      <c r="J178" s="2"/>
    </row>
    <row r="179" spans="2:10" ht="15.75" customHeight="1" x14ac:dyDescent="0.2">
      <c r="B179" s="2"/>
      <c r="C179" s="2"/>
      <c r="D179" s="2"/>
      <c r="E179" s="190"/>
      <c r="F179" s="2"/>
      <c r="G179" s="2"/>
      <c r="H179" s="2"/>
      <c r="I179" s="2"/>
      <c r="J179" s="2"/>
    </row>
    <row r="180" spans="2:10" ht="15.75" customHeight="1" x14ac:dyDescent="0.2">
      <c r="B180" s="2"/>
      <c r="C180" s="2"/>
      <c r="D180" s="2"/>
      <c r="E180" s="190"/>
      <c r="F180" s="2"/>
      <c r="G180" s="2"/>
      <c r="H180" s="2"/>
      <c r="I180" s="2"/>
      <c r="J180" s="2"/>
    </row>
    <row r="181" spans="2:10" ht="15.75" customHeight="1" x14ac:dyDescent="0.2">
      <c r="B181" s="2"/>
      <c r="C181" s="2"/>
      <c r="D181" s="2"/>
      <c r="E181" s="190"/>
      <c r="F181" s="2"/>
      <c r="G181" s="2"/>
      <c r="H181" s="2"/>
      <c r="I181" s="2"/>
      <c r="J181" s="2"/>
    </row>
    <row r="182" spans="2:10" ht="15.75" customHeight="1" x14ac:dyDescent="0.2">
      <c r="B182" s="2"/>
      <c r="C182" s="2"/>
      <c r="D182" s="2"/>
      <c r="E182" s="190"/>
      <c r="F182" s="2"/>
      <c r="G182" s="2"/>
      <c r="H182" s="2"/>
      <c r="I182" s="2"/>
      <c r="J182" s="2"/>
    </row>
    <row r="183" spans="2:10" ht="15.75" customHeight="1" x14ac:dyDescent="0.2">
      <c r="B183" s="2"/>
      <c r="C183" s="2"/>
      <c r="D183" s="2"/>
      <c r="E183" s="190"/>
      <c r="F183" s="2"/>
      <c r="G183" s="2"/>
      <c r="H183" s="2"/>
      <c r="I183" s="2"/>
      <c r="J183" s="2"/>
    </row>
    <row r="184" spans="2:10" ht="15.75" customHeight="1" x14ac:dyDescent="0.2">
      <c r="B184" s="2"/>
      <c r="C184" s="2"/>
      <c r="D184" s="2"/>
      <c r="E184" s="190"/>
      <c r="F184" s="2"/>
      <c r="G184" s="2"/>
      <c r="H184" s="2"/>
      <c r="I184" s="2"/>
      <c r="J184" s="2"/>
    </row>
    <row r="185" spans="2:10" ht="15.75" customHeight="1" x14ac:dyDescent="0.2">
      <c r="B185" s="2"/>
      <c r="C185" s="2"/>
      <c r="D185" s="2"/>
      <c r="E185" s="190"/>
      <c r="F185" s="2"/>
      <c r="G185" s="2"/>
      <c r="H185" s="2"/>
      <c r="I185" s="2"/>
      <c r="J185" s="2"/>
    </row>
    <row r="186" spans="2:10" ht="15.75" customHeight="1" x14ac:dyDescent="0.2">
      <c r="B186" s="2"/>
      <c r="C186" s="2"/>
      <c r="D186" s="2"/>
      <c r="E186" s="190"/>
      <c r="F186" s="2"/>
      <c r="G186" s="2"/>
      <c r="H186" s="2"/>
      <c r="I186" s="2"/>
      <c r="J186" s="2"/>
    </row>
    <row r="187" spans="2:10" ht="15.75" customHeight="1" x14ac:dyDescent="0.2">
      <c r="B187" s="2"/>
      <c r="C187" s="2"/>
      <c r="D187" s="2"/>
      <c r="E187" s="190"/>
      <c r="F187" s="2"/>
      <c r="G187" s="2"/>
      <c r="H187" s="2"/>
      <c r="I187" s="2"/>
      <c r="J187" s="2"/>
    </row>
    <row r="188" spans="2:10" ht="15.75" customHeight="1" x14ac:dyDescent="0.2">
      <c r="B188" s="2"/>
      <c r="C188" s="2"/>
      <c r="D188" s="2"/>
      <c r="E188" s="190"/>
      <c r="F188" s="2"/>
      <c r="G188" s="2"/>
      <c r="H188" s="2"/>
      <c r="I188" s="2"/>
      <c r="J188" s="2"/>
    </row>
    <row r="189" spans="2:10" ht="15.75" customHeight="1" x14ac:dyDescent="0.2">
      <c r="B189" s="2"/>
      <c r="C189" s="2"/>
      <c r="D189" s="2"/>
      <c r="E189" s="190"/>
      <c r="F189" s="2"/>
      <c r="G189" s="2"/>
      <c r="H189" s="2"/>
      <c r="I189" s="2"/>
      <c r="J189" s="2"/>
    </row>
    <row r="190" spans="2:10" ht="15.75" customHeight="1" x14ac:dyDescent="0.2">
      <c r="B190" s="2"/>
      <c r="C190" s="2"/>
      <c r="D190" s="2"/>
      <c r="E190" s="190"/>
      <c r="F190" s="2"/>
      <c r="G190" s="2"/>
      <c r="H190" s="2"/>
      <c r="I190" s="2"/>
      <c r="J190" s="2"/>
    </row>
    <row r="191" spans="2:10" ht="15.75" customHeight="1" x14ac:dyDescent="0.2">
      <c r="B191" s="2"/>
      <c r="C191" s="2"/>
      <c r="D191" s="2"/>
      <c r="E191" s="190"/>
      <c r="F191" s="2"/>
      <c r="G191" s="2"/>
      <c r="H191" s="2"/>
      <c r="I191" s="2"/>
      <c r="J191" s="2"/>
    </row>
    <row r="192" spans="2:10" ht="15.75" customHeight="1" x14ac:dyDescent="0.2">
      <c r="B192" s="2"/>
      <c r="C192" s="2"/>
      <c r="D192" s="2"/>
      <c r="E192" s="190"/>
      <c r="F192" s="2"/>
      <c r="G192" s="2"/>
      <c r="H192" s="2"/>
      <c r="I192" s="2"/>
      <c r="J192" s="2"/>
    </row>
    <row r="193" spans="2:10" ht="15.75" customHeight="1" x14ac:dyDescent="0.2">
      <c r="B193" s="2"/>
      <c r="C193" s="2"/>
      <c r="D193" s="2"/>
      <c r="E193" s="190"/>
      <c r="F193" s="2"/>
      <c r="G193" s="2"/>
      <c r="H193" s="2"/>
      <c r="I193" s="2"/>
      <c r="J193" s="2"/>
    </row>
    <row r="194" spans="2:10" ht="15.75" customHeight="1" x14ac:dyDescent="0.2">
      <c r="B194" s="2"/>
      <c r="C194" s="2"/>
      <c r="D194" s="2"/>
      <c r="E194" s="190"/>
      <c r="F194" s="2"/>
      <c r="G194" s="2"/>
      <c r="H194" s="2"/>
      <c r="I194" s="2"/>
      <c r="J194" s="2"/>
    </row>
    <row r="195" spans="2:10" ht="15.75" customHeight="1" x14ac:dyDescent="0.2">
      <c r="B195" s="2"/>
      <c r="C195" s="2"/>
      <c r="D195" s="2"/>
      <c r="E195" s="190"/>
      <c r="F195" s="2"/>
      <c r="G195" s="2"/>
      <c r="H195" s="2"/>
      <c r="I195" s="2"/>
      <c r="J195" s="2"/>
    </row>
    <row r="196" spans="2:10" ht="15.75" customHeight="1" x14ac:dyDescent="0.2">
      <c r="B196" s="2"/>
      <c r="C196" s="2"/>
      <c r="D196" s="2"/>
      <c r="E196" s="190"/>
      <c r="F196" s="2"/>
      <c r="G196" s="2"/>
      <c r="H196" s="2"/>
      <c r="I196" s="2"/>
      <c r="J196" s="2"/>
    </row>
    <row r="197" spans="2:10" ht="15.75" customHeight="1" x14ac:dyDescent="0.2">
      <c r="B197" s="2"/>
      <c r="C197" s="2"/>
      <c r="D197" s="2"/>
      <c r="E197" s="190"/>
      <c r="F197" s="2"/>
      <c r="G197" s="2"/>
      <c r="H197" s="2"/>
      <c r="I197" s="2"/>
      <c r="J197" s="2"/>
    </row>
    <row r="198" spans="2:10" ht="15.75" customHeight="1" x14ac:dyDescent="0.2">
      <c r="B198" s="2"/>
      <c r="C198" s="2"/>
      <c r="D198" s="2"/>
      <c r="E198" s="190"/>
      <c r="F198" s="2"/>
      <c r="G198" s="2"/>
      <c r="H198" s="2"/>
      <c r="I198" s="2"/>
      <c r="J198" s="2"/>
    </row>
    <row r="199" spans="2:10" ht="15.75" customHeight="1" x14ac:dyDescent="0.2">
      <c r="B199" s="2"/>
      <c r="C199" s="2"/>
      <c r="D199" s="2"/>
      <c r="E199" s="190"/>
      <c r="F199" s="2"/>
      <c r="G199" s="2"/>
      <c r="H199" s="2"/>
      <c r="I199" s="2"/>
      <c r="J199" s="2"/>
    </row>
    <row r="200" spans="2:10" ht="15.75" customHeight="1" x14ac:dyDescent="0.2">
      <c r="B200" s="2"/>
      <c r="C200" s="2"/>
      <c r="D200" s="2"/>
      <c r="E200" s="190"/>
      <c r="F200" s="2"/>
      <c r="G200" s="2"/>
      <c r="H200" s="2"/>
      <c r="I200" s="2"/>
      <c r="J200" s="2"/>
    </row>
    <row r="201" spans="2:10" ht="15.75" customHeight="1" x14ac:dyDescent="0.2">
      <c r="B201" s="2"/>
      <c r="C201" s="2"/>
      <c r="D201" s="2"/>
      <c r="E201" s="190"/>
      <c r="F201" s="2"/>
      <c r="G201" s="2"/>
      <c r="H201" s="2"/>
      <c r="I201" s="2"/>
      <c r="J201" s="2"/>
    </row>
    <row r="202" spans="2:10" ht="15.75" customHeight="1" x14ac:dyDescent="0.2">
      <c r="B202" s="2"/>
      <c r="C202" s="2"/>
      <c r="D202" s="2"/>
      <c r="E202" s="190"/>
      <c r="F202" s="2"/>
      <c r="G202" s="2"/>
      <c r="H202" s="2"/>
      <c r="I202" s="2"/>
      <c r="J202" s="2"/>
    </row>
    <row r="203" spans="2:10" ht="15.75" customHeight="1" x14ac:dyDescent="0.2">
      <c r="B203" s="2"/>
      <c r="C203" s="2"/>
      <c r="D203" s="2"/>
      <c r="E203" s="190"/>
      <c r="F203" s="2"/>
      <c r="G203" s="2"/>
      <c r="H203" s="2"/>
      <c r="I203" s="2"/>
      <c r="J203" s="2"/>
    </row>
    <row r="204" spans="2:10" ht="15.75" customHeight="1" x14ac:dyDescent="0.2">
      <c r="B204" s="2"/>
      <c r="C204" s="2"/>
      <c r="D204" s="2"/>
      <c r="E204" s="190"/>
      <c r="F204" s="2"/>
      <c r="G204" s="2"/>
      <c r="H204" s="2"/>
      <c r="I204" s="2"/>
      <c r="J204" s="2"/>
    </row>
    <row r="205" spans="2:10" ht="15.75" customHeight="1" x14ac:dyDescent="0.2">
      <c r="B205" s="2"/>
      <c r="C205" s="2"/>
      <c r="D205" s="2"/>
      <c r="E205" s="190"/>
      <c r="F205" s="2"/>
      <c r="G205" s="2"/>
      <c r="H205" s="2"/>
      <c r="I205" s="2"/>
      <c r="J205" s="2"/>
    </row>
    <row r="206" spans="2:10" ht="15.75" customHeight="1" x14ac:dyDescent="0.2">
      <c r="B206" s="2"/>
      <c r="C206" s="2"/>
      <c r="D206" s="2"/>
      <c r="E206" s="190"/>
      <c r="F206" s="2"/>
      <c r="G206" s="2"/>
      <c r="H206" s="2"/>
      <c r="I206" s="2"/>
      <c r="J206" s="2"/>
    </row>
    <row r="207" spans="2:10" ht="15.75" customHeight="1" x14ac:dyDescent="0.2">
      <c r="B207" s="2"/>
      <c r="C207" s="2"/>
      <c r="D207" s="2"/>
      <c r="E207" s="190"/>
      <c r="F207" s="2"/>
      <c r="G207" s="2"/>
      <c r="H207" s="2"/>
      <c r="I207" s="2"/>
      <c r="J207" s="2"/>
    </row>
    <row r="208" spans="2:10" ht="15.75" customHeight="1" x14ac:dyDescent="0.2">
      <c r="B208" s="2"/>
      <c r="C208" s="2"/>
      <c r="D208" s="2"/>
      <c r="E208" s="190"/>
      <c r="F208" s="2"/>
      <c r="G208" s="2"/>
      <c r="H208" s="2"/>
      <c r="I208" s="2"/>
      <c r="J208" s="2"/>
    </row>
    <row r="209" spans="2:10" ht="15.75" customHeight="1" x14ac:dyDescent="0.2">
      <c r="B209" s="2"/>
      <c r="C209" s="2"/>
      <c r="D209" s="2"/>
      <c r="E209" s="190"/>
      <c r="F209" s="2"/>
      <c r="G209" s="2"/>
      <c r="H209" s="2"/>
      <c r="I209" s="2"/>
      <c r="J209" s="2"/>
    </row>
    <row r="210" spans="2:10" ht="15.75" customHeight="1" x14ac:dyDescent="0.2">
      <c r="B210" s="2"/>
      <c r="C210" s="2"/>
      <c r="D210" s="2"/>
      <c r="E210" s="190"/>
      <c r="F210" s="2"/>
      <c r="G210" s="2"/>
      <c r="H210" s="2"/>
      <c r="I210" s="2"/>
      <c r="J210" s="2"/>
    </row>
    <row r="211" spans="2:10" ht="15.75" customHeight="1" x14ac:dyDescent="0.2">
      <c r="B211" s="2"/>
      <c r="C211" s="2"/>
      <c r="D211" s="2"/>
      <c r="E211" s="190"/>
      <c r="F211" s="2"/>
      <c r="G211" s="2"/>
      <c r="H211" s="2"/>
      <c r="I211" s="2"/>
      <c r="J211" s="2"/>
    </row>
    <row r="212" spans="2:10" ht="15.75" customHeight="1" x14ac:dyDescent="0.2">
      <c r="B212" s="2"/>
      <c r="C212" s="2"/>
      <c r="D212" s="2"/>
      <c r="E212" s="190"/>
      <c r="F212" s="2"/>
      <c r="G212" s="2"/>
      <c r="H212" s="2"/>
      <c r="I212" s="2"/>
      <c r="J212" s="2"/>
    </row>
    <row r="213" spans="2:10" ht="15.75" customHeight="1" x14ac:dyDescent="0.2">
      <c r="B213" s="2"/>
      <c r="C213" s="2"/>
      <c r="D213" s="2"/>
      <c r="E213" s="190"/>
      <c r="F213" s="2"/>
      <c r="G213" s="2"/>
      <c r="H213" s="2"/>
      <c r="I213" s="2"/>
      <c r="J213" s="2"/>
    </row>
    <row r="214" spans="2:10" ht="15.75" customHeight="1" x14ac:dyDescent="0.2">
      <c r="B214" s="2"/>
      <c r="C214" s="2"/>
      <c r="D214" s="2"/>
      <c r="E214" s="190"/>
      <c r="F214" s="2"/>
      <c r="G214" s="2"/>
      <c r="H214" s="2"/>
      <c r="I214" s="2"/>
      <c r="J214" s="2"/>
    </row>
    <row r="215" spans="2:10" ht="15.75" customHeight="1" x14ac:dyDescent="0.2">
      <c r="B215" s="2"/>
      <c r="C215" s="2"/>
      <c r="D215" s="2"/>
      <c r="E215" s="190"/>
      <c r="F215" s="2"/>
      <c r="G215" s="2"/>
      <c r="H215" s="2"/>
      <c r="I215" s="2"/>
      <c r="J215" s="2"/>
    </row>
    <row r="216" spans="2:10" ht="15.75" customHeight="1" x14ac:dyDescent="0.2">
      <c r="B216" s="2"/>
      <c r="C216" s="2"/>
      <c r="D216" s="2"/>
      <c r="E216" s="190"/>
      <c r="F216" s="2"/>
      <c r="G216" s="2"/>
      <c r="H216" s="2"/>
      <c r="I216" s="2"/>
      <c r="J216" s="2"/>
    </row>
    <row r="217" spans="2:10" ht="15.75" customHeight="1" x14ac:dyDescent="0.2">
      <c r="B217" s="2"/>
      <c r="C217" s="37"/>
      <c r="D217" s="37"/>
      <c r="E217" s="330"/>
      <c r="F217" s="37"/>
      <c r="G217" s="37"/>
      <c r="H217" s="2"/>
      <c r="I217" s="2"/>
      <c r="J217" s="2"/>
    </row>
    <row r="218" spans="2:10" ht="15.75" customHeight="1" x14ac:dyDescent="0.2">
      <c r="B218" s="2"/>
      <c r="C218" s="37"/>
      <c r="D218" s="37"/>
      <c r="E218" s="330"/>
      <c r="F218" s="37"/>
      <c r="G218" s="37"/>
      <c r="H218" s="2"/>
      <c r="I218" s="2"/>
      <c r="J218" s="2"/>
    </row>
    <row r="219" spans="2:10" ht="15.75" customHeight="1" x14ac:dyDescent="0.2">
      <c r="B219" s="2"/>
      <c r="C219" s="37"/>
      <c r="D219" s="37"/>
      <c r="E219" s="330"/>
      <c r="F219" s="37"/>
      <c r="G219" s="37"/>
      <c r="H219" s="2"/>
      <c r="I219" s="2"/>
      <c r="J219" s="2"/>
    </row>
    <row r="220" spans="2:10" ht="15.75" customHeight="1" x14ac:dyDescent="0.2">
      <c r="B220" s="2"/>
      <c r="C220" s="37"/>
      <c r="D220" s="37"/>
      <c r="E220" s="330"/>
      <c r="F220" s="37"/>
      <c r="G220" s="37"/>
      <c r="H220" s="2"/>
      <c r="I220" s="2"/>
      <c r="J220" s="2"/>
    </row>
    <row r="221" spans="2:10" ht="15.75" customHeight="1" x14ac:dyDescent="0.2">
      <c r="B221" s="2"/>
      <c r="C221" s="37"/>
      <c r="D221" s="37"/>
      <c r="E221" s="330"/>
      <c r="F221" s="37"/>
      <c r="G221" s="37"/>
      <c r="H221" s="2"/>
      <c r="I221" s="2"/>
      <c r="J221" s="2"/>
    </row>
    <row r="222" spans="2:10" ht="15.75" customHeight="1" x14ac:dyDescent="0.2">
      <c r="B222" s="2"/>
      <c r="C222" s="37"/>
      <c r="D222" s="37"/>
      <c r="E222" s="330"/>
      <c r="F222" s="37"/>
      <c r="G222" s="37"/>
      <c r="H222" s="2"/>
      <c r="I222" s="2"/>
      <c r="J222" s="2"/>
    </row>
    <row r="223" spans="2:10" ht="15.75" customHeight="1" x14ac:dyDescent="0.2">
      <c r="B223" s="2"/>
      <c r="C223" s="37"/>
      <c r="D223" s="37"/>
      <c r="E223" s="330"/>
      <c r="F223" s="37"/>
      <c r="G223" s="37"/>
      <c r="H223" s="2"/>
      <c r="I223" s="2"/>
      <c r="J223" s="2"/>
    </row>
    <row r="224" spans="2:10" ht="15.75" customHeight="1" x14ac:dyDescent="0.2">
      <c r="B224" s="2"/>
      <c r="C224" s="37"/>
      <c r="D224" s="37"/>
      <c r="E224" s="330"/>
      <c r="F224" s="37"/>
      <c r="G224" s="37"/>
      <c r="H224" s="2"/>
      <c r="I224" s="2"/>
      <c r="J224" s="2"/>
    </row>
    <row r="225" spans="2:10" ht="15.75" customHeight="1" x14ac:dyDescent="0.2">
      <c r="B225" s="2"/>
      <c r="C225" s="37"/>
      <c r="D225" s="37"/>
      <c r="E225" s="330"/>
      <c r="F225" s="37"/>
      <c r="G225" s="37"/>
      <c r="H225" s="2"/>
      <c r="I225" s="2"/>
      <c r="J225" s="2"/>
    </row>
    <row r="226" spans="2:10" ht="15.75" customHeight="1" x14ac:dyDescent="0.2">
      <c r="B226" s="2"/>
      <c r="C226" s="37"/>
      <c r="D226" s="37"/>
      <c r="E226" s="330"/>
      <c r="F226" s="37"/>
      <c r="G226" s="37"/>
      <c r="H226" s="2"/>
      <c r="I226" s="2"/>
      <c r="J226" s="2"/>
    </row>
    <row r="227" spans="2:10" ht="15.75" customHeight="1" x14ac:dyDescent="0.2">
      <c r="B227" s="2"/>
      <c r="C227" s="37"/>
      <c r="D227" s="37"/>
      <c r="E227" s="330"/>
      <c r="F227" s="37"/>
      <c r="G227" s="37"/>
      <c r="H227" s="2"/>
      <c r="I227" s="2"/>
      <c r="J227" s="2"/>
    </row>
    <row r="228" spans="2:10" ht="15.75" customHeight="1" x14ac:dyDescent="0.2">
      <c r="B228" s="2"/>
      <c r="C228" s="37"/>
      <c r="D228" s="37"/>
      <c r="E228" s="330"/>
      <c r="F228" s="37"/>
      <c r="G228" s="37"/>
      <c r="H228" s="2"/>
      <c r="I228" s="2"/>
      <c r="J228" s="2"/>
    </row>
    <row r="229" spans="2:10" ht="15.75" customHeight="1" x14ac:dyDescent="0.2">
      <c r="B229" s="2"/>
      <c r="C229" s="37"/>
      <c r="D229" s="37"/>
      <c r="E229" s="330"/>
      <c r="F229" s="37"/>
      <c r="G229" s="37"/>
      <c r="H229" s="2"/>
      <c r="I229" s="2"/>
      <c r="J229" s="2"/>
    </row>
    <row r="230" spans="2:10" ht="15.75" customHeight="1" x14ac:dyDescent="0.2">
      <c r="B230" s="2"/>
      <c r="C230" s="37"/>
      <c r="D230" s="37"/>
      <c r="E230" s="330"/>
      <c r="F230" s="37"/>
      <c r="G230" s="37"/>
      <c r="H230" s="2"/>
      <c r="I230" s="2"/>
      <c r="J230" s="2"/>
    </row>
    <row r="231" spans="2:10" ht="15.75" customHeight="1" x14ac:dyDescent="0.2">
      <c r="B231" s="2"/>
      <c r="C231" s="37"/>
      <c r="D231" s="37"/>
      <c r="E231" s="330"/>
      <c r="F231" s="37"/>
      <c r="G231" s="37"/>
      <c r="H231" s="2"/>
      <c r="I231" s="2"/>
      <c r="J231" s="2"/>
    </row>
    <row r="232" spans="2:10" ht="15.75" customHeight="1" x14ac:dyDescent="0.2">
      <c r="B232" s="2"/>
      <c r="C232" s="37"/>
      <c r="D232" s="37"/>
      <c r="E232" s="330"/>
      <c r="F232" s="37"/>
      <c r="G232" s="37"/>
      <c r="H232" s="2"/>
      <c r="I232" s="2"/>
      <c r="J232" s="2"/>
    </row>
    <row r="233" spans="2:10" ht="15.75" customHeight="1" x14ac:dyDescent="0.2">
      <c r="B233" s="2"/>
      <c r="C233" s="37"/>
      <c r="D233" s="37"/>
      <c r="E233" s="330"/>
      <c r="F233" s="37"/>
      <c r="G233" s="37"/>
      <c r="H233" s="2"/>
      <c r="I233" s="2"/>
      <c r="J233" s="2"/>
    </row>
    <row r="234" spans="2:10" ht="15.75" customHeight="1" x14ac:dyDescent="0.2">
      <c r="B234" s="2"/>
      <c r="C234" s="37"/>
      <c r="D234" s="37"/>
      <c r="E234" s="330"/>
      <c r="F234" s="37"/>
      <c r="G234" s="37"/>
      <c r="H234" s="2"/>
      <c r="I234" s="2"/>
      <c r="J234" s="2"/>
    </row>
    <row r="235" spans="2:10" ht="15.75" customHeight="1" x14ac:dyDescent="0.2">
      <c r="B235" s="2"/>
      <c r="C235" s="37"/>
      <c r="D235" s="37"/>
      <c r="E235" s="330"/>
      <c r="F235" s="37"/>
      <c r="G235" s="37"/>
      <c r="H235" s="2"/>
      <c r="I235" s="2"/>
      <c r="J235" s="2"/>
    </row>
    <row r="236" spans="2:10" ht="15.75" customHeight="1" x14ac:dyDescent="0.2">
      <c r="B236" s="2"/>
      <c r="C236" s="37"/>
      <c r="D236" s="37"/>
      <c r="E236" s="330"/>
      <c r="F236" s="37"/>
      <c r="G236" s="37"/>
      <c r="H236" s="2"/>
      <c r="I236" s="2"/>
      <c r="J236" s="2"/>
    </row>
    <row r="237" spans="2:10" ht="15.75" customHeight="1" x14ac:dyDescent="0.2">
      <c r="B237" s="2"/>
      <c r="C237" s="37"/>
      <c r="D237" s="37"/>
      <c r="E237" s="330"/>
      <c r="F237" s="37"/>
      <c r="G237" s="37"/>
      <c r="H237" s="2"/>
      <c r="I237" s="2"/>
      <c r="J237" s="2"/>
    </row>
    <row r="238" spans="2:10" ht="15.75" customHeight="1" x14ac:dyDescent="0.2">
      <c r="B238" s="2"/>
      <c r="C238" s="37"/>
      <c r="D238" s="37"/>
      <c r="E238" s="330"/>
      <c r="F238" s="37"/>
      <c r="G238" s="37"/>
      <c r="H238" s="2"/>
      <c r="I238" s="2"/>
      <c r="J238" s="2"/>
    </row>
    <row r="239" spans="2:10" ht="15.75" customHeight="1" x14ac:dyDescent="0.2">
      <c r="B239" s="2"/>
      <c r="C239" s="37"/>
      <c r="D239" s="37"/>
      <c r="E239" s="330"/>
      <c r="F239" s="37"/>
      <c r="G239" s="37"/>
      <c r="H239" s="2"/>
      <c r="I239" s="2"/>
      <c r="J239" s="2"/>
    </row>
    <row r="240" spans="2:10" ht="15.75" customHeight="1" x14ac:dyDescent="0.2">
      <c r="B240" s="2"/>
      <c r="C240" s="37"/>
      <c r="D240" s="37"/>
      <c r="E240" s="330"/>
      <c r="F240" s="37"/>
      <c r="G240" s="37"/>
      <c r="H240" s="2"/>
      <c r="I240" s="2"/>
      <c r="J240" s="2"/>
    </row>
    <row r="241" spans="2:10" ht="15.75" customHeight="1" x14ac:dyDescent="0.2">
      <c r="B241" s="2"/>
      <c r="C241" s="37"/>
      <c r="D241" s="37"/>
      <c r="E241" s="330"/>
      <c r="F241" s="37"/>
      <c r="G241" s="37"/>
      <c r="H241" s="2"/>
      <c r="I241" s="2"/>
      <c r="J241" s="2"/>
    </row>
    <row r="242" spans="2:10" ht="15.75" customHeight="1" x14ac:dyDescent="0.2">
      <c r="B242" s="2"/>
      <c r="C242" s="37"/>
      <c r="D242" s="37"/>
      <c r="E242" s="330"/>
      <c r="F242" s="37"/>
      <c r="G242" s="37"/>
      <c r="H242" s="2"/>
      <c r="I242" s="2"/>
      <c r="J242" s="2"/>
    </row>
    <row r="243" spans="2:10" ht="15.75" customHeight="1" x14ac:dyDescent="0.2">
      <c r="B243" s="2"/>
      <c r="C243" s="37"/>
      <c r="D243" s="37"/>
      <c r="E243" s="330"/>
      <c r="F243" s="37"/>
      <c r="G243" s="37"/>
      <c r="H243" s="2"/>
      <c r="I243" s="2"/>
      <c r="J243" s="2"/>
    </row>
    <row r="244" spans="2:10" ht="15.75" customHeight="1" x14ac:dyDescent="0.2">
      <c r="B244" s="2"/>
      <c r="C244" s="37"/>
      <c r="D244" s="37"/>
      <c r="E244" s="330"/>
      <c r="F244" s="37"/>
      <c r="G244" s="37"/>
      <c r="H244" s="2"/>
      <c r="I244" s="2"/>
      <c r="J244" s="2"/>
    </row>
    <row r="245" spans="2:10" ht="15.75" customHeight="1" x14ac:dyDescent="0.2">
      <c r="B245" s="2"/>
      <c r="C245" s="37"/>
      <c r="D245" s="37"/>
      <c r="E245" s="330"/>
      <c r="F245" s="37"/>
      <c r="G245" s="37"/>
      <c r="H245" s="2"/>
      <c r="I245" s="2"/>
      <c r="J245" s="2"/>
    </row>
    <row r="246" spans="2:10" ht="15.75" customHeight="1" x14ac:dyDescent="0.2">
      <c r="B246" s="2"/>
      <c r="C246" s="37"/>
      <c r="D246" s="37"/>
      <c r="E246" s="330"/>
      <c r="F246" s="37"/>
      <c r="G246" s="37"/>
      <c r="H246" s="2"/>
      <c r="I246" s="2"/>
      <c r="J246" s="2"/>
    </row>
    <row r="247" spans="2:10" ht="15.75" customHeight="1" x14ac:dyDescent="0.2">
      <c r="B247" s="2"/>
      <c r="C247" s="37"/>
      <c r="D247" s="37"/>
      <c r="E247" s="330"/>
      <c r="F247" s="37"/>
      <c r="G247" s="37"/>
      <c r="H247" s="2"/>
      <c r="I247" s="2"/>
      <c r="J247" s="2"/>
    </row>
    <row r="248" spans="2:10" ht="15.75" customHeight="1" x14ac:dyDescent="0.2">
      <c r="B248" s="2"/>
      <c r="C248" s="37"/>
      <c r="D248" s="37"/>
      <c r="E248" s="330"/>
      <c r="F248" s="37"/>
      <c r="G248" s="37"/>
      <c r="H248" s="2"/>
      <c r="I248" s="2"/>
      <c r="J248" s="2"/>
    </row>
    <row r="249" spans="2:10" ht="15.75" customHeight="1" x14ac:dyDescent="0.2">
      <c r="B249" s="2"/>
      <c r="C249" s="37"/>
      <c r="D249" s="37"/>
      <c r="E249" s="330"/>
      <c r="F249" s="37"/>
      <c r="G249" s="37"/>
      <c r="H249" s="2"/>
      <c r="I249" s="2"/>
      <c r="J249" s="2"/>
    </row>
    <row r="250" spans="2:10" ht="15.75" customHeight="1" x14ac:dyDescent="0.2">
      <c r="B250" s="2"/>
      <c r="C250" s="37"/>
      <c r="D250" s="37"/>
      <c r="E250" s="330"/>
      <c r="F250" s="37"/>
      <c r="G250" s="37"/>
      <c r="H250" s="2"/>
      <c r="I250" s="2"/>
      <c r="J250" s="2"/>
    </row>
    <row r="251" spans="2:10" ht="15.75" customHeight="1" x14ac:dyDescent="0.2">
      <c r="B251" s="2"/>
      <c r="C251" s="37"/>
      <c r="D251" s="37"/>
      <c r="E251" s="330"/>
      <c r="F251" s="37"/>
      <c r="G251" s="37"/>
      <c r="H251" s="2"/>
      <c r="I251" s="2"/>
      <c r="J251" s="2"/>
    </row>
    <row r="252" spans="2:10" ht="15.75" customHeight="1" x14ac:dyDescent="0.2">
      <c r="B252" s="2"/>
      <c r="C252" s="37"/>
      <c r="D252" s="37"/>
      <c r="E252" s="330"/>
      <c r="F252" s="37"/>
      <c r="G252" s="37"/>
      <c r="H252" s="2"/>
      <c r="I252" s="2"/>
      <c r="J252" s="2"/>
    </row>
    <row r="253" spans="2:10" ht="15.75" customHeight="1" x14ac:dyDescent="0.2">
      <c r="B253" s="2"/>
      <c r="C253" s="37"/>
      <c r="D253" s="37"/>
      <c r="E253" s="330"/>
      <c r="F253" s="37"/>
      <c r="G253" s="37"/>
      <c r="H253" s="2"/>
      <c r="I253" s="2"/>
      <c r="J253" s="2"/>
    </row>
    <row r="254" spans="2:10" ht="15.75" customHeight="1" x14ac:dyDescent="0.2">
      <c r="B254" s="2"/>
      <c r="C254" s="37"/>
      <c r="D254" s="37"/>
      <c r="E254" s="330"/>
      <c r="F254" s="37"/>
      <c r="G254" s="37"/>
      <c r="H254" s="2"/>
      <c r="I254" s="2"/>
      <c r="J254" s="2"/>
    </row>
    <row r="255" spans="2:10" ht="15.75" customHeight="1" x14ac:dyDescent="0.2">
      <c r="B255" s="2"/>
      <c r="C255" s="37"/>
      <c r="D255" s="37"/>
      <c r="E255" s="330"/>
      <c r="F255" s="37"/>
      <c r="G255" s="37"/>
      <c r="H255" s="2"/>
      <c r="I255" s="2"/>
      <c r="J255" s="2"/>
    </row>
    <row r="256" spans="2:10" ht="15.75" customHeight="1" x14ac:dyDescent="0.2">
      <c r="B256" s="2"/>
      <c r="C256" s="37"/>
      <c r="D256" s="37"/>
      <c r="E256" s="330"/>
      <c r="F256" s="37"/>
      <c r="G256" s="37"/>
      <c r="H256" s="2"/>
      <c r="I256" s="2"/>
      <c r="J256" s="2"/>
    </row>
    <row r="257" spans="2:10" ht="15.75" customHeight="1" x14ac:dyDescent="0.2">
      <c r="B257" s="2"/>
      <c r="C257" s="37"/>
      <c r="D257" s="37"/>
      <c r="E257" s="330"/>
      <c r="F257" s="37"/>
      <c r="G257" s="37"/>
      <c r="H257" s="2"/>
      <c r="I257" s="2"/>
      <c r="J257" s="2"/>
    </row>
    <row r="258" spans="2:10" ht="15.75" customHeight="1" x14ac:dyDescent="0.2">
      <c r="B258" s="2"/>
      <c r="C258" s="37"/>
      <c r="D258" s="37"/>
      <c r="E258" s="330"/>
      <c r="F258" s="37"/>
      <c r="G258" s="37"/>
      <c r="H258" s="2"/>
      <c r="I258" s="2"/>
      <c r="J258" s="2"/>
    </row>
    <row r="259" spans="2:10" ht="15.75" customHeight="1" x14ac:dyDescent="0.2">
      <c r="B259" s="2"/>
      <c r="C259" s="37"/>
      <c r="D259" s="37"/>
      <c r="E259" s="330"/>
      <c r="F259" s="37"/>
      <c r="G259" s="37"/>
      <c r="H259" s="2"/>
      <c r="I259" s="2"/>
      <c r="J259" s="2"/>
    </row>
    <row r="260" spans="2:10" ht="15.75" customHeight="1" x14ac:dyDescent="0.2">
      <c r="B260" s="2"/>
      <c r="C260" s="37"/>
      <c r="D260" s="37"/>
      <c r="E260" s="330"/>
      <c r="F260" s="37"/>
      <c r="G260" s="37"/>
      <c r="H260" s="2"/>
      <c r="I260" s="2"/>
      <c r="J260" s="2"/>
    </row>
    <row r="261" spans="2:10" ht="15.75" customHeight="1" x14ac:dyDescent="0.2">
      <c r="B261" s="2"/>
      <c r="C261" s="37"/>
      <c r="D261" s="37"/>
      <c r="E261" s="330"/>
      <c r="F261" s="37"/>
      <c r="G261" s="37"/>
      <c r="H261" s="2"/>
      <c r="I261" s="2"/>
      <c r="J261" s="2"/>
    </row>
    <row r="262" spans="2:10" ht="15.75" customHeight="1" x14ac:dyDescent="0.2">
      <c r="B262" s="2"/>
      <c r="C262" s="37"/>
      <c r="D262" s="37"/>
      <c r="E262" s="330"/>
      <c r="F262" s="37"/>
      <c r="G262" s="37"/>
      <c r="H262" s="2"/>
      <c r="I262" s="2"/>
      <c r="J262" s="2"/>
    </row>
    <row r="263" spans="2:10" ht="15.75" customHeight="1" x14ac:dyDescent="0.2">
      <c r="B263" s="2"/>
      <c r="C263" s="37"/>
      <c r="D263" s="37"/>
      <c r="E263" s="330"/>
      <c r="F263" s="37"/>
      <c r="G263" s="37"/>
      <c r="H263" s="2"/>
      <c r="I263" s="2"/>
      <c r="J263" s="2"/>
    </row>
    <row r="264" spans="2:10" ht="15.75" customHeight="1" x14ac:dyDescent="0.2">
      <c r="B264" s="2"/>
      <c r="C264" s="37"/>
      <c r="D264" s="37"/>
      <c r="E264" s="330"/>
      <c r="F264" s="37"/>
      <c r="G264" s="37"/>
      <c r="H264" s="2"/>
      <c r="I264" s="2"/>
      <c r="J264" s="2"/>
    </row>
    <row r="265" spans="2:10" ht="15.75" customHeight="1" x14ac:dyDescent="0.2">
      <c r="B265" s="2"/>
      <c r="C265" s="37"/>
      <c r="D265" s="37"/>
      <c r="E265" s="330"/>
      <c r="F265" s="37"/>
      <c r="G265" s="37"/>
      <c r="H265" s="2"/>
      <c r="I265" s="2"/>
      <c r="J265" s="2"/>
    </row>
    <row r="266" spans="2:10" ht="15.75" customHeight="1" x14ac:dyDescent="0.2">
      <c r="B266" s="2"/>
      <c r="C266" s="37"/>
      <c r="D266" s="37"/>
      <c r="E266" s="330"/>
      <c r="F266" s="37"/>
      <c r="G266" s="37"/>
      <c r="H266" s="2"/>
      <c r="I266" s="2"/>
      <c r="J266" s="2"/>
    </row>
    <row r="267" spans="2:10" ht="15.75" customHeight="1" x14ac:dyDescent="0.2">
      <c r="B267" s="2"/>
      <c r="C267" s="37"/>
      <c r="D267" s="37"/>
      <c r="E267" s="330"/>
      <c r="F267" s="37"/>
      <c r="G267" s="37"/>
      <c r="H267" s="2"/>
      <c r="I267" s="2"/>
      <c r="J267" s="2"/>
    </row>
    <row r="268" spans="2:10" ht="15.75" customHeight="1" x14ac:dyDescent="0.2">
      <c r="B268" s="2"/>
      <c r="C268" s="37"/>
      <c r="D268" s="37"/>
      <c r="E268" s="330"/>
      <c r="F268" s="37"/>
      <c r="G268" s="37"/>
      <c r="H268" s="2"/>
      <c r="I268" s="2"/>
      <c r="J268" s="2"/>
    </row>
    <row r="269" spans="2:10" ht="15.75" customHeight="1" x14ac:dyDescent="0.2">
      <c r="B269" s="2"/>
      <c r="C269" s="37"/>
      <c r="D269" s="37"/>
      <c r="E269" s="330"/>
      <c r="F269" s="37"/>
      <c r="G269" s="37"/>
      <c r="H269" s="2"/>
      <c r="I269" s="2"/>
      <c r="J269" s="2"/>
    </row>
    <row r="270" spans="2:10" ht="15.75" customHeight="1" x14ac:dyDescent="0.2">
      <c r="B270" s="2"/>
      <c r="C270" s="37"/>
      <c r="D270" s="37"/>
      <c r="E270" s="330"/>
      <c r="F270" s="37"/>
      <c r="G270" s="37"/>
      <c r="H270" s="2"/>
      <c r="I270" s="2"/>
      <c r="J270" s="2"/>
    </row>
    <row r="271" spans="2:10" ht="15.75" customHeight="1" x14ac:dyDescent="0.2">
      <c r="B271" s="2"/>
      <c r="C271" s="37"/>
      <c r="D271" s="37"/>
      <c r="E271" s="330"/>
      <c r="F271" s="37"/>
      <c r="G271" s="37"/>
      <c r="H271" s="2"/>
      <c r="I271" s="2"/>
      <c r="J271" s="2"/>
    </row>
    <row r="272" spans="2:10" ht="15.75" customHeight="1" x14ac:dyDescent="0.2">
      <c r="B272" s="2"/>
      <c r="C272" s="37"/>
      <c r="D272" s="37"/>
      <c r="E272" s="330"/>
      <c r="F272" s="37"/>
      <c r="G272" s="37"/>
      <c r="H272" s="2"/>
      <c r="I272" s="2"/>
      <c r="J272" s="2"/>
    </row>
    <row r="273" spans="2:10" ht="15.75" customHeight="1" x14ac:dyDescent="0.2">
      <c r="B273" s="2"/>
      <c r="C273" s="37"/>
      <c r="D273" s="37"/>
      <c r="E273" s="330"/>
      <c r="F273" s="37"/>
      <c r="G273" s="37"/>
      <c r="H273" s="2"/>
      <c r="I273" s="2"/>
      <c r="J273" s="2"/>
    </row>
    <row r="274" spans="2:10" ht="15.75" customHeight="1" x14ac:dyDescent="0.2">
      <c r="B274" s="2"/>
      <c r="C274" s="37"/>
      <c r="D274" s="37"/>
      <c r="E274" s="330"/>
      <c r="F274" s="37"/>
      <c r="G274" s="37"/>
      <c r="H274" s="2"/>
      <c r="I274" s="2"/>
      <c r="J274" s="2"/>
    </row>
    <row r="275" spans="2:10" ht="15.75" customHeight="1" x14ac:dyDescent="0.2">
      <c r="B275" s="2"/>
      <c r="C275" s="37"/>
      <c r="D275" s="37"/>
      <c r="E275" s="330"/>
      <c r="F275" s="37"/>
      <c r="G275" s="37"/>
      <c r="H275" s="2"/>
      <c r="I275" s="2"/>
      <c r="J275" s="2"/>
    </row>
    <row r="276" spans="2:10" ht="15.75" customHeight="1" x14ac:dyDescent="0.2">
      <c r="B276" s="2"/>
      <c r="C276" s="37"/>
      <c r="D276" s="37"/>
      <c r="E276" s="330"/>
      <c r="F276" s="37"/>
      <c r="G276" s="37"/>
      <c r="H276" s="2"/>
      <c r="I276" s="2"/>
      <c r="J276" s="2"/>
    </row>
    <row r="277" spans="2:10" ht="15.75" customHeight="1" x14ac:dyDescent="0.2">
      <c r="B277" s="2"/>
      <c r="C277" s="37"/>
      <c r="D277" s="37"/>
      <c r="E277" s="330"/>
      <c r="F277" s="37"/>
      <c r="G277" s="37"/>
      <c r="H277" s="2"/>
      <c r="I277" s="2"/>
      <c r="J277" s="2"/>
    </row>
    <row r="278" spans="2:10" ht="15.75" customHeight="1" x14ac:dyDescent="0.2">
      <c r="B278" s="2"/>
      <c r="C278" s="37"/>
      <c r="D278" s="37"/>
      <c r="E278" s="330"/>
      <c r="F278" s="37"/>
      <c r="G278" s="37"/>
      <c r="H278" s="2"/>
      <c r="I278" s="2"/>
      <c r="J278" s="2"/>
    </row>
    <row r="279" spans="2:10" ht="15.75" customHeight="1" x14ac:dyDescent="0.2">
      <c r="B279" s="2"/>
      <c r="C279" s="37"/>
      <c r="D279" s="37"/>
      <c r="E279" s="330"/>
      <c r="F279" s="37"/>
      <c r="G279" s="37"/>
      <c r="H279" s="2"/>
      <c r="I279" s="2"/>
      <c r="J279" s="2"/>
    </row>
    <row r="280" spans="2:10" ht="15.75" customHeight="1" x14ac:dyDescent="0.2">
      <c r="B280" s="2"/>
      <c r="C280" s="37"/>
      <c r="D280" s="37"/>
      <c r="E280" s="330"/>
      <c r="F280" s="37"/>
      <c r="G280" s="37"/>
      <c r="H280" s="2"/>
      <c r="I280" s="2"/>
      <c r="J280" s="2"/>
    </row>
    <row r="281" spans="2:10" ht="15.75" customHeight="1" x14ac:dyDescent="0.2">
      <c r="B281" s="2"/>
      <c r="C281" s="37"/>
      <c r="D281" s="37"/>
      <c r="E281" s="330"/>
      <c r="F281" s="37"/>
      <c r="G281" s="37"/>
      <c r="H281" s="2"/>
      <c r="I281" s="2"/>
      <c r="J281" s="2"/>
    </row>
    <row r="282" spans="2:10" ht="15.75" customHeight="1" x14ac:dyDescent="0.2">
      <c r="B282" s="2"/>
      <c r="C282" s="37"/>
      <c r="D282" s="37"/>
      <c r="E282" s="330"/>
      <c r="F282" s="37"/>
      <c r="G282" s="37"/>
      <c r="H282" s="2"/>
      <c r="I282" s="2"/>
      <c r="J282" s="2"/>
    </row>
    <row r="283" spans="2:10" ht="15.75" customHeight="1" x14ac:dyDescent="0.2">
      <c r="B283" s="2"/>
      <c r="C283" s="37"/>
      <c r="D283" s="37"/>
      <c r="E283" s="330"/>
      <c r="F283" s="37"/>
      <c r="G283" s="37"/>
      <c r="H283" s="2"/>
      <c r="I283" s="2"/>
      <c r="J283" s="2"/>
    </row>
    <row r="284" spans="2:10" ht="15.75" customHeight="1" x14ac:dyDescent="0.2">
      <c r="B284" s="2"/>
      <c r="C284" s="37"/>
      <c r="D284" s="37"/>
      <c r="E284" s="330"/>
      <c r="F284" s="37"/>
      <c r="G284" s="37"/>
      <c r="H284" s="2"/>
      <c r="I284" s="2"/>
      <c r="J284" s="2"/>
    </row>
    <row r="285" spans="2:10" ht="15.75" customHeight="1" x14ac:dyDescent="0.2">
      <c r="B285" s="2"/>
      <c r="C285" s="37"/>
      <c r="D285" s="37"/>
      <c r="E285" s="330"/>
      <c r="F285" s="37"/>
      <c r="G285" s="37"/>
      <c r="H285" s="2"/>
      <c r="I285" s="2"/>
      <c r="J285" s="2"/>
    </row>
    <row r="286" spans="2:10" ht="15.75" customHeight="1" x14ac:dyDescent="0.2">
      <c r="B286" s="2"/>
      <c r="C286" s="37"/>
      <c r="D286" s="37"/>
      <c r="E286" s="330"/>
      <c r="F286" s="37"/>
      <c r="G286" s="37"/>
      <c r="H286" s="2"/>
      <c r="I286" s="2"/>
      <c r="J286" s="2"/>
    </row>
    <row r="287" spans="2:10" ht="15.75" customHeight="1" x14ac:dyDescent="0.2">
      <c r="B287" s="2"/>
      <c r="C287" s="37"/>
      <c r="D287" s="37"/>
      <c r="E287" s="330"/>
      <c r="F287" s="37"/>
      <c r="G287" s="37"/>
      <c r="H287" s="2"/>
      <c r="I287" s="2"/>
      <c r="J287" s="2"/>
    </row>
    <row r="288" spans="2:10" ht="15.75" customHeight="1" x14ac:dyDescent="0.2">
      <c r="B288" s="2"/>
      <c r="C288" s="37"/>
      <c r="D288" s="37"/>
      <c r="E288" s="330"/>
      <c r="F288" s="37"/>
      <c r="G288" s="37"/>
      <c r="H288" s="2"/>
      <c r="I288" s="2"/>
      <c r="J288" s="2"/>
    </row>
    <row r="289" spans="2:10" ht="15.75" customHeight="1" x14ac:dyDescent="0.2">
      <c r="B289" s="2"/>
      <c r="C289" s="37"/>
      <c r="D289" s="37"/>
      <c r="E289" s="330"/>
      <c r="F289" s="37"/>
      <c r="G289" s="37"/>
      <c r="H289" s="2"/>
      <c r="I289" s="2"/>
      <c r="J289" s="2"/>
    </row>
    <row r="290" spans="2:10" ht="15.75" customHeight="1" x14ac:dyDescent="0.2">
      <c r="B290" s="2"/>
      <c r="C290" s="37"/>
      <c r="D290" s="37"/>
      <c r="E290" s="330"/>
      <c r="F290" s="37"/>
      <c r="G290" s="37"/>
      <c r="H290" s="2"/>
      <c r="I290" s="2"/>
      <c r="J290" s="2"/>
    </row>
    <row r="291" spans="2:10" ht="15.75" customHeight="1" x14ac:dyDescent="0.2">
      <c r="B291" s="2"/>
      <c r="C291" s="37"/>
      <c r="D291" s="37"/>
      <c r="E291" s="330"/>
      <c r="F291" s="37"/>
      <c r="G291" s="37"/>
      <c r="H291" s="2"/>
      <c r="I291" s="2"/>
      <c r="J291" s="2"/>
    </row>
    <row r="292" spans="2:10" ht="15.75" customHeight="1" x14ac:dyDescent="0.2">
      <c r="B292" s="2"/>
      <c r="C292" s="37"/>
      <c r="D292" s="37"/>
      <c r="E292" s="330"/>
      <c r="F292" s="37"/>
      <c r="G292" s="37"/>
      <c r="H292" s="2"/>
      <c r="I292" s="2"/>
      <c r="J292" s="2"/>
    </row>
    <row r="293" spans="2:10" ht="15.75" customHeight="1" x14ac:dyDescent="0.2">
      <c r="B293" s="2"/>
      <c r="C293" s="37"/>
      <c r="D293" s="37"/>
      <c r="E293" s="330"/>
      <c r="F293" s="37"/>
      <c r="G293" s="37"/>
      <c r="H293" s="2"/>
      <c r="I293" s="2"/>
      <c r="J293" s="2"/>
    </row>
    <row r="294" spans="2:10" ht="15.75" customHeight="1" x14ac:dyDescent="0.2">
      <c r="B294" s="2"/>
      <c r="C294" s="37"/>
      <c r="D294" s="37"/>
      <c r="E294" s="330"/>
      <c r="F294" s="37"/>
      <c r="G294" s="37"/>
      <c r="H294" s="2"/>
      <c r="I294" s="2"/>
      <c r="J294" s="2"/>
    </row>
    <row r="295" spans="2:10" ht="15.75" customHeight="1" x14ac:dyDescent="0.2">
      <c r="B295" s="2"/>
      <c r="C295" s="37"/>
      <c r="D295" s="37"/>
      <c r="E295" s="330"/>
      <c r="F295" s="37"/>
      <c r="G295" s="37"/>
      <c r="H295" s="2"/>
      <c r="I295" s="2"/>
      <c r="J295" s="2"/>
    </row>
    <row r="296" spans="2:10" ht="15.75" customHeight="1" x14ac:dyDescent="0.2">
      <c r="B296" s="2"/>
      <c r="C296" s="37"/>
      <c r="D296" s="37"/>
      <c r="E296" s="330"/>
      <c r="F296" s="37"/>
      <c r="G296" s="37"/>
      <c r="H296" s="2"/>
      <c r="I296" s="2"/>
      <c r="J296" s="2"/>
    </row>
    <row r="297" spans="2:10" ht="15.75" customHeight="1" x14ac:dyDescent="0.2">
      <c r="B297" s="2"/>
      <c r="C297" s="37"/>
      <c r="D297" s="37"/>
      <c r="E297" s="330"/>
      <c r="F297" s="37"/>
      <c r="G297" s="37"/>
      <c r="H297" s="2"/>
      <c r="I297" s="2"/>
      <c r="J297" s="2"/>
    </row>
    <row r="298" spans="2:10" ht="15.75" customHeight="1" x14ac:dyDescent="0.2">
      <c r="B298" s="2"/>
      <c r="C298" s="37"/>
      <c r="D298" s="37"/>
      <c r="E298" s="330"/>
      <c r="F298" s="37"/>
      <c r="G298" s="37"/>
      <c r="H298" s="2"/>
      <c r="I298" s="2"/>
      <c r="J298" s="2"/>
    </row>
    <row r="299" spans="2:10" ht="15.75" customHeight="1" x14ac:dyDescent="0.2">
      <c r="B299" s="2"/>
      <c r="C299" s="37"/>
      <c r="D299" s="37"/>
      <c r="E299" s="330"/>
      <c r="F299" s="37"/>
      <c r="G299" s="37"/>
      <c r="H299" s="2"/>
      <c r="I299" s="2"/>
      <c r="J299" s="2"/>
    </row>
    <row r="300" spans="2:10" ht="15.75" customHeight="1" x14ac:dyDescent="0.2">
      <c r="B300" s="2"/>
      <c r="C300" s="37"/>
      <c r="D300" s="37"/>
      <c r="E300" s="330"/>
      <c r="F300" s="37"/>
      <c r="G300" s="37"/>
      <c r="H300" s="2"/>
      <c r="I300" s="2"/>
      <c r="J300" s="2"/>
    </row>
    <row r="301" spans="2:10" ht="15.75" customHeight="1" x14ac:dyDescent="0.2">
      <c r="B301" s="2"/>
      <c r="C301" s="37"/>
      <c r="D301" s="37"/>
      <c r="E301" s="330"/>
      <c r="F301" s="37"/>
      <c r="G301" s="37"/>
      <c r="H301" s="2"/>
      <c r="I301" s="2"/>
      <c r="J301" s="2"/>
    </row>
    <row r="302" spans="2:10" ht="15.75" customHeight="1" x14ac:dyDescent="0.2">
      <c r="B302" s="2"/>
      <c r="C302" s="37"/>
      <c r="D302" s="37"/>
      <c r="E302" s="330"/>
      <c r="F302" s="37"/>
      <c r="G302" s="37"/>
      <c r="H302" s="2"/>
      <c r="I302" s="2"/>
      <c r="J302" s="2"/>
    </row>
    <row r="303" spans="2:10" ht="15.75" customHeight="1" x14ac:dyDescent="0.2">
      <c r="B303" s="2"/>
      <c r="C303" s="37"/>
      <c r="D303" s="37"/>
      <c r="E303" s="330"/>
      <c r="F303" s="37"/>
      <c r="G303" s="37"/>
      <c r="H303" s="2"/>
      <c r="I303" s="2"/>
      <c r="J303" s="2"/>
    </row>
    <row r="304" spans="2:10" ht="15.75" customHeight="1" x14ac:dyDescent="0.2">
      <c r="B304" s="2"/>
      <c r="C304" s="37"/>
      <c r="D304" s="37"/>
      <c r="E304" s="330"/>
      <c r="F304" s="37"/>
      <c r="G304" s="37"/>
      <c r="H304" s="2"/>
      <c r="I304" s="2"/>
      <c r="J304" s="2"/>
    </row>
    <row r="305" spans="2:10" ht="15.75" customHeight="1" x14ac:dyDescent="0.2">
      <c r="B305" s="2"/>
      <c r="C305" s="37"/>
      <c r="D305" s="37"/>
      <c r="E305" s="330"/>
      <c r="F305" s="37"/>
      <c r="G305" s="37"/>
      <c r="H305" s="2"/>
      <c r="I305" s="2"/>
      <c r="J305" s="2"/>
    </row>
    <row r="306" spans="2:10" ht="15.75" customHeight="1" x14ac:dyDescent="0.2">
      <c r="B306" s="2"/>
      <c r="C306" s="37"/>
      <c r="D306" s="37"/>
      <c r="E306" s="330"/>
      <c r="F306" s="37"/>
      <c r="G306" s="37"/>
      <c r="H306" s="2"/>
      <c r="I306" s="2"/>
      <c r="J306" s="2"/>
    </row>
    <row r="307" spans="2:10" ht="15.75" customHeight="1" x14ac:dyDescent="0.2">
      <c r="B307" s="2"/>
      <c r="C307" s="37"/>
      <c r="D307" s="37"/>
      <c r="E307" s="330"/>
      <c r="F307" s="37"/>
      <c r="G307" s="37"/>
      <c r="H307" s="2"/>
      <c r="I307" s="2"/>
      <c r="J307" s="2"/>
    </row>
    <row r="308" spans="2:10" ht="15.75" customHeight="1" x14ac:dyDescent="0.2">
      <c r="B308" s="2"/>
      <c r="C308" s="37"/>
      <c r="D308" s="37"/>
      <c r="E308" s="330"/>
      <c r="F308" s="37"/>
      <c r="G308" s="37"/>
      <c r="H308" s="2"/>
      <c r="I308" s="2"/>
      <c r="J308" s="2"/>
    </row>
    <row r="309" spans="2:10" ht="15.75" customHeight="1" x14ac:dyDescent="0.2">
      <c r="B309" s="2"/>
      <c r="C309" s="37"/>
      <c r="D309" s="37"/>
      <c r="E309" s="330"/>
      <c r="F309" s="37"/>
      <c r="G309" s="37"/>
      <c r="H309" s="2"/>
      <c r="I309" s="2"/>
      <c r="J309" s="2"/>
    </row>
    <row r="310" spans="2:10" ht="15.75" customHeight="1" x14ac:dyDescent="0.2">
      <c r="B310" s="2"/>
      <c r="C310" s="37"/>
      <c r="D310" s="37"/>
      <c r="E310" s="330"/>
      <c r="F310" s="37"/>
      <c r="G310" s="37"/>
      <c r="H310" s="2"/>
      <c r="I310" s="2"/>
      <c r="J310" s="2"/>
    </row>
    <row r="311" spans="2:10" ht="15.75" customHeight="1" x14ac:dyDescent="0.2">
      <c r="B311" s="2"/>
      <c r="C311" s="37"/>
      <c r="D311" s="37"/>
      <c r="E311" s="330"/>
      <c r="F311" s="37"/>
      <c r="G311" s="37"/>
      <c r="H311" s="2"/>
      <c r="I311" s="2"/>
      <c r="J311" s="2"/>
    </row>
    <row r="312" spans="2:10" ht="15.75" customHeight="1" x14ac:dyDescent="0.2">
      <c r="B312" s="2"/>
      <c r="C312" s="37"/>
      <c r="D312" s="37"/>
      <c r="E312" s="330"/>
      <c r="F312" s="37"/>
      <c r="G312" s="37"/>
      <c r="H312" s="2"/>
      <c r="I312" s="2"/>
      <c r="J312" s="2"/>
    </row>
    <row r="313" spans="2:10" ht="15.75" customHeight="1" x14ac:dyDescent="0.2">
      <c r="B313" s="2"/>
      <c r="C313" s="37"/>
      <c r="D313" s="37"/>
      <c r="E313" s="330"/>
      <c r="F313" s="37"/>
      <c r="G313" s="37"/>
      <c r="H313" s="2"/>
      <c r="I313" s="2"/>
      <c r="J313" s="2"/>
    </row>
    <row r="314" spans="2:10" ht="15.75" customHeight="1" x14ac:dyDescent="0.2">
      <c r="B314" s="2"/>
      <c r="C314" s="37"/>
      <c r="D314" s="37"/>
      <c r="E314" s="330"/>
      <c r="F314" s="37"/>
      <c r="G314" s="37"/>
      <c r="H314" s="2"/>
      <c r="I314" s="2"/>
      <c r="J314" s="2"/>
    </row>
    <row r="315" spans="2:10" ht="15.75" customHeight="1" x14ac:dyDescent="0.2">
      <c r="B315" s="2"/>
      <c r="C315" s="37"/>
      <c r="D315" s="37"/>
      <c r="E315" s="330"/>
      <c r="F315" s="37"/>
      <c r="G315" s="37"/>
      <c r="H315" s="2"/>
      <c r="I315" s="2"/>
      <c r="J315" s="2"/>
    </row>
    <row r="316" spans="2:10" ht="15.75" customHeight="1" x14ac:dyDescent="0.2">
      <c r="B316" s="2"/>
      <c r="C316" s="37"/>
      <c r="D316" s="37"/>
      <c r="E316" s="330"/>
      <c r="F316" s="37"/>
      <c r="G316" s="37"/>
      <c r="H316" s="2"/>
      <c r="I316" s="2"/>
      <c r="J316" s="2"/>
    </row>
    <row r="317" spans="2:10" ht="15.75" customHeight="1" x14ac:dyDescent="0.2">
      <c r="B317" s="2"/>
      <c r="C317" s="37"/>
      <c r="D317" s="37"/>
      <c r="E317" s="330"/>
      <c r="F317" s="37"/>
      <c r="G317" s="37"/>
      <c r="H317" s="2"/>
      <c r="I317" s="2"/>
      <c r="J317" s="2"/>
    </row>
    <row r="318" spans="2:10" ht="15.75" customHeight="1" x14ac:dyDescent="0.2">
      <c r="B318" s="2"/>
      <c r="C318" s="37"/>
      <c r="D318" s="37"/>
      <c r="E318" s="330"/>
      <c r="F318" s="37"/>
      <c r="G318" s="37"/>
      <c r="H318" s="2"/>
      <c r="I318" s="2"/>
      <c r="J318" s="2"/>
    </row>
    <row r="319" spans="2:10" ht="15.75" customHeight="1" x14ac:dyDescent="0.2">
      <c r="B319" s="2"/>
      <c r="C319" s="37"/>
      <c r="D319" s="37"/>
      <c r="E319" s="330"/>
      <c r="F319" s="37"/>
      <c r="G319" s="37"/>
      <c r="H319" s="2"/>
      <c r="I319" s="2"/>
      <c r="J319" s="2"/>
    </row>
    <row r="320" spans="2:10" ht="15.75" customHeight="1" x14ac:dyDescent="0.2">
      <c r="B320" s="2"/>
      <c r="C320" s="37"/>
      <c r="D320" s="37"/>
      <c r="E320" s="330"/>
      <c r="F320" s="37"/>
      <c r="G320" s="37"/>
      <c r="H320" s="2"/>
      <c r="I320" s="2"/>
      <c r="J320" s="2"/>
    </row>
    <row r="321" spans="2:10" ht="15.75" customHeight="1" x14ac:dyDescent="0.2">
      <c r="B321" s="2"/>
      <c r="C321" s="37"/>
      <c r="D321" s="37"/>
      <c r="E321" s="330"/>
      <c r="F321" s="37"/>
      <c r="G321" s="37"/>
      <c r="H321" s="2"/>
      <c r="I321" s="2"/>
      <c r="J321" s="2"/>
    </row>
    <row r="322" spans="2:10" ht="15.75" customHeight="1" x14ac:dyDescent="0.2">
      <c r="B322" s="2"/>
      <c r="C322" s="37"/>
      <c r="D322" s="37"/>
      <c r="E322" s="330"/>
      <c r="F322" s="37"/>
      <c r="G322" s="37"/>
      <c r="H322" s="2"/>
      <c r="I322" s="2"/>
      <c r="J322" s="2"/>
    </row>
    <row r="323" spans="2:10" ht="15.75" customHeight="1" x14ac:dyDescent="0.2">
      <c r="B323" s="2"/>
      <c r="C323" s="37"/>
      <c r="D323" s="37"/>
      <c r="E323" s="330"/>
      <c r="F323" s="37"/>
      <c r="G323" s="37"/>
      <c r="H323" s="2"/>
      <c r="I323" s="2"/>
      <c r="J323" s="2"/>
    </row>
    <row r="324" spans="2:10" ht="15.75" customHeight="1" x14ac:dyDescent="0.2">
      <c r="B324" s="2"/>
      <c r="C324" s="37"/>
      <c r="D324" s="37"/>
      <c r="E324" s="330"/>
      <c r="F324" s="37"/>
      <c r="G324" s="37"/>
      <c r="H324" s="2"/>
      <c r="I324" s="2"/>
      <c r="J324" s="2"/>
    </row>
    <row r="325" spans="2:10" ht="15.75" customHeight="1" x14ac:dyDescent="0.2">
      <c r="B325" s="2"/>
      <c r="C325" s="37"/>
      <c r="D325" s="37"/>
      <c r="E325" s="330"/>
      <c r="F325" s="37"/>
      <c r="G325" s="37"/>
      <c r="H325" s="2"/>
      <c r="I325" s="2"/>
      <c r="J325" s="2"/>
    </row>
    <row r="326" spans="2:10" ht="15.75" customHeight="1" x14ac:dyDescent="0.2">
      <c r="B326" s="2"/>
      <c r="C326" s="37"/>
      <c r="D326" s="37"/>
      <c r="E326" s="330"/>
      <c r="F326" s="37"/>
      <c r="G326" s="37"/>
      <c r="H326" s="2"/>
      <c r="I326" s="2"/>
      <c r="J326" s="2"/>
    </row>
    <row r="327" spans="2:10" ht="15.75" customHeight="1" x14ac:dyDescent="0.2">
      <c r="B327" s="2"/>
      <c r="C327" s="37"/>
      <c r="D327" s="37"/>
      <c r="E327" s="330"/>
      <c r="F327" s="37"/>
      <c r="G327" s="37"/>
      <c r="H327" s="2"/>
      <c r="I327" s="2"/>
      <c r="J327" s="2"/>
    </row>
    <row r="328" spans="2:10" ht="15.75" customHeight="1" x14ac:dyDescent="0.2">
      <c r="B328" s="2"/>
      <c r="C328" s="37"/>
      <c r="D328" s="37"/>
      <c r="E328" s="330"/>
      <c r="F328" s="37"/>
      <c r="G328" s="37"/>
      <c r="H328" s="2"/>
      <c r="I328" s="2"/>
      <c r="J328" s="2"/>
    </row>
    <row r="329" spans="2:10" ht="15.75" customHeight="1" x14ac:dyDescent="0.2">
      <c r="B329" s="2"/>
      <c r="C329" s="37"/>
      <c r="D329" s="37"/>
      <c r="E329" s="330"/>
      <c r="F329" s="37"/>
      <c r="G329" s="37"/>
      <c r="H329" s="2"/>
      <c r="I329" s="2"/>
      <c r="J329" s="2"/>
    </row>
    <row r="330" spans="2:10" ht="15.75" customHeight="1" x14ac:dyDescent="0.2">
      <c r="B330" s="2"/>
      <c r="C330" s="37"/>
      <c r="D330" s="37"/>
      <c r="E330" s="330"/>
      <c r="F330" s="37"/>
      <c r="G330" s="37"/>
      <c r="H330" s="2"/>
      <c r="I330" s="2"/>
      <c r="J330" s="2"/>
    </row>
    <row r="331" spans="2:10" ht="15.75" customHeight="1" x14ac:dyDescent="0.2">
      <c r="B331" s="2"/>
      <c r="C331" s="37"/>
      <c r="D331" s="37"/>
      <c r="E331" s="330"/>
      <c r="F331" s="37"/>
      <c r="G331" s="37"/>
      <c r="H331" s="2"/>
      <c r="I331" s="2"/>
      <c r="J331" s="2"/>
    </row>
    <row r="332" spans="2:10" ht="15.75" customHeight="1" x14ac:dyDescent="0.2">
      <c r="B332" s="2"/>
      <c r="C332" s="37"/>
      <c r="D332" s="37"/>
      <c r="E332" s="330"/>
      <c r="F332" s="37"/>
      <c r="G332" s="37"/>
      <c r="H332" s="2"/>
      <c r="I332" s="2"/>
      <c r="J332" s="2"/>
    </row>
    <row r="333" spans="2:10" ht="15.75" customHeight="1" x14ac:dyDescent="0.2">
      <c r="B333" s="2"/>
      <c r="C333" s="37"/>
      <c r="D333" s="37"/>
      <c r="E333" s="330"/>
      <c r="F333" s="37"/>
      <c r="G333" s="37"/>
      <c r="H333" s="2"/>
      <c r="I333" s="2"/>
      <c r="J333" s="2"/>
    </row>
    <row r="334" spans="2:10" ht="15.75" customHeight="1" x14ac:dyDescent="0.2">
      <c r="B334" s="2"/>
      <c r="C334" s="37"/>
      <c r="D334" s="37"/>
      <c r="E334" s="330"/>
      <c r="F334" s="37"/>
      <c r="G334" s="37"/>
      <c r="H334" s="2"/>
      <c r="I334" s="2"/>
      <c r="J334" s="2"/>
    </row>
    <row r="335" spans="2:10" ht="15.75" customHeight="1" x14ac:dyDescent="0.2">
      <c r="B335" s="2"/>
      <c r="C335" s="37"/>
      <c r="D335" s="37"/>
      <c r="E335" s="330"/>
      <c r="F335" s="37"/>
      <c r="G335" s="37"/>
      <c r="H335" s="2"/>
      <c r="I335" s="2"/>
      <c r="J335" s="2"/>
    </row>
    <row r="336" spans="2:10" ht="15.75" customHeight="1" x14ac:dyDescent="0.2">
      <c r="B336" s="2"/>
      <c r="C336" s="37"/>
      <c r="D336" s="37"/>
      <c r="E336" s="330"/>
      <c r="F336" s="37"/>
      <c r="G336" s="37"/>
      <c r="H336" s="2"/>
      <c r="I336" s="2"/>
      <c r="J336" s="2"/>
    </row>
    <row r="337" spans="2:10" ht="15.75" customHeight="1" x14ac:dyDescent="0.2">
      <c r="B337" s="2"/>
      <c r="C337" s="37"/>
      <c r="D337" s="37"/>
      <c r="E337" s="330"/>
      <c r="F337" s="37"/>
      <c r="G337" s="37"/>
      <c r="H337" s="2"/>
      <c r="I337" s="2"/>
      <c r="J337" s="2"/>
    </row>
    <row r="338" spans="2:10" ht="15.75" customHeight="1" x14ac:dyDescent="0.2">
      <c r="B338" s="2"/>
      <c r="C338" s="37"/>
      <c r="D338" s="37"/>
      <c r="E338" s="330"/>
      <c r="F338" s="37"/>
      <c r="G338" s="37"/>
      <c r="H338" s="2"/>
      <c r="I338" s="2"/>
      <c r="J338" s="2"/>
    </row>
    <row r="339" spans="2:10" ht="15.75" customHeight="1" x14ac:dyDescent="0.2">
      <c r="B339" s="2"/>
      <c r="C339" s="37"/>
      <c r="D339" s="37"/>
      <c r="E339" s="330"/>
      <c r="F339" s="37"/>
      <c r="G339" s="37"/>
      <c r="H339" s="2"/>
      <c r="I339" s="2"/>
      <c r="J339" s="2"/>
    </row>
    <row r="340" spans="2:10" ht="15.75" customHeight="1" x14ac:dyDescent="0.2">
      <c r="B340" s="2"/>
      <c r="C340" s="37"/>
      <c r="D340" s="37"/>
      <c r="E340" s="330"/>
      <c r="F340" s="37"/>
      <c r="G340" s="37"/>
      <c r="H340" s="2"/>
      <c r="I340" s="2"/>
      <c r="J340" s="2"/>
    </row>
    <row r="341" spans="2:10" ht="15.75" customHeight="1" x14ac:dyDescent="0.2">
      <c r="B341" s="2"/>
      <c r="C341" s="37"/>
      <c r="D341" s="37"/>
      <c r="E341" s="330"/>
      <c r="F341" s="37"/>
      <c r="G341" s="37"/>
      <c r="H341" s="2"/>
      <c r="I341" s="2"/>
      <c r="J341" s="2"/>
    </row>
    <row r="342" spans="2:10" ht="15.75" customHeight="1" x14ac:dyDescent="0.2">
      <c r="B342" s="2"/>
      <c r="C342" s="37"/>
      <c r="D342" s="37"/>
      <c r="E342" s="330"/>
      <c r="F342" s="37"/>
      <c r="G342" s="37"/>
      <c r="H342" s="2"/>
      <c r="I342" s="2"/>
      <c r="J342" s="2"/>
    </row>
    <row r="343" spans="2:10" ht="15.75" customHeight="1" x14ac:dyDescent="0.2">
      <c r="B343" s="2"/>
      <c r="C343" s="37"/>
      <c r="D343" s="37"/>
      <c r="E343" s="330"/>
      <c r="F343" s="37"/>
      <c r="G343" s="37"/>
      <c r="H343" s="2"/>
      <c r="I343" s="2"/>
      <c r="J343" s="2"/>
    </row>
    <row r="344" spans="2:10" ht="15.75" customHeight="1" x14ac:dyDescent="0.2">
      <c r="B344" s="2"/>
      <c r="C344" s="37"/>
      <c r="D344" s="37"/>
      <c r="E344" s="330"/>
      <c r="F344" s="37"/>
      <c r="G344" s="37"/>
      <c r="H344" s="2"/>
      <c r="I344" s="2"/>
      <c r="J344" s="2"/>
    </row>
    <row r="345" spans="2:10" ht="15.75" customHeight="1" x14ac:dyDescent="0.2">
      <c r="B345" s="2"/>
      <c r="C345" s="37"/>
      <c r="D345" s="37"/>
      <c r="E345" s="330"/>
      <c r="F345" s="37"/>
      <c r="G345" s="37"/>
      <c r="H345" s="2"/>
      <c r="I345" s="2"/>
      <c r="J345" s="2"/>
    </row>
    <row r="346" spans="2:10" ht="15.75" customHeight="1" x14ac:dyDescent="0.2">
      <c r="B346" s="2"/>
      <c r="C346" s="37"/>
      <c r="D346" s="37"/>
      <c r="E346" s="330"/>
      <c r="F346" s="37"/>
      <c r="G346" s="37"/>
      <c r="H346" s="2"/>
      <c r="I346" s="2"/>
      <c r="J346" s="2"/>
    </row>
    <row r="347" spans="2:10" ht="15.75" customHeight="1" x14ac:dyDescent="0.2">
      <c r="B347" s="2"/>
      <c r="C347" s="37"/>
      <c r="D347" s="37"/>
      <c r="E347" s="330"/>
      <c r="F347" s="37"/>
      <c r="G347" s="37"/>
      <c r="H347" s="2"/>
      <c r="I347" s="2"/>
      <c r="J347" s="2"/>
    </row>
    <row r="348" spans="2:10" ht="15.75" customHeight="1" x14ac:dyDescent="0.2">
      <c r="B348" s="2"/>
      <c r="C348" s="37"/>
      <c r="D348" s="37"/>
      <c r="E348" s="330"/>
      <c r="F348" s="37"/>
      <c r="G348" s="37"/>
      <c r="H348" s="2"/>
      <c r="I348" s="2"/>
      <c r="J348" s="2"/>
    </row>
    <row r="349" spans="2:10" ht="15.75" customHeight="1" x14ac:dyDescent="0.2">
      <c r="B349" s="2"/>
      <c r="C349" s="37"/>
      <c r="D349" s="37"/>
      <c r="E349" s="330"/>
      <c r="F349" s="37"/>
      <c r="G349" s="37"/>
      <c r="H349" s="2"/>
      <c r="I349" s="2"/>
      <c r="J349" s="2"/>
    </row>
    <row r="350" spans="2:10" ht="15.75" customHeight="1" x14ac:dyDescent="0.2">
      <c r="B350" s="2"/>
      <c r="C350" s="37"/>
      <c r="D350" s="37"/>
      <c r="E350" s="330"/>
      <c r="F350" s="37"/>
      <c r="G350" s="37"/>
      <c r="H350" s="2"/>
      <c r="I350" s="2"/>
      <c r="J350" s="2"/>
    </row>
    <row r="351" spans="2:10" ht="15.75" customHeight="1" x14ac:dyDescent="0.2">
      <c r="B351" s="2"/>
      <c r="C351" s="37"/>
      <c r="D351" s="37"/>
      <c r="E351" s="330"/>
      <c r="F351" s="37"/>
      <c r="G351" s="37"/>
      <c r="H351" s="2"/>
      <c r="I351" s="2"/>
      <c r="J351" s="2"/>
    </row>
    <row r="352" spans="2:10" ht="15.75" customHeight="1" x14ac:dyDescent="0.2">
      <c r="B352" s="2"/>
      <c r="C352" s="37"/>
      <c r="D352" s="37"/>
      <c r="E352" s="330"/>
      <c r="F352" s="37"/>
      <c r="G352" s="37"/>
      <c r="H352" s="2"/>
      <c r="I352" s="2"/>
      <c r="J352" s="2"/>
    </row>
    <row r="353" spans="2:10" ht="15.75" customHeight="1" x14ac:dyDescent="0.2">
      <c r="B353" s="2"/>
      <c r="C353" s="37"/>
      <c r="D353" s="37"/>
      <c r="E353" s="330"/>
      <c r="F353" s="37"/>
      <c r="G353" s="37"/>
      <c r="H353" s="2"/>
      <c r="I353" s="2"/>
      <c r="J353" s="2"/>
    </row>
    <row r="354" spans="2:10" ht="15.75" customHeight="1" x14ac:dyDescent="0.2">
      <c r="B354" s="2"/>
      <c r="C354" s="37"/>
      <c r="D354" s="37"/>
      <c r="E354" s="330"/>
      <c r="F354" s="37"/>
      <c r="G354" s="37"/>
      <c r="H354" s="2"/>
      <c r="I354" s="2"/>
      <c r="J354" s="2"/>
    </row>
    <row r="355" spans="2:10" ht="15.75" customHeight="1" x14ac:dyDescent="0.2">
      <c r="B355" s="2"/>
      <c r="C355" s="37"/>
      <c r="D355" s="37"/>
      <c r="E355" s="330"/>
      <c r="F355" s="37"/>
      <c r="G355" s="37"/>
      <c r="H355" s="2"/>
      <c r="I355" s="2"/>
      <c r="J355" s="2"/>
    </row>
    <row r="356" spans="2:10" ht="15.75" customHeight="1" x14ac:dyDescent="0.2">
      <c r="B356" s="2"/>
      <c r="C356" s="37"/>
      <c r="D356" s="37"/>
      <c r="E356" s="330"/>
      <c r="F356" s="37"/>
      <c r="G356" s="37"/>
      <c r="H356" s="2"/>
      <c r="I356" s="2"/>
      <c r="J356" s="2"/>
    </row>
    <row r="357" spans="2:10" ht="15.75" customHeight="1" x14ac:dyDescent="0.2">
      <c r="B357" s="2"/>
      <c r="C357" s="37"/>
      <c r="D357" s="37"/>
      <c r="E357" s="330"/>
      <c r="F357" s="37"/>
      <c r="G357" s="37"/>
      <c r="H357" s="2"/>
      <c r="I357" s="2"/>
      <c r="J357" s="2"/>
    </row>
    <row r="358" spans="2:10" ht="15.75" customHeight="1" x14ac:dyDescent="0.2">
      <c r="B358" s="2"/>
      <c r="C358" s="37"/>
      <c r="D358" s="37"/>
      <c r="E358" s="330"/>
      <c r="F358" s="37"/>
      <c r="G358" s="37"/>
      <c r="H358" s="2"/>
      <c r="I358" s="2"/>
      <c r="J358" s="2"/>
    </row>
    <row r="359" spans="2:10" ht="15.75" customHeight="1" x14ac:dyDescent="0.2">
      <c r="B359" s="2"/>
      <c r="C359" s="37"/>
      <c r="D359" s="37"/>
      <c r="E359" s="330"/>
      <c r="F359" s="37"/>
      <c r="G359" s="37"/>
      <c r="H359" s="2"/>
      <c r="I359" s="2"/>
      <c r="J359" s="2"/>
    </row>
    <row r="360" spans="2:10" ht="15.75" customHeight="1" x14ac:dyDescent="0.2">
      <c r="B360" s="2"/>
      <c r="C360" s="37"/>
      <c r="D360" s="37"/>
      <c r="E360" s="330"/>
      <c r="F360" s="37"/>
      <c r="G360" s="37"/>
      <c r="H360" s="2"/>
      <c r="I360" s="2"/>
      <c r="J360" s="2"/>
    </row>
    <row r="361" spans="2:10" ht="15.75" customHeight="1" x14ac:dyDescent="0.2">
      <c r="B361" s="2"/>
      <c r="C361" s="37"/>
      <c r="D361" s="37"/>
      <c r="E361" s="330"/>
      <c r="F361" s="37"/>
      <c r="G361" s="37"/>
      <c r="H361" s="2"/>
      <c r="I361" s="2"/>
      <c r="J361" s="2"/>
    </row>
    <row r="362" spans="2:10" ht="15.75" customHeight="1" x14ac:dyDescent="0.2">
      <c r="B362" s="2"/>
      <c r="C362" s="37"/>
      <c r="D362" s="37"/>
      <c r="E362" s="330"/>
      <c r="F362" s="37"/>
      <c r="G362" s="37"/>
      <c r="H362" s="2"/>
      <c r="I362" s="2"/>
      <c r="J362" s="2"/>
    </row>
    <row r="363" spans="2:10" ht="15.75" customHeight="1" x14ac:dyDescent="0.2">
      <c r="B363" s="2"/>
      <c r="C363" s="37"/>
      <c r="D363" s="37"/>
      <c r="E363" s="330"/>
      <c r="F363" s="37"/>
      <c r="G363" s="37"/>
      <c r="H363" s="2"/>
      <c r="I363" s="2"/>
      <c r="J363" s="2"/>
    </row>
    <row r="364" spans="2:10" ht="15.75" customHeight="1" x14ac:dyDescent="0.2">
      <c r="B364" s="2"/>
      <c r="C364" s="37"/>
      <c r="D364" s="37"/>
      <c r="E364" s="330"/>
      <c r="F364" s="37"/>
      <c r="G364" s="37"/>
      <c r="H364" s="2"/>
      <c r="I364" s="2"/>
      <c r="J364" s="2"/>
    </row>
    <row r="365" spans="2:10" ht="15.75" customHeight="1" x14ac:dyDescent="0.2">
      <c r="B365" s="2"/>
      <c r="C365" s="37"/>
      <c r="D365" s="37"/>
      <c r="E365" s="330"/>
      <c r="F365" s="37"/>
      <c r="G365" s="37"/>
      <c r="H365" s="2"/>
      <c r="I365" s="2"/>
      <c r="J365" s="2"/>
    </row>
    <row r="366" spans="2:10" ht="15.75" customHeight="1" x14ac:dyDescent="0.2">
      <c r="B366" s="2"/>
      <c r="C366" s="37"/>
      <c r="D366" s="37"/>
      <c r="E366" s="330"/>
      <c r="F366" s="37"/>
      <c r="G366" s="37"/>
      <c r="H366" s="2"/>
      <c r="I366" s="2"/>
      <c r="J366" s="2"/>
    </row>
    <row r="367" spans="2:10" ht="15.75" customHeight="1" x14ac:dyDescent="0.2">
      <c r="B367" s="2"/>
      <c r="C367" s="37"/>
      <c r="D367" s="37"/>
      <c r="E367" s="330"/>
      <c r="F367" s="37"/>
      <c r="G367" s="37"/>
      <c r="H367" s="2"/>
      <c r="I367" s="2"/>
      <c r="J367" s="2"/>
    </row>
    <row r="368" spans="2:10" ht="15.75" customHeight="1" x14ac:dyDescent="0.2">
      <c r="B368" s="2"/>
      <c r="C368" s="37"/>
      <c r="D368" s="37"/>
      <c r="E368" s="330"/>
      <c r="F368" s="37"/>
      <c r="G368" s="37"/>
      <c r="H368" s="2"/>
      <c r="I368" s="2"/>
      <c r="J368" s="2"/>
    </row>
    <row r="369" spans="2:10" ht="15.75" customHeight="1" x14ac:dyDescent="0.2">
      <c r="B369" s="2"/>
      <c r="C369" s="37"/>
      <c r="D369" s="37"/>
      <c r="E369" s="330"/>
      <c r="F369" s="37"/>
      <c r="G369" s="37"/>
      <c r="H369" s="2"/>
      <c r="I369" s="2"/>
      <c r="J369" s="2"/>
    </row>
    <row r="370" spans="2:10" ht="15.75" customHeight="1" x14ac:dyDescent="0.2">
      <c r="B370" s="2"/>
      <c r="C370" s="37"/>
      <c r="D370" s="37"/>
      <c r="E370" s="330"/>
      <c r="F370" s="37"/>
      <c r="G370" s="37"/>
      <c r="H370" s="2"/>
      <c r="I370" s="2"/>
      <c r="J370" s="2"/>
    </row>
    <row r="371" spans="2:10" ht="15.75" customHeight="1" x14ac:dyDescent="0.2">
      <c r="B371" s="2"/>
      <c r="C371" s="37"/>
      <c r="D371" s="37"/>
      <c r="E371" s="330"/>
      <c r="F371" s="37"/>
      <c r="G371" s="37"/>
      <c r="H371" s="2"/>
      <c r="I371" s="2"/>
      <c r="J371" s="2"/>
    </row>
    <row r="372" spans="2:10" ht="15.75" customHeight="1" x14ac:dyDescent="0.2">
      <c r="B372" s="2"/>
      <c r="C372" s="37"/>
      <c r="D372" s="37"/>
      <c r="E372" s="330"/>
      <c r="F372" s="37"/>
      <c r="G372" s="37"/>
      <c r="H372" s="2"/>
      <c r="I372" s="2"/>
      <c r="J372" s="2"/>
    </row>
    <row r="373" spans="2:10" ht="15.75" customHeight="1" x14ac:dyDescent="0.2">
      <c r="B373" s="2"/>
      <c r="C373" s="37"/>
      <c r="D373" s="37"/>
      <c r="E373" s="330"/>
      <c r="F373" s="37"/>
      <c r="G373" s="37"/>
      <c r="H373" s="2"/>
      <c r="I373" s="2"/>
      <c r="J373" s="2"/>
    </row>
    <row r="374" spans="2:10" ht="15.75" customHeight="1" x14ac:dyDescent="0.2">
      <c r="B374" s="2"/>
      <c r="C374" s="37"/>
      <c r="D374" s="37"/>
      <c r="E374" s="330"/>
      <c r="F374" s="37"/>
      <c r="G374" s="37"/>
      <c r="H374" s="2"/>
      <c r="I374" s="2"/>
      <c r="J374" s="2"/>
    </row>
    <row r="375" spans="2:10" ht="15.75" customHeight="1" x14ac:dyDescent="0.2">
      <c r="B375" s="2"/>
      <c r="C375" s="37"/>
      <c r="D375" s="37"/>
      <c r="E375" s="330"/>
      <c r="F375" s="37"/>
      <c r="G375" s="37"/>
      <c r="H375" s="2"/>
      <c r="I375" s="2"/>
      <c r="J375" s="2"/>
    </row>
    <row r="376" spans="2:10" ht="15.75" customHeight="1" x14ac:dyDescent="0.2">
      <c r="B376" s="2"/>
      <c r="C376" s="37"/>
      <c r="D376" s="37"/>
      <c r="E376" s="330"/>
      <c r="F376" s="37"/>
      <c r="G376" s="37"/>
      <c r="H376" s="2"/>
      <c r="I376" s="2"/>
      <c r="J376" s="2"/>
    </row>
    <row r="377" spans="2:10" ht="15.75" customHeight="1" x14ac:dyDescent="0.2">
      <c r="B377" s="2"/>
      <c r="C377" s="37"/>
      <c r="D377" s="37"/>
      <c r="E377" s="330"/>
      <c r="F377" s="37"/>
      <c r="G377" s="37"/>
      <c r="H377" s="2"/>
      <c r="I377" s="2"/>
      <c r="J377" s="2"/>
    </row>
    <row r="378" spans="2:10" ht="15.75" customHeight="1" x14ac:dyDescent="0.2">
      <c r="B378" s="2"/>
      <c r="C378" s="37"/>
      <c r="D378" s="37"/>
      <c r="E378" s="330"/>
      <c r="F378" s="37"/>
      <c r="G378" s="37"/>
      <c r="H378" s="2"/>
      <c r="I378" s="2"/>
      <c r="J378" s="2"/>
    </row>
    <row r="379" spans="2:10" ht="15.75" customHeight="1" x14ac:dyDescent="0.2">
      <c r="B379" s="2"/>
      <c r="C379" s="37"/>
      <c r="D379" s="37"/>
      <c r="E379" s="330"/>
      <c r="F379" s="37"/>
      <c r="G379" s="37"/>
      <c r="H379" s="2"/>
      <c r="I379" s="2"/>
      <c r="J379" s="2"/>
    </row>
    <row r="380" spans="2:10" ht="15.75" customHeight="1" x14ac:dyDescent="0.2">
      <c r="B380" s="2"/>
      <c r="C380" s="37"/>
      <c r="D380" s="37"/>
      <c r="E380" s="330"/>
      <c r="F380" s="37"/>
      <c r="G380" s="37"/>
      <c r="H380" s="2"/>
      <c r="I380" s="2"/>
      <c r="J380" s="2"/>
    </row>
    <row r="381" spans="2:10" ht="15.75" customHeight="1" x14ac:dyDescent="0.2">
      <c r="B381" s="2"/>
      <c r="C381" s="37"/>
      <c r="D381" s="37"/>
      <c r="E381" s="330"/>
      <c r="F381" s="37"/>
      <c r="G381" s="37"/>
      <c r="H381" s="2"/>
      <c r="I381" s="2"/>
      <c r="J381" s="2"/>
    </row>
    <row r="382" spans="2:10" ht="15.75" customHeight="1" x14ac:dyDescent="0.2">
      <c r="B382" s="2"/>
      <c r="C382" s="37"/>
      <c r="D382" s="37"/>
      <c r="E382" s="330"/>
      <c r="F382" s="37"/>
      <c r="G382" s="37"/>
      <c r="H382" s="2"/>
      <c r="I382" s="2"/>
      <c r="J382" s="2"/>
    </row>
    <row r="383" spans="2:10" ht="15.75" customHeight="1" x14ac:dyDescent="0.2">
      <c r="B383" s="2"/>
      <c r="C383" s="37"/>
      <c r="D383" s="37"/>
      <c r="E383" s="330"/>
      <c r="F383" s="37"/>
      <c r="G383" s="37"/>
      <c r="H383" s="2"/>
      <c r="I383" s="2"/>
      <c r="J383" s="2"/>
    </row>
    <row r="384" spans="2:10" ht="15.75" customHeight="1" x14ac:dyDescent="0.2">
      <c r="B384" s="2"/>
      <c r="C384" s="37"/>
      <c r="D384" s="37"/>
      <c r="E384" s="330"/>
      <c r="F384" s="37"/>
      <c r="G384" s="37"/>
      <c r="H384" s="2"/>
      <c r="I384" s="2"/>
      <c r="J384" s="2"/>
    </row>
    <row r="385" spans="2:10" ht="15.75" customHeight="1" x14ac:dyDescent="0.2">
      <c r="B385" s="2"/>
      <c r="C385" s="37"/>
      <c r="D385" s="37"/>
      <c r="E385" s="330"/>
      <c r="F385" s="37"/>
      <c r="G385" s="37"/>
      <c r="H385" s="2"/>
      <c r="I385" s="2"/>
      <c r="J385" s="2"/>
    </row>
    <row r="386" spans="2:10" ht="15.75" customHeight="1" x14ac:dyDescent="0.2">
      <c r="B386" s="2"/>
      <c r="C386" s="37"/>
      <c r="D386" s="37"/>
      <c r="E386" s="330"/>
      <c r="F386" s="37"/>
      <c r="G386" s="37"/>
      <c r="H386" s="2"/>
      <c r="I386" s="2"/>
      <c r="J386" s="2"/>
    </row>
    <row r="387" spans="2:10" ht="15.75" customHeight="1" x14ac:dyDescent="0.2">
      <c r="B387" s="2"/>
      <c r="C387" s="37"/>
      <c r="D387" s="37"/>
      <c r="E387" s="330"/>
      <c r="F387" s="37"/>
      <c r="G387" s="37"/>
      <c r="H387" s="2"/>
      <c r="I387" s="2"/>
      <c r="J387" s="2"/>
    </row>
    <row r="388" spans="2:10" ht="15.75" customHeight="1" x14ac:dyDescent="0.2">
      <c r="B388" s="2"/>
      <c r="C388" s="37"/>
      <c r="D388" s="37"/>
      <c r="E388" s="330"/>
      <c r="F388" s="37"/>
      <c r="G388" s="37"/>
      <c r="H388" s="2"/>
      <c r="I388" s="2"/>
      <c r="J388" s="2"/>
    </row>
    <row r="389" spans="2:10" ht="15.75" customHeight="1" x14ac:dyDescent="0.2">
      <c r="B389" s="2"/>
      <c r="C389" s="37"/>
      <c r="D389" s="37"/>
      <c r="E389" s="330"/>
      <c r="F389" s="37"/>
      <c r="G389" s="37"/>
      <c r="H389" s="2"/>
      <c r="I389" s="2"/>
      <c r="J389" s="2"/>
    </row>
    <row r="390" spans="2:10" ht="15.75" customHeight="1" x14ac:dyDescent="0.2">
      <c r="B390" s="2"/>
      <c r="C390" s="37"/>
      <c r="D390" s="37"/>
      <c r="E390" s="330"/>
      <c r="F390" s="37"/>
      <c r="G390" s="37"/>
      <c r="H390" s="2"/>
      <c r="I390" s="2"/>
      <c r="J390" s="2"/>
    </row>
    <row r="391" spans="2:10" ht="15.75" customHeight="1" x14ac:dyDescent="0.2">
      <c r="B391" s="2"/>
      <c r="C391" s="37"/>
      <c r="D391" s="37"/>
      <c r="E391" s="330"/>
      <c r="F391" s="37"/>
      <c r="G391" s="37"/>
      <c r="H391" s="2"/>
      <c r="I391" s="2"/>
      <c r="J391" s="2"/>
    </row>
    <row r="392" spans="2:10" ht="15.75" customHeight="1" x14ac:dyDescent="0.2">
      <c r="B392" s="2"/>
      <c r="C392" s="37"/>
      <c r="D392" s="37"/>
      <c r="E392" s="330"/>
      <c r="F392" s="37"/>
      <c r="G392" s="37"/>
      <c r="H392" s="2"/>
      <c r="I392" s="2"/>
      <c r="J392" s="2"/>
    </row>
    <row r="393" spans="2:10" ht="15.75" customHeight="1" x14ac:dyDescent="0.2">
      <c r="B393" s="2"/>
      <c r="C393" s="37"/>
      <c r="D393" s="37"/>
      <c r="E393" s="330"/>
      <c r="F393" s="37"/>
      <c r="G393" s="37"/>
      <c r="H393" s="2"/>
      <c r="I393" s="2"/>
      <c r="J393" s="2"/>
    </row>
    <row r="394" spans="2:10" ht="15.75" customHeight="1" x14ac:dyDescent="0.2">
      <c r="B394" s="2"/>
      <c r="C394" s="37"/>
      <c r="D394" s="37"/>
      <c r="E394" s="330"/>
      <c r="F394" s="37"/>
      <c r="G394" s="37"/>
      <c r="H394" s="2"/>
      <c r="I394" s="2"/>
      <c r="J394" s="2"/>
    </row>
    <row r="395" spans="2:10" ht="15.75" customHeight="1" x14ac:dyDescent="0.2">
      <c r="B395" s="2"/>
      <c r="C395" s="37"/>
      <c r="D395" s="37"/>
      <c r="E395" s="330"/>
      <c r="F395" s="37"/>
      <c r="G395" s="37"/>
      <c r="H395" s="2"/>
      <c r="I395" s="2"/>
      <c r="J395" s="2"/>
    </row>
    <row r="396" spans="2:10" ht="15.75" customHeight="1" x14ac:dyDescent="0.2">
      <c r="B396" s="2"/>
      <c r="C396" s="37"/>
      <c r="D396" s="37"/>
      <c r="E396" s="330"/>
      <c r="F396" s="37"/>
      <c r="G396" s="37"/>
      <c r="H396" s="2"/>
      <c r="I396" s="2"/>
      <c r="J396" s="2"/>
    </row>
    <row r="397" spans="2:10" ht="15.75" customHeight="1" x14ac:dyDescent="0.2">
      <c r="B397" s="2"/>
      <c r="C397" s="37"/>
      <c r="D397" s="37"/>
      <c r="E397" s="330"/>
      <c r="F397" s="37"/>
      <c r="G397" s="37"/>
      <c r="H397" s="2"/>
      <c r="I397" s="2"/>
      <c r="J397" s="2"/>
    </row>
    <row r="398" spans="2:10" ht="15.75" customHeight="1" x14ac:dyDescent="0.2">
      <c r="B398" s="2"/>
      <c r="C398" s="37"/>
      <c r="D398" s="37"/>
      <c r="E398" s="330"/>
      <c r="F398" s="37"/>
      <c r="G398" s="37"/>
      <c r="H398" s="2"/>
      <c r="I398" s="2"/>
      <c r="J398" s="2"/>
    </row>
    <row r="399" spans="2:10" ht="15.75" customHeight="1" x14ac:dyDescent="0.2">
      <c r="B399" s="2"/>
      <c r="C399" s="37"/>
      <c r="D399" s="37"/>
      <c r="E399" s="330"/>
      <c r="F399" s="37"/>
      <c r="G399" s="37"/>
      <c r="H399" s="2"/>
      <c r="I399" s="2"/>
      <c r="J399" s="2"/>
    </row>
    <row r="400" spans="2:10" ht="15.75" customHeight="1" x14ac:dyDescent="0.2">
      <c r="B400" s="2"/>
      <c r="C400" s="37"/>
      <c r="D400" s="37"/>
      <c r="E400" s="330"/>
      <c r="F400" s="37"/>
      <c r="G400" s="37"/>
      <c r="H400" s="2"/>
      <c r="I400" s="2"/>
      <c r="J400" s="2"/>
    </row>
    <row r="401" spans="2:10" ht="15.75" customHeight="1" x14ac:dyDescent="0.2">
      <c r="B401" s="2"/>
      <c r="C401" s="37"/>
      <c r="D401" s="37"/>
      <c r="E401" s="330"/>
      <c r="F401" s="37"/>
      <c r="G401" s="37"/>
      <c r="H401" s="2"/>
      <c r="I401" s="2"/>
      <c r="J401" s="2"/>
    </row>
    <row r="402" spans="2:10" ht="15.75" customHeight="1" x14ac:dyDescent="0.2">
      <c r="B402" s="2"/>
      <c r="C402" s="37"/>
      <c r="D402" s="37"/>
      <c r="E402" s="330"/>
      <c r="F402" s="37"/>
      <c r="G402" s="37"/>
      <c r="H402" s="2"/>
      <c r="I402" s="2"/>
      <c r="J402" s="2"/>
    </row>
    <row r="403" spans="2:10" ht="15.75" customHeight="1" x14ac:dyDescent="0.2">
      <c r="B403" s="2"/>
      <c r="C403" s="37"/>
      <c r="D403" s="37"/>
      <c r="E403" s="330"/>
      <c r="F403" s="37"/>
      <c r="G403" s="37"/>
      <c r="H403" s="2"/>
      <c r="I403" s="2"/>
      <c r="J403" s="2"/>
    </row>
    <row r="404" spans="2:10" ht="15.75" customHeight="1" x14ac:dyDescent="0.2">
      <c r="B404" s="2"/>
      <c r="C404" s="37"/>
      <c r="D404" s="37"/>
      <c r="E404" s="330"/>
      <c r="F404" s="37"/>
      <c r="G404" s="37"/>
      <c r="H404" s="2"/>
      <c r="I404" s="2"/>
      <c r="J404" s="2"/>
    </row>
    <row r="405" spans="2:10" ht="15.75" customHeight="1" x14ac:dyDescent="0.2">
      <c r="B405" s="2"/>
      <c r="C405" s="37"/>
      <c r="D405" s="37"/>
      <c r="E405" s="330"/>
      <c r="F405" s="37"/>
      <c r="G405" s="37"/>
      <c r="H405" s="2"/>
      <c r="I405" s="2"/>
      <c r="J405" s="2"/>
    </row>
    <row r="406" spans="2:10" ht="15.75" customHeight="1" x14ac:dyDescent="0.2">
      <c r="B406" s="2"/>
      <c r="C406" s="37"/>
      <c r="D406" s="37"/>
      <c r="E406" s="330"/>
      <c r="F406" s="37"/>
      <c r="G406" s="37"/>
      <c r="H406" s="2"/>
      <c r="I406" s="2"/>
      <c r="J406" s="2"/>
    </row>
    <row r="407" spans="2:10" ht="15.75" customHeight="1" x14ac:dyDescent="0.2">
      <c r="B407" s="2"/>
      <c r="C407" s="37"/>
      <c r="D407" s="37"/>
      <c r="E407" s="330"/>
      <c r="F407" s="37"/>
      <c r="G407" s="37"/>
      <c r="H407" s="2"/>
      <c r="I407" s="2"/>
      <c r="J407" s="2"/>
    </row>
    <row r="408" spans="2:10" ht="15.75" customHeight="1" x14ac:dyDescent="0.2">
      <c r="B408" s="2"/>
      <c r="C408" s="37"/>
      <c r="D408" s="37"/>
      <c r="E408" s="330"/>
      <c r="F408" s="37"/>
      <c r="G408" s="37"/>
      <c r="H408" s="2"/>
      <c r="I408" s="2"/>
      <c r="J408" s="2"/>
    </row>
    <row r="409" spans="2:10" ht="15.75" customHeight="1" x14ac:dyDescent="0.2">
      <c r="B409" s="2"/>
      <c r="C409" s="37"/>
      <c r="D409" s="37"/>
      <c r="E409" s="330"/>
      <c r="F409" s="37"/>
      <c r="G409" s="37"/>
      <c r="H409" s="2"/>
      <c r="I409" s="2"/>
      <c r="J409" s="2"/>
    </row>
    <row r="410" spans="2:10" ht="15.75" customHeight="1" x14ac:dyDescent="0.2">
      <c r="B410" s="2"/>
      <c r="C410" s="37"/>
      <c r="D410" s="37"/>
      <c r="E410" s="330"/>
      <c r="F410" s="37"/>
      <c r="G410" s="37"/>
      <c r="H410" s="2"/>
      <c r="I410" s="2"/>
      <c r="J410" s="2"/>
    </row>
    <row r="411" spans="2:10" ht="15.75" customHeight="1" x14ac:dyDescent="0.2">
      <c r="B411" s="2"/>
      <c r="C411" s="37"/>
      <c r="D411" s="37"/>
      <c r="E411" s="330"/>
      <c r="F411" s="37"/>
      <c r="G411" s="37"/>
      <c r="H411" s="2"/>
      <c r="I411" s="2"/>
      <c r="J411" s="2"/>
    </row>
    <row r="412" spans="2:10" ht="15.75" customHeight="1" x14ac:dyDescent="0.2">
      <c r="B412" s="2"/>
      <c r="C412" s="37"/>
      <c r="D412" s="37"/>
      <c r="E412" s="330"/>
      <c r="F412" s="37"/>
      <c r="G412" s="37"/>
      <c r="H412" s="2"/>
      <c r="I412" s="2"/>
      <c r="J412" s="2"/>
    </row>
    <row r="413" spans="2:10" ht="15.75" customHeight="1" x14ac:dyDescent="0.2">
      <c r="B413" s="2"/>
      <c r="C413" s="37"/>
      <c r="D413" s="37"/>
      <c r="E413" s="330"/>
      <c r="F413" s="37"/>
      <c r="G413" s="37"/>
      <c r="H413" s="2"/>
      <c r="I413" s="2"/>
      <c r="J413" s="2"/>
    </row>
    <row r="414" spans="2:10" ht="15.75" customHeight="1" x14ac:dyDescent="0.2">
      <c r="B414" s="2"/>
      <c r="C414" s="37"/>
      <c r="D414" s="37"/>
      <c r="E414" s="330"/>
      <c r="F414" s="37"/>
      <c r="G414" s="37"/>
      <c r="H414" s="2"/>
      <c r="I414" s="2"/>
      <c r="J414" s="2"/>
    </row>
    <row r="415" spans="2:10" ht="15.75" customHeight="1" x14ac:dyDescent="0.2">
      <c r="B415" s="2"/>
      <c r="C415" s="37"/>
      <c r="D415" s="37"/>
      <c r="E415" s="330"/>
      <c r="F415" s="37"/>
      <c r="G415" s="37"/>
      <c r="H415" s="2"/>
      <c r="I415" s="2"/>
      <c r="J415" s="2"/>
    </row>
    <row r="416" spans="2:10" ht="15.75" customHeight="1" x14ac:dyDescent="0.2">
      <c r="B416" s="2"/>
      <c r="C416" s="37"/>
      <c r="D416" s="37"/>
      <c r="E416" s="330"/>
      <c r="F416" s="37"/>
      <c r="G416" s="37"/>
      <c r="H416" s="2"/>
      <c r="I416" s="2"/>
      <c r="J416" s="2"/>
    </row>
    <row r="417" spans="2:10" ht="15.75" customHeight="1" x14ac:dyDescent="0.2">
      <c r="B417" s="2"/>
      <c r="C417" s="37"/>
      <c r="D417" s="37"/>
      <c r="E417" s="330"/>
      <c r="F417" s="37"/>
      <c r="G417" s="37"/>
      <c r="H417" s="2"/>
      <c r="I417" s="2"/>
      <c r="J417" s="2"/>
    </row>
    <row r="418" spans="2:10" ht="15.75" customHeight="1" x14ac:dyDescent="0.2">
      <c r="B418" s="2"/>
      <c r="C418" s="37"/>
      <c r="D418" s="37"/>
      <c r="E418" s="330"/>
      <c r="F418" s="37"/>
      <c r="G418" s="37"/>
      <c r="H418" s="2"/>
      <c r="I418" s="2"/>
      <c r="J418" s="2"/>
    </row>
    <row r="419" spans="2:10" ht="15.75" customHeight="1" x14ac:dyDescent="0.2">
      <c r="B419" s="2"/>
      <c r="C419" s="37"/>
      <c r="D419" s="37"/>
      <c r="E419" s="330"/>
      <c r="F419" s="37"/>
      <c r="G419" s="37"/>
      <c r="H419" s="2"/>
      <c r="I419" s="2"/>
      <c r="J419" s="2"/>
    </row>
    <row r="420" spans="2:10" ht="15.75" customHeight="1" x14ac:dyDescent="0.2">
      <c r="B420" s="2"/>
      <c r="C420" s="37"/>
      <c r="D420" s="37"/>
      <c r="E420" s="330"/>
      <c r="F420" s="37"/>
      <c r="G420" s="37"/>
      <c r="H420" s="2"/>
      <c r="I420" s="2"/>
      <c r="J420" s="2"/>
    </row>
    <row r="421" spans="2:10" ht="15.75" customHeight="1" x14ac:dyDescent="0.2">
      <c r="B421" s="2"/>
      <c r="C421" s="37"/>
      <c r="D421" s="37"/>
      <c r="E421" s="330"/>
      <c r="F421" s="37"/>
      <c r="G421" s="37"/>
      <c r="H421" s="2"/>
      <c r="I421" s="2"/>
      <c r="J421" s="2"/>
    </row>
    <row r="422" spans="2:10" ht="15.75" customHeight="1" x14ac:dyDescent="0.2">
      <c r="B422" s="2"/>
      <c r="C422" s="37"/>
      <c r="D422" s="37"/>
      <c r="E422" s="330"/>
      <c r="F422" s="37"/>
      <c r="G422" s="37"/>
      <c r="H422" s="2"/>
      <c r="I422" s="2"/>
      <c r="J422" s="2"/>
    </row>
    <row r="423" spans="2:10" ht="15.75" customHeight="1" x14ac:dyDescent="0.2">
      <c r="B423" s="2"/>
      <c r="C423" s="37"/>
      <c r="D423" s="37"/>
      <c r="E423" s="330"/>
      <c r="F423" s="37"/>
      <c r="G423" s="37"/>
      <c r="H423" s="2"/>
      <c r="I423" s="2"/>
      <c r="J423" s="2"/>
    </row>
    <row r="424" spans="2:10" ht="15.75" customHeight="1" x14ac:dyDescent="0.2">
      <c r="B424" s="2"/>
      <c r="C424" s="37"/>
      <c r="D424" s="37"/>
      <c r="E424" s="330"/>
      <c r="F424" s="37"/>
      <c r="G424" s="37"/>
      <c r="H424" s="2"/>
      <c r="I424" s="2"/>
      <c r="J424" s="2"/>
    </row>
    <row r="425" spans="2:10" ht="15.75" customHeight="1" x14ac:dyDescent="0.2">
      <c r="B425" s="2"/>
      <c r="C425" s="37"/>
      <c r="D425" s="37"/>
      <c r="E425" s="330"/>
      <c r="F425" s="37"/>
      <c r="G425" s="37"/>
      <c r="H425" s="2"/>
      <c r="I425" s="2"/>
      <c r="J425" s="2"/>
    </row>
    <row r="426" spans="2:10" ht="15.75" customHeight="1" x14ac:dyDescent="0.2">
      <c r="B426" s="2"/>
      <c r="C426" s="37"/>
      <c r="D426" s="37"/>
      <c r="E426" s="330"/>
      <c r="F426" s="37"/>
      <c r="G426" s="37"/>
      <c r="H426" s="2"/>
      <c r="I426" s="2"/>
      <c r="J426" s="2"/>
    </row>
    <row r="427" spans="2:10" ht="15.75" customHeight="1" x14ac:dyDescent="0.2">
      <c r="B427" s="2"/>
      <c r="C427" s="37"/>
      <c r="D427" s="37"/>
      <c r="E427" s="330"/>
      <c r="F427" s="37"/>
      <c r="G427" s="37"/>
      <c r="H427" s="2"/>
      <c r="I427" s="2"/>
      <c r="J427" s="2"/>
    </row>
    <row r="428" spans="2:10" ht="15.75" customHeight="1" x14ac:dyDescent="0.2">
      <c r="B428" s="2"/>
      <c r="C428" s="37"/>
      <c r="D428" s="37"/>
      <c r="E428" s="330"/>
      <c r="F428" s="37"/>
      <c r="G428" s="37"/>
      <c r="H428" s="2"/>
      <c r="I428" s="2"/>
      <c r="J428" s="2"/>
    </row>
    <row r="429" spans="2:10" ht="15.75" customHeight="1" x14ac:dyDescent="0.2">
      <c r="B429" s="2"/>
      <c r="C429" s="37"/>
      <c r="D429" s="37"/>
      <c r="E429" s="330"/>
      <c r="F429" s="37"/>
      <c r="G429" s="37"/>
      <c r="H429" s="2"/>
      <c r="I429" s="2"/>
      <c r="J429" s="2"/>
    </row>
    <row r="430" spans="2:10" ht="15.75" customHeight="1" x14ac:dyDescent="0.2">
      <c r="B430" s="2"/>
      <c r="C430" s="37"/>
      <c r="D430" s="37"/>
      <c r="E430" s="330"/>
      <c r="F430" s="37"/>
      <c r="G430" s="37"/>
      <c r="H430" s="2"/>
      <c r="I430" s="2"/>
      <c r="J430" s="2"/>
    </row>
    <row r="431" spans="2:10" ht="15.75" customHeight="1" x14ac:dyDescent="0.2">
      <c r="B431" s="2"/>
      <c r="C431" s="37"/>
      <c r="D431" s="37"/>
      <c r="E431" s="330"/>
      <c r="F431" s="37"/>
      <c r="G431" s="37"/>
      <c r="H431" s="2"/>
      <c r="I431" s="2"/>
      <c r="J431" s="2"/>
    </row>
    <row r="432" spans="2:10" ht="15.75" customHeight="1" x14ac:dyDescent="0.2">
      <c r="B432" s="2"/>
      <c r="C432" s="37"/>
      <c r="D432" s="37"/>
      <c r="E432" s="330"/>
      <c r="F432" s="37"/>
      <c r="G432" s="37"/>
      <c r="H432" s="2"/>
      <c r="I432" s="2"/>
      <c r="J432" s="2"/>
    </row>
    <row r="433" spans="2:10" ht="15.75" customHeight="1" x14ac:dyDescent="0.2">
      <c r="B433" s="2"/>
      <c r="C433" s="37"/>
      <c r="D433" s="37"/>
      <c r="E433" s="330"/>
      <c r="F433" s="37"/>
      <c r="G433" s="37"/>
      <c r="H433" s="2"/>
      <c r="I433" s="2"/>
      <c r="J433" s="2"/>
    </row>
    <row r="434" spans="2:10" ht="15.75" customHeight="1" x14ac:dyDescent="0.2">
      <c r="B434" s="2"/>
      <c r="C434" s="37"/>
      <c r="D434" s="37"/>
      <c r="E434" s="330"/>
      <c r="F434" s="37"/>
      <c r="G434" s="37"/>
      <c r="H434" s="2"/>
      <c r="I434" s="2"/>
      <c r="J434" s="2"/>
    </row>
    <row r="435" spans="2:10" ht="15.75" customHeight="1" x14ac:dyDescent="0.2">
      <c r="B435" s="2"/>
      <c r="C435" s="37"/>
      <c r="D435" s="37"/>
      <c r="E435" s="330"/>
      <c r="F435" s="37"/>
      <c r="G435" s="37"/>
      <c r="H435" s="2"/>
      <c r="I435" s="2"/>
      <c r="J435" s="2"/>
    </row>
    <row r="436" spans="2:10" ht="15.75" customHeight="1" x14ac:dyDescent="0.2">
      <c r="B436" s="2"/>
      <c r="C436" s="37"/>
      <c r="D436" s="37"/>
      <c r="E436" s="330"/>
      <c r="F436" s="37"/>
      <c r="G436" s="37"/>
      <c r="H436" s="2"/>
      <c r="I436" s="2"/>
      <c r="J436" s="2"/>
    </row>
    <row r="437" spans="2:10" ht="15.75" customHeight="1" x14ac:dyDescent="0.2">
      <c r="B437" s="2"/>
      <c r="C437" s="37"/>
      <c r="D437" s="37"/>
      <c r="E437" s="330"/>
      <c r="F437" s="37"/>
      <c r="G437" s="37"/>
      <c r="H437" s="2"/>
      <c r="I437" s="2"/>
      <c r="J437" s="2"/>
    </row>
    <row r="438" spans="2:10" ht="15.75" customHeight="1" x14ac:dyDescent="0.2">
      <c r="B438" s="2"/>
      <c r="C438" s="37"/>
      <c r="D438" s="37"/>
      <c r="E438" s="330"/>
      <c r="F438" s="37"/>
      <c r="G438" s="37"/>
      <c r="H438" s="2"/>
      <c r="I438" s="2"/>
      <c r="J438" s="2"/>
    </row>
    <row r="439" spans="2:10" ht="15.75" customHeight="1" x14ac:dyDescent="0.2">
      <c r="B439" s="2"/>
      <c r="C439" s="37"/>
      <c r="D439" s="37"/>
      <c r="E439" s="330"/>
      <c r="F439" s="37"/>
      <c r="G439" s="37"/>
      <c r="H439" s="2"/>
      <c r="I439" s="2"/>
      <c r="J439" s="2"/>
    </row>
    <row r="440" spans="2:10" ht="15.75" customHeight="1" x14ac:dyDescent="0.2">
      <c r="B440" s="2"/>
      <c r="C440" s="37"/>
      <c r="D440" s="37"/>
      <c r="E440" s="330"/>
      <c r="F440" s="37"/>
      <c r="G440" s="37"/>
      <c r="H440" s="2"/>
      <c r="I440" s="2"/>
      <c r="J440" s="2"/>
    </row>
    <row r="441" spans="2:10" ht="15.75" customHeight="1" x14ac:dyDescent="0.2">
      <c r="B441" s="2"/>
      <c r="C441" s="37"/>
      <c r="D441" s="37"/>
      <c r="E441" s="330"/>
      <c r="F441" s="37"/>
      <c r="G441" s="37"/>
      <c r="H441" s="2"/>
      <c r="I441" s="2"/>
      <c r="J441" s="2"/>
    </row>
    <row r="442" spans="2:10" ht="15.75" customHeight="1" x14ac:dyDescent="0.2">
      <c r="B442" s="2"/>
      <c r="C442" s="37"/>
      <c r="D442" s="37"/>
      <c r="E442" s="330"/>
      <c r="F442" s="37"/>
      <c r="G442" s="37"/>
      <c r="H442" s="2"/>
      <c r="I442" s="2"/>
      <c r="J442" s="2"/>
    </row>
    <row r="443" spans="2:10" ht="15.75" customHeight="1" x14ac:dyDescent="0.2">
      <c r="B443" s="2"/>
      <c r="C443" s="37"/>
      <c r="D443" s="37"/>
      <c r="E443" s="330"/>
      <c r="F443" s="37"/>
      <c r="G443" s="37"/>
      <c r="H443" s="2"/>
      <c r="I443" s="2"/>
      <c r="J443" s="2"/>
    </row>
    <row r="444" spans="2:10" ht="15.75" customHeight="1" x14ac:dyDescent="0.2">
      <c r="B444" s="2"/>
      <c r="C444" s="37"/>
      <c r="D444" s="37"/>
      <c r="E444" s="330"/>
      <c r="F444" s="37"/>
      <c r="G444" s="37"/>
      <c r="H444" s="2"/>
      <c r="I444" s="2"/>
      <c r="J444" s="2"/>
    </row>
    <row r="445" spans="2:10" ht="15.75" customHeight="1" x14ac:dyDescent="0.2">
      <c r="B445" s="2"/>
      <c r="C445" s="37"/>
      <c r="D445" s="37"/>
      <c r="E445" s="330"/>
      <c r="F445" s="37"/>
      <c r="G445" s="37"/>
      <c r="H445" s="2"/>
      <c r="I445" s="2"/>
      <c r="J445" s="2"/>
    </row>
    <row r="446" spans="2:10" ht="15.75" customHeight="1" x14ac:dyDescent="0.2">
      <c r="B446" s="2"/>
      <c r="C446" s="37"/>
      <c r="D446" s="37"/>
      <c r="E446" s="330"/>
      <c r="F446" s="37"/>
      <c r="G446" s="37"/>
      <c r="H446" s="2"/>
      <c r="I446" s="2"/>
      <c r="J446" s="2"/>
    </row>
    <row r="447" spans="2:10" ht="15.75" customHeight="1" x14ac:dyDescent="0.2">
      <c r="B447" s="2"/>
      <c r="C447" s="37"/>
      <c r="D447" s="37"/>
      <c r="E447" s="330"/>
      <c r="F447" s="37"/>
      <c r="G447" s="37"/>
      <c r="H447" s="2"/>
      <c r="I447" s="2"/>
      <c r="J447" s="2"/>
    </row>
    <row r="448" spans="2:10" ht="15.75" customHeight="1" x14ac:dyDescent="0.2">
      <c r="B448" s="2"/>
      <c r="C448" s="37"/>
      <c r="D448" s="37"/>
      <c r="E448" s="330"/>
      <c r="F448" s="37"/>
      <c r="G448" s="37"/>
      <c r="H448" s="2"/>
      <c r="I448" s="2"/>
      <c r="J448" s="2"/>
    </row>
    <row r="449" spans="2:10" ht="15.75" customHeight="1" x14ac:dyDescent="0.2">
      <c r="B449" s="2"/>
      <c r="C449" s="37"/>
      <c r="D449" s="37"/>
      <c r="E449" s="330"/>
      <c r="F449" s="37"/>
      <c r="G449" s="37"/>
      <c r="H449" s="2"/>
      <c r="I449" s="2"/>
      <c r="J449" s="2"/>
    </row>
    <row r="450" spans="2:10" ht="15.75" customHeight="1" x14ac:dyDescent="0.2">
      <c r="B450" s="2"/>
      <c r="C450" s="37"/>
      <c r="D450" s="37"/>
      <c r="E450" s="330"/>
      <c r="F450" s="37"/>
      <c r="G450" s="37"/>
      <c r="H450" s="2"/>
      <c r="I450" s="2"/>
      <c r="J450" s="2"/>
    </row>
    <row r="451" spans="2:10" ht="15.75" customHeight="1" x14ac:dyDescent="0.2">
      <c r="B451" s="2"/>
      <c r="C451" s="37"/>
      <c r="D451" s="37"/>
      <c r="E451" s="330"/>
      <c r="F451" s="37"/>
      <c r="G451" s="37"/>
      <c r="H451" s="2"/>
      <c r="I451" s="2"/>
      <c r="J451" s="2"/>
    </row>
    <row r="452" spans="2:10" ht="15.75" customHeight="1" x14ac:dyDescent="0.2">
      <c r="B452" s="2"/>
      <c r="C452" s="37"/>
      <c r="D452" s="37"/>
      <c r="E452" s="330"/>
      <c r="F452" s="37"/>
      <c r="G452" s="37"/>
      <c r="H452" s="2"/>
      <c r="I452" s="2"/>
      <c r="J452" s="2"/>
    </row>
    <row r="453" spans="2:10" ht="15.75" customHeight="1" x14ac:dyDescent="0.2">
      <c r="B453" s="2"/>
      <c r="C453" s="37"/>
      <c r="D453" s="37"/>
      <c r="E453" s="330"/>
      <c r="F453" s="37"/>
      <c r="G453" s="37"/>
      <c r="H453" s="2"/>
      <c r="I453" s="2"/>
      <c r="J453" s="2"/>
    </row>
    <row r="454" spans="2:10" ht="15.75" customHeight="1" x14ac:dyDescent="0.2">
      <c r="B454" s="2"/>
      <c r="C454" s="37"/>
      <c r="D454" s="37"/>
      <c r="E454" s="330"/>
      <c r="F454" s="37"/>
      <c r="G454" s="37"/>
      <c r="H454" s="2"/>
      <c r="I454" s="2"/>
      <c r="J454" s="2"/>
    </row>
    <row r="455" spans="2:10" ht="15.75" customHeight="1" x14ac:dyDescent="0.2">
      <c r="B455" s="2"/>
      <c r="C455" s="37"/>
      <c r="D455" s="37"/>
      <c r="E455" s="330"/>
      <c r="F455" s="37"/>
      <c r="G455" s="37"/>
      <c r="H455" s="2"/>
      <c r="I455" s="2"/>
      <c r="J455" s="2"/>
    </row>
    <row r="456" spans="2:10" ht="15.75" customHeight="1" x14ac:dyDescent="0.2">
      <c r="B456" s="2"/>
      <c r="C456" s="37"/>
      <c r="D456" s="37"/>
      <c r="E456" s="330"/>
      <c r="F456" s="37"/>
      <c r="G456" s="37"/>
      <c r="H456" s="2"/>
      <c r="I456" s="2"/>
      <c r="J456" s="2"/>
    </row>
    <row r="457" spans="2:10" ht="15.75" customHeight="1" x14ac:dyDescent="0.2">
      <c r="B457" s="2"/>
      <c r="C457" s="37"/>
      <c r="D457" s="37"/>
      <c r="E457" s="330"/>
      <c r="F457" s="37"/>
      <c r="G457" s="37"/>
      <c r="H457" s="2"/>
      <c r="I457" s="2"/>
      <c r="J457" s="2"/>
    </row>
    <row r="458" spans="2:10" ht="15.75" customHeight="1" x14ac:dyDescent="0.2">
      <c r="B458" s="2"/>
      <c r="C458" s="37"/>
      <c r="D458" s="37"/>
      <c r="E458" s="330"/>
      <c r="F458" s="37"/>
      <c r="G458" s="37"/>
      <c r="H458" s="2"/>
      <c r="I458" s="2"/>
      <c r="J458" s="2"/>
    </row>
    <row r="459" spans="2:10" ht="15.75" customHeight="1" x14ac:dyDescent="0.2">
      <c r="B459" s="2"/>
      <c r="C459" s="37"/>
      <c r="D459" s="37"/>
      <c r="E459" s="330"/>
      <c r="F459" s="37"/>
      <c r="G459" s="37"/>
      <c r="H459" s="2"/>
      <c r="I459" s="2"/>
      <c r="J459" s="2"/>
    </row>
    <row r="460" spans="2:10" ht="15.75" customHeight="1" x14ac:dyDescent="0.2">
      <c r="B460" s="2"/>
      <c r="C460" s="37"/>
      <c r="D460" s="37"/>
      <c r="E460" s="330"/>
      <c r="F460" s="37"/>
      <c r="G460" s="37"/>
      <c r="H460" s="2"/>
      <c r="I460" s="2"/>
      <c r="J460" s="2"/>
    </row>
    <row r="461" spans="2:10" ht="15.75" customHeight="1" x14ac:dyDescent="0.2">
      <c r="B461" s="2"/>
      <c r="C461" s="37"/>
      <c r="D461" s="37"/>
      <c r="E461" s="330"/>
      <c r="F461" s="37"/>
      <c r="G461" s="37"/>
      <c r="H461" s="2"/>
      <c r="I461" s="2"/>
      <c r="J461" s="2"/>
    </row>
    <row r="462" spans="2:10" ht="15.75" customHeight="1" x14ac:dyDescent="0.2">
      <c r="B462" s="2"/>
      <c r="C462" s="37"/>
      <c r="D462" s="37"/>
      <c r="E462" s="330"/>
      <c r="F462" s="37"/>
      <c r="G462" s="37"/>
      <c r="H462" s="2"/>
      <c r="I462" s="2"/>
      <c r="J462" s="2"/>
    </row>
    <row r="463" spans="2:10" ht="15.75" customHeight="1" x14ac:dyDescent="0.2">
      <c r="B463" s="2"/>
      <c r="C463" s="37"/>
      <c r="D463" s="37"/>
      <c r="E463" s="330"/>
      <c r="F463" s="37"/>
      <c r="G463" s="37"/>
      <c r="H463" s="2"/>
      <c r="I463" s="2"/>
      <c r="J463" s="2"/>
    </row>
    <row r="464" spans="2:10" ht="15.75" customHeight="1" x14ac:dyDescent="0.2">
      <c r="B464" s="2"/>
      <c r="C464" s="37"/>
      <c r="D464" s="37"/>
      <c r="E464" s="330"/>
      <c r="F464" s="37"/>
      <c r="G464" s="37"/>
      <c r="H464" s="2"/>
      <c r="I464" s="2"/>
      <c r="J464" s="2"/>
    </row>
    <row r="465" spans="2:10" ht="15.75" customHeight="1" x14ac:dyDescent="0.2">
      <c r="B465" s="2"/>
      <c r="C465" s="37"/>
      <c r="D465" s="37"/>
      <c r="E465" s="330"/>
      <c r="F465" s="37"/>
      <c r="G465" s="37"/>
      <c r="H465" s="2"/>
      <c r="I465" s="2"/>
      <c r="J465" s="2"/>
    </row>
    <row r="466" spans="2:10" ht="15.75" customHeight="1" x14ac:dyDescent="0.2">
      <c r="B466" s="2"/>
      <c r="C466" s="37"/>
      <c r="D466" s="37"/>
      <c r="E466" s="330"/>
      <c r="F466" s="37"/>
      <c r="G466" s="37"/>
      <c r="H466" s="2"/>
      <c r="I466" s="2"/>
      <c r="J466" s="2"/>
    </row>
    <row r="467" spans="2:10" ht="15.75" customHeight="1" x14ac:dyDescent="0.2">
      <c r="B467" s="2"/>
      <c r="C467" s="37"/>
      <c r="D467" s="37"/>
      <c r="E467" s="330"/>
      <c r="F467" s="37"/>
      <c r="G467" s="37"/>
      <c r="H467" s="2"/>
      <c r="I467" s="2"/>
      <c r="J467" s="2"/>
    </row>
    <row r="468" spans="2:10" ht="15.75" customHeight="1" x14ac:dyDescent="0.2">
      <c r="B468" s="2"/>
      <c r="C468" s="37"/>
      <c r="D468" s="37"/>
      <c r="E468" s="330"/>
      <c r="F468" s="37"/>
      <c r="G468" s="37"/>
      <c r="H468" s="2"/>
      <c r="I468" s="2"/>
      <c r="J468" s="2"/>
    </row>
    <row r="469" spans="2:10" ht="15.75" customHeight="1" x14ac:dyDescent="0.2">
      <c r="B469" s="2"/>
      <c r="C469" s="37"/>
      <c r="D469" s="37"/>
      <c r="E469" s="330"/>
      <c r="F469" s="37"/>
      <c r="G469" s="37"/>
      <c r="H469" s="2"/>
      <c r="I469" s="2"/>
      <c r="J469" s="2"/>
    </row>
    <row r="470" spans="2:10" ht="15.75" customHeight="1" x14ac:dyDescent="0.2">
      <c r="B470" s="2"/>
      <c r="C470" s="37"/>
      <c r="D470" s="37"/>
      <c r="E470" s="330"/>
      <c r="F470" s="37"/>
      <c r="G470" s="37"/>
      <c r="H470" s="2"/>
      <c r="I470" s="2"/>
      <c r="J470" s="2"/>
    </row>
    <row r="471" spans="2:10" ht="15.75" customHeight="1" x14ac:dyDescent="0.2">
      <c r="B471" s="2"/>
      <c r="C471" s="37"/>
      <c r="D471" s="37"/>
      <c r="E471" s="330"/>
      <c r="F471" s="37"/>
      <c r="G471" s="37"/>
      <c r="H471" s="2"/>
      <c r="I471" s="2"/>
      <c r="J471" s="2"/>
    </row>
    <row r="472" spans="2:10" ht="15.75" customHeight="1" x14ac:dyDescent="0.2">
      <c r="B472" s="2"/>
      <c r="C472" s="37"/>
      <c r="D472" s="37"/>
      <c r="E472" s="330"/>
      <c r="F472" s="37"/>
      <c r="G472" s="37"/>
      <c r="H472" s="2"/>
      <c r="I472" s="2"/>
      <c r="J472" s="2"/>
    </row>
    <row r="473" spans="2:10" ht="15.75" customHeight="1" x14ac:dyDescent="0.2">
      <c r="B473" s="2"/>
      <c r="C473" s="37"/>
      <c r="D473" s="37"/>
      <c r="E473" s="330"/>
      <c r="F473" s="37"/>
      <c r="G473" s="37"/>
      <c r="H473" s="2"/>
      <c r="I473" s="2"/>
      <c r="J473" s="2"/>
    </row>
    <row r="474" spans="2:10" ht="15.75" customHeight="1" x14ac:dyDescent="0.2">
      <c r="B474" s="2"/>
      <c r="C474" s="37"/>
      <c r="D474" s="37"/>
      <c r="E474" s="330"/>
      <c r="F474" s="37"/>
      <c r="G474" s="37"/>
      <c r="H474" s="2"/>
      <c r="I474" s="2"/>
      <c r="J474" s="2"/>
    </row>
    <row r="475" spans="2:10" ht="15.75" customHeight="1" x14ac:dyDescent="0.2">
      <c r="B475" s="2"/>
      <c r="C475" s="37"/>
      <c r="D475" s="37"/>
      <c r="E475" s="330"/>
      <c r="F475" s="37"/>
      <c r="G475" s="37"/>
      <c r="H475" s="2"/>
      <c r="I475" s="2"/>
      <c r="J475" s="2"/>
    </row>
    <row r="476" spans="2:10" ht="15.75" customHeight="1" x14ac:dyDescent="0.2">
      <c r="B476" s="2"/>
      <c r="C476" s="37"/>
      <c r="D476" s="37"/>
      <c r="E476" s="330"/>
      <c r="F476" s="37"/>
      <c r="G476" s="37"/>
      <c r="H476" s="2"/>
      <c r="I476" s="2"/>
      <c r="J476" s="2"/>
    </row>
    <row r="477" spans="2:10" ht="15.75" customHeight="1" x14ac:dyDescent="0.2">
      <c r="B477" s="2"/>
      <c r="C477" s="37"/>
      <c r="D477" s="37"/>
      <c r="E477" s="330"/>
      <c r="F477" s="37"/>
      <c r="G477" s="37"/>
      <c r="H477" s="2"/>
      <c r="I477" s="2"/>
      <c r="J477" s="2"/>
    </row>
    <row r="478" spans="2:10" ht="15.75" customHeight="1" x14ac:dyDescent="0.2">
      <c r="B478" s="2"/>
      <c r="C478" s="37"/>
      <c r="D478" s="37"/>
      <c r="E478" s="330"/>
      <c r="F478" s="37"/>
      <c r="G478" s="37"/>
      <c r="H478" s="2"/>
      <c r="I478" s="2"/>
      <c r="J478" s="2"/>
    </row>
    <row r="479" spans="2:10" ht="15.75" customHeight="1" x14ac:dyDescent="0.2">
      <c r="B479" s="2"/>
      <c r="C479" s="37"/>
      <c r="D479" s="37"/>
      <c r="E479" s="330"/>
      <c r="F479" s="37"/>
      <c r="G479" s="37"/>
      <c r="H479" s="2"/>
      <c r="I479" s="2"/>
      <c r="J479" s="2"/>
    </row>
    <row r="480" spans="2:10" ht="15.75" customHeight="1" x14ac:dyDescent="0.2">
      <c r="B480" s="2"/>
      <c r="C480" s="37"/>
      <c r="D480" s="37"/>
      <c r="E480" s="330"/>
      <c r="F480" s="37"/>
      <c r="G480" s="37"/>
      <c r="H480" s="2"/>
      <c r="I480" s="2"/>
      <c r="J480" s="2"/>
    </row>
    <row r="481" spans="2:10" ht="15.75" customHeight="1" x14ac:dyDescent="0.2">
      <c r="B481" s="2"/>
      <c r="C481" s="37"/>
      <c r="D481" s="37"/>
      <c r="E481" s="330"/>
      <c r="F481" s="37"/>
      <c r="G481" s="37"/>
      <c r="H481" s="2"/>
      <c r="I481" s="2"/>
      <c r="J481" s="2"/>
    </row>
    <row r="482" spans="2:10" ht="15.75" customHeight="1" x14ac:dyDescent="0.2">
      <c r="B482" s="2"/>
      <c r="C482" s="37"/>
      <c r="D482" s="37"/>
      <c r="E482" s="330"/>
      <c r="F482" s="37"/>
      <c r="G482" s="37"/>
      <c r="H482" s="2"/>
      <c r="I482" s="2"/>
      <c r="J482" s="2"/>
    </row>
    <row r="483" spans="2:10" ht="15.75" customHeight="1" x14ac:dyDescent="0.2">
      <c r="B483" s="2"/>
      <c r="C483" s="37"/>
      <c r="D483" s="37"/>
      <c r="E483" s="330"/>
      <c r="F483" s="37"/>
      <c r="G483" s="37"/>
      <c r="H483" s="2"/>
      <c r="I483" s="2"/>
      <c r="J483" s="2"/>
    </row>
    <row r="484" spans="2:10" ht="15.75" customHeight="1" x14ac:dyDescent="0.2">
      <c r="B484" s="2"/>
      <c r="C484" s="37"/>
      <c r="D484" s="37"/>
      <c r="E484" s="330"/>
      <c r="F484" s="37"/>
      <c r="G484" s="37"/>
      <c r="H484" s="2"/>
      <c r="I484" s="2"/>
      <c r="J484" s="2"/>
    </row>
    <row r="485" spans="2:10" ht="15.75" customHeight="1" x14ac:dyDescent="0.2">
      <c r="B485" s="2"/>
      <c r="C485" s="37"/>
      <c r="D485" s="37"/>
      <c r="E485" s="330"/>
      <c r="F485" s="37"/>
      <c r="G485" s="37"/>
      <c r="H485" s="2"/>
      <c r="I485" s="2"/>
      <c r="J485" s="2"/>
    </row>
    <row r="486" spans="2:10" ht="15.75" customHeight="1" x14ac:dyDescent="0.2">
      <c r="B486" s="2"/>
      <c r="C486" s="37"/>
      <c r="D486" s="37"/>
      <c r="E486" s="330"/>
      <c r="F486" s="37"/>
      <c r="G486" s="37"/>
      <c r="H486" s="2"/>
      <c r="I486" s="2"/>
      <c r="J486" s="2"/>
    </row>
    <row r="487" spans="2:10" ht="15.75" customHeight="1" x14ac:dyDescent="0.2">
      <c r="B487" s="2"/>
      <c r="C487" s="37"/>
      <c r="D487" s="37"/>
      <c r="E487" s="330"/>
      <c r="F487" s="37"/>
      <c r="G487" s="37"/>
      <c r="H487" s="2"/>
      <c r="I487" s="2"/>
      <c r="J487" s="2"/>
    </row>
    <row r="488" spans="2:10" ht="15.75" customHeight="1" x14ac:dyDescent="0.2">
      <c r="B488" s="2"/>
      <c r="C488" s="37"/>
      <c r="D488" s="37"/>
      <c r="E488" s="330"/>
      <c r="F488" s="37"/>
      <c r="G488" s="37"/>
      <c r="H488" s="2"/>
      <c r="I488" s="2"/>
      <c r="J488" s="2"/>
    </row>
    <row r="489" spans="2:10" ht="15.75" customHeight="1" x14ac:dyDescent="0.2">
      <c r="B489" s="2"/>
      <c r="C489" s="37"/>
      <c r="D489" s="37"/>
      <c r="E489" s="330"/>
      <c r="F489" s="37"/>
      <c r="G489" s="37"/>
      <c r="H489" s="2"/>
      <c r="I489" s="2"/>
      <c r="J489" s="2"/>
    </row>
    <row r="490" spans="2:10" ht="15.75" customHeight="1" x14ac:dyDescent="0.2">
      <c r="B490" s="2"/>
      <c r="C490" s="37"/>
      <c r="D490" s="37"/>
      <c r="E490" s="330"/>
      <c r="F490" s="37"/>
      <c r="G490" s="37"/>
      <c r="H490" s="2"/>
      <c r="I490" s="2"/>
      <c r="J490" s="2"/>
    </row>
    <row r="491" spans="2:10" ht="15.75" customHeight="1" x14ac:dyDescent="0.2">
      <c r="B491" s="2"/>
      <c r="C491" s="37"/>
      <c r="D491" s="37"/>
      <c r="E491" s="330"/>
      <c r="F491" s="37"/>
      <c r="G491" s="37"/>
      <c r="H491" s="2"/>
      <c r="I491" s="2"/>
      <c r="J491" s="2"/>
    </row>
    <row r="492" spans="2:10" ht="15.75" customHeight="1" x14ac:dyDescent="0.2">
      <c r="B492" s="2"/>
      <c r="C492" s="37"/>
      <c r="D492" s="37"/>
      <c r="E492" s="330"/>
      <c r="F492" s="37"/>
      <c r="G492" s="37"/>
      <c r="H492" s="2"/>
      <c r="I492" s="2"/>
      <c r="J492" s="2"/>
    </row>
    <row r="493" spans="2:10" ht="15.75" customHeight="1" x14ac:dyDescent="0.2">
      <c r="B493" s="2"/>
      <c r="C493" s="37"/>
      <c r="D493" s="37"/>
      <c r="E493" s="330"/>
      <c r="F493" s="37"/>
      <c r="G493" s="37"/>
      <c r="H493" s="2"/>
      <c r="I493" s="2"/>
      <c r="J493" s="2"/>
    </row>
    <row r="494" spans="2:10" ht="15.75" customHeight="1" x14ac:dyDescent="0.2">
      <c r="B494" s="2"/>
      <c r="C494" s="37"/>
      <c r="D494" s="37"/>
      <c r="E494" s="330"/>
      <c r="F494" s="37"/>
      <c r="G494" s="37"/>
      <c r="H494" s="2"/>
      <c r="I494" s="2"/>
      <c r="J494" s="2"/>
    </row>
    <row r="495" spans="2:10" ht="15.75" customHeight="1" x14ac:dyDescent="0.2">
      <c r="B495" s="2"/>
      <c r="C495" s="37"/>
      <c r="D495" s="37"/>
      <c r="E495" s="330"/>
      <c r="F495" s="37"/>
      <c r="G495" s="37"/>
      <c r="H495" s="2"/>
      <c r="I495" s="2"/>
      <c r="J495" s="2"/>
    </row>
    <row r="496" spans="2:10" ht="15.75" customHeight="1" x14ac:dyDescent="0.2">
      <c r="B496" s="2"/>
      <c r="C496" s="37"/>
      <c r="D496" s="37"/>
      <c r="E496" s="330"/>
      <c r="F496" s="37"/>
      <c r="G496" s="37"/>
      <c r="H496" s="2"/>
      <c r="I496" s="2"/>
      <c r="J496" s="2"/>
    </row>
    <row r="497" spans="2:10" ht="15.75" customHeight="1" x14ac:dyDescent="0.2">
      <c r="B497" s="2"/>
      <c r="C497" s="37"/>
      <c r="D497" s="37"/>
      <c r="E497" s="330"/>
      <c r="F497" s="37"/>
      <c r="G497" s="37"/>
      <c r="H497" s="2"/>
      <c r="I497" s="2"/>
      <c r="J497" s="2"/>
    </row>
    <row r="498" spans="2:10" ht="15.75" customHeight="1" x14ac:dyDescent="0.2">
      <c r="B498" s="2"/>
      <c r="C498" s="37"/>
      <c r="D498" s="37"/>
      <c r="E498" s="330"/>
      <c r="F498" s="37"/>
      <c r="G498" s="37"/>
      <c r="H498" s="2"/>
      <c r="I498" s="2"/>
      <c r="J498" s="2"/>
    </row>
    <row r="499" spans="2:10" ht="15.75" customHeight="1" x14ac:dyDescent="0.2">
      <c r="B499" s="2"/>
      <c r="C499" s="37"/>
      <c r="D499" s="37"/>
      <c r="E499" s="330"/>
      <c r="F499" s="37"/>
      <c r="G499" s="37"/>
      <c r="H499" s="2"/>
      <c r="I499" s="2"/>
      <c r="J499" s="2"/>
    </row>
    <row r="500" spans="2:10" ht="15.75" customHeight="1" x14ac:dyDescent="0.2">
      <c r="B500" s="2"/>
      <c r="C500" s="37"/>
      <c r="D500" s="37"/>
      <c r="E500" s="330"/>
      <c r="F500" s="37"/>
      <c r="G500" s="37"/>
      <c r="H500" s="2"/>
      <c r="I500" s="2"/>
      <c r="J500" s="2"/>
    </row>
    <row r="501" spans="2:10" ht="15.75" customHeight="1" x14ac:dyDescent="0.2">
      <c r="B501" s="2"/>
      <c r="C501" s="37"/>
      <c r="D501" s="37"/>
      <c r="E501" s="330"/>
      <c r="F501" s="37"/>
      <c r="G501" s="37"/>
      <c r="H501" s="2"/>
      <c r="I501" s="2"/>
      <c r="J501" s="2"/>
    </row>
    <row r="502" spans="2:10" ht="15.75" customHeight="1" x14ac:dyDescent="0.2">
      <c r="B502" s="2"/>
      <c r="C502" s="37"/>
      <c r="D502" s="37"/>
      <c r="E502" s="330"/>
      <c r="F502" s="37"/>
      <c r="G502" s="37"/>
      <c r="H502" s="2"/>
      <c r="I502" s="2"/>
      <c r="J502" s="2"/>
    </row>
    <row r="503" spans="2:10" ht="15.75" customHeight="1" x14ac:dyDescent="0.2">
      <c r="B503" s="2"/>
      <c r="C503" s="37"/>
      <c r="D503" s="37"/>
      <c r="E503" s="330"/>
      <c r="F503" s="37"/>
      <c r="G503" s="37"/>
      <c r="H503" s="2"/>
      <c r="I503" s="2"/>
      <c r="J503" s="2"/>
    </row>
    <row r="504" spans="2:10" ht="15.75" customHeight="1" x14ac:dyDescent="0.2">
      <c r="B504" s="2"/>
      <c r="C504" s="37"/>
      <c r="D504" s="37"/>
      <c r="E504" s="330"/>
      <c r="F504" s="37"/>
      <c r="G504" s="37"/>
      <c r="H504" s="2"/>
      <c r="I504" s="2"/>
      <c r="J504" s="2"/>
    </row>
    <row r="505" spans="2:10" ht="15.75" customHeight="1" x14ac:dyDescent="0.2">
      <c r="B505" s="2"/>
      <c r="C505" s="37"/>
      <c r="D505" s="37"/>
      <c r="E505" s="330"/>
      <c r="F505" s="37"/>
      <c r="G505" s="37"/>
      <c r="H505" s="2"/>
      <c r="I505" s="2"/>
      <c r="J505" s="2"/>
    </row>
    <row r="506" spans="2:10" ht="15.75" customHeight="1" x14ac:dyDescent="0.2">
      <c r="B506" s="2"/>
      <c r="C506" s="37"/>
      <c r="D506" s="37"/>
      <c r="E506" s="330"/>
      <c r="F506" s="37"/>
      <c r="G506" s="37"/>
      <c r="H506" s="2"/>
      <c r="I506" s="2"/>
      <c r="J506" s="2"/>
    </row>
    <row r="507" spans="2:10" ht="15.75" customHeight="1" x14ac:dyDescent="0.2">
      <c r="B507" s="2"/>
      <c r="C507" s="37"/>
      <c r="D507" s="37"/>
      <c r="E507" s="330"/>
      <c r="F507" s="37"/>
      <c r="G507" s="37"/>
      <c r="H507" s="2"/>
      <c r="I507" s="2"/>
      <c r="J507" s="2"/>
    </row>
    <row r="508" spans="2:10" ht="15.75" customHeight="1" x14ac:dyDescent="0.2">
      <c r="B508" s="2"/>
      <c r="C508" s="37"/>
      <c r="D508" s="37"/>
      <c r="E508" s="330"/>
      <c r="F508" s="37"/>
      <c r="G508" s="37"/>
      <c r="H508" s="2"/>
      <c r="I508" s="2"/>
      <c r="J508" s="2"/>
    </row>
    <row r="509" spans="2:10" ht="15.75" customHeight="1" x14ac:dyDescent="0.2">
      <c r="B509" s="2"/>
      <c r="C509" s="37"/>
      <c r="D509" s="37"/>
      <c r="E509" s="330"/>
      <c r="F509" s="37"/>
      <c r="G509" s="37"/>
      <c r="H509" s="2"/>
      <c r="I509" s="2"/>
      <c r="J509" s="2"/>
    </row>
    <row r="510" spans="2:10" ht="15.75" customHeight="1" x14ac:dyDescent="0.2">
      <c r="B510" s="2"/>
      <c r="C510" s="37"/>
      <c r="D510" s="37"/>
      <c r="E510" s="330"/>
      <c r="F510" s="37"/>
      <c r="G510" s="37"/>
      <c r="H510" s="2"/>
      <c r="I510" s="2"/>
      <c r="J510" s="2"/>
    </row>
    <row r="511" spans="2:10" ht="15.75" customHeight="1" x14ac:dyDescent="0.2">
      <c r="B511" s="2"/>
      <c r="C511" s="37"/>
      <c r="D511" s="37"/>
      <c r="E511" s="330"/>
      <c r="F511" s="37"/>
      <c r="G511" s="37"/>
      <c r="H511" s="2"/>
      <c r="I511" s="2"/>
      <c r="J511" s="2"/>
    </row>
    <row r="512" spans="2:10" ht="15.75" customHeight="1" x14ac:dyDescent="0.2">
      <c r="B512" s="2"/>
      <c r="C512" s="37"/>
      <c r="D512" s="37"/>
      <c r="E512" s="330"/>
      <c r="F512" s="37"/>
      <c r="G512" s="37"/>
      <c r="H512" s="2"/>
      <c r="I512" s="2"/>
      <c r="J512" s="2"/>
    </row>
    <row r="513" spans="2:10" ht="15.75" customHeight="1" x14ac:dyDescent="0.2">
      <c r="B513" s="2"/>
      <c r="C513" s="37"/>
      <c r="D513" s="37"/>
      <c r="E513" s="330"/>
      <c r="F513" s="37"/>
      <c r="G513" s="37"/>
      <c r="H513" s="2"/>
      <c r="I513" s="2"/>
      <c r="J513" s="2"/>
    </row>
    <row r="514" spans="2:10" ht="15.75" customHeight="1" x14ac:dyDescent="0.2">
      <c r="B514" s="2"/>
      <c r="C514" s="37"/>
      <c r="D514" s="37"/>
      <c r="E514" s="330"/>
      <c r="F514" s="37"/>
      <c r="G514" s="37"/>
      <c r="H514" s="2"/>
      <c r="I514" s="2"/>
      <c r="J514" s="2"/>
    </row>
    <row r="515" spans="2:10" ht="15.75" customHeight="1" x14ac:dyDescent="0.2">
      <c r="B515" s="2"/>
      <c r="C515" s="37"/>
      <c r="D515" s="37"/>
      <c r="E515" s="330"/>
      <c r="F515" s="37"/>
      <c r="G515" s="37"/>
      <c r="H515" s="2"/>
      <c r="I515" s="2"/>
      <c r="J515" s="2"/>
    </row>
    <row r="516" spans="2:10" ht="15.75" customHeight="1" x14ac:dyDescent="0.2">
      <c r="B516" s="2"/>
      <c r="C516" s="37"/>
      <c r="D516" s="37"/>
      <c r="E516" s="330"/>
      <c r="F516" s="37"/>
      <c r="G516" s="37"/>
      <c r="H516" s="2"/>
      <c r="I516" s="2"/>
      <c r="J516" s="2"/>
    </row>
    <row r="517" spans="2:10" ht="15.75" customHeight="1" x14ac:dyDescent="0.2">
      <c r="B517" s="2"/>
      <c r="C517" s="37"/>
      <c r="D517" s="37"/>
      <c r="E517" s="330"/>
      <c r="F517" s="37"/>
      <c r="G517" s="37"/>
      <c r="H517" s="2"/>
      <c r="I517" s="2"/>
      <c r="J517" s="2"/>
    </row>
    <row r="518" spans="2:10" ht="15.75" customHeight="1" x14ac:dyDescent="0.2">
      <c r="B518" s="2"/>
      <c r="C518" s="37"/>
      <c r="D518" s="37"/>
      <c r="E518" s="330"/>
      <c r="F518" s="37"/>
      <c r="G518" s="37"/>
      <c r="H518" s="2"/>
      <c r="I518" s="2"/>
      <c r="J518" s="2"/>
    </row>
    <row r="519" spans="2:10" ht="15.75" customHeight="1" x14ac:dyDescent="0.2">
      <c r="B519" s="2"/>
      <c r="C519" s="37"/>
      <c r="D519" s="37"/>
      <c r="E519" s="330"/>
      <c r="F519" s="37"/>
      <c r="G519" s="37"/>
      <c r="H519" s="2"/>
      <c r="I519" s="2"/>
      <c r="J519" s="2"/>
    </row>
    <row r="520" spans="2:10" ht="15.75" customHeight="1" x14ac:dyDescent="0.2">
      <c r="B520" s="2"/>
      <c r="C520" s="37"/>
      <c r="D520" s="37"/>
      <c r="E520" s="330"/>
      <c r="F520" s="37"/>
      <c r="G520" s="37"/>
      <c r="H520" s="2"/>
      <c r="I520" s="2"/>
      <c r="J520" s="2"/>
    </row>
    <row r="521" spans="2:10" ht="15.75" customHeight="1" x14ac:dyDescent="0.2">
      <c r="B521" s="2"/>
      <c r="C521" s="37"/>
      <c r="D521" s="37"/>
      <c r="E521" s="330"/>
      <c r="F521" s="37"/>
      <c r="G521" s="37"/>
      <c r="H521" s="2"/>
      <c r="I521" s="2"/>
      <c r="J521" s="2"/>
    </row>
    <row r="522" spans="2:10" ht="15.75" customHeight="1" x14ac:dyDescent="0.2">
      <c r="B522" s="2"/>
      <c r="C522" s="37"/>
      <c r="D522" s="37"/>
      <c r="E522" s="330"/>
      <c r="F522" s="37"/>
      <c r="G522" s="37"/>
      <c r="H522" s="2"/>
      <c r="I522" s="2"/>
      <c r="J522" s="2"/>
    </row>
    <row r="523" spans="2:10" ht="15.75" customHeight="1" x14ac:dyDescent="0.2">
      <c r="B523" s="2"/>
      <c r="C523" s="37"/>
      <c r="D523" s="37"/>
      <c r="E523" s="330"/>
      <c r="F523" s="37"/>
      <c r="G523" s="37"/>
      <c r="H523" s="2"/>
      <c r="I523" s="2"/>
      <c r="J523" s="2"/>
    </row>
    <row r="524" spans="2:10" ht="15.75" customHeight="1" x14ac:dyDescent="0.2">
      <c r="B524" s="2"/>
      <c r="C524" s="37"/>
      <c r="D524" s="37"/>
      <c r="E524" s="330"/>
      <c r="F524" s="37"/>
      <c r="G524" s="37"/>
      <c r="H524" s="2"/>
      <c r="I524" s="2"/>
      <c r="J524" s="2"/>
    </row>
    <row r="525" spans="2:10" ht="15.75" customHeight="1" x14ac:dyDescent="0.2">
      <c r="B525" s="2"/>
      <c r="C525" s="37"/>
      <c r="D525" s="37"/>
      <c r="E525" s="330"/>
      <c r="F525" s="37"/>
      <c r="G525" s="37"/>
      <c r="H525" s="2"/>
      <c r="I525" s="2"/>
      <c r="J525" s="2"/>
    </row>
    <row r="526" spans="2:10" ht="15.75" customHeight="1" x14ac:dyDescent="0.2">
      <c r="B526" s="2"/>
      <c r="C526" s="37"/>
      <c r="D526" s="37"/>
      <c r="E526" s="330"/>
      <c r="F526" s="37"/>
      <c r="G526" s="37"/>
      <c r="H526" s="2"/>
      <c r="I526" s="2"/>
      <c r="J526" s="2"/>
    </row>
    <row r="527" spans="2:10" ht="15.75" customHeight="1" x14ac:dyDescent="0.2">
      <c r="B527" s="2"/>
      <c r="C527" s="37"/>
      <c r="D527" s="37"/>
      <c r="E527" s="330"/>
      <c r="F527" s="37"/>
      <c r="G527" s="37"/>
      <c r="H527" s="2"/>
      <c r="I527" s="2"/>
      <c r="J527" s="2"/>
    </row>
    <row r="528" spans="2:10" ht="15.75" customHeight="1" x14ac:dyDescent="0.2">
      <c r="B528" s="2"/>
      <c r="C528" s="37"/>
      <c r="D528" s="37"/>
      <c r="E528" s="330"/>
      <c r="F528" s="37"/>
      <c r="G528" s="37"/>
      <c r="H528" s="2"/>
      <c r="I528" s="2"/>
      <c r="J528" s="2"/>
    </row>
    <row r="529" spans="2:10" ht="15.75" customHeight="1" x14ac:dyDescent="0.2">
      <c r="B529" s="2"/>
      <c r="C529" s="37"/>
      <c r="D529" s="37"/>
      <c r="E529" s="330"/>
      <c r="F529" s="37"/>
      <c r="G529" s="37"/>
      <c r="H529" s="2"/>
      <c r="I529" s="2"/>
      <c r="J529" s="2"/>
    </row>
    <row r="530" spans="2:10" ht="15.75" customHeight="1" x14ac:dyDescent="0.2">
      <c r="B530" s="2"/>
      <c r="C530" s="37"/>
      <c r="D530" s="37"/>
      <c r="E530" s="330"/>
      <c r="F530" s="37"/>
      <c r="G530" s="37"/>
      <c r="H530" s="2"/>
      <c r="I530" s="2"/>
      <c r="J530" s="2"/>
    </row>
    <row r="531" spans="2:10" ht="15.75" customHeight="1" x14ac:dyDescent="0.2">
      <c r="B531" s="2"/>
      <c r="C531" s="37"/>
      <c r="D531" s="37"/>
      <c r="E531" s="330"/>
      <c r="F531" s="37"/>
      <c r="G531" s="37"/>
      <c r="H531" s="2"/>
      <c r="I531" s="2"/>
      <c r="J531" s="2"/>
    </row>
    <row r="532" spans="2:10" ht="15.75" customHeight="1" x14ac:dyDescent="0.2">
      <c r="B532" s="2"/>
      <c r="C532" s="37"/>
      <c r="D532" s="37"/>
      <c r="E532" s="330"/>
      <c r="F532" s="37"/>
      <c r="G532" s="37"/>
      <c r="H532" s="2"/>
      <c r="I532" s="2"/>
      <c r="J532" s="2"/>
    </row>
    <row r="533" spans="2:10" ht="15.75" customHeight="1" x14ac:dyDescent="0.2">
      <c r="B533" s="2"/>
      <c r="C533" s="37"/>
      <c r="D533" s="37"/>
      <c r="E533" s="330"/>
      <c r="F533" s="37"/>
      <c r="G533" s="37"/>
      <c r="H533" s="2"/>
      <c r="I533" s="2"/>
      <c r="J533" s="2"/>
    </row>
    <row r="534" spans="2:10" ht="15.75" customHeight="1" x14ac:dyDescent="0.2">
      <c r="B534" s="2"/>
      <c r="C534" s="37"/>
      <c r="D534" s="37"/>
      <c r="E534" s="330"/>
      <c r="F534" s="37"/>
      <c r="G534" s="37"/>
      <c r="H534" s="2"/>
      <c r="I534" s="2"/>
      <c r="J534" s="2"/>
    </row>
    <row r="535" spans="2:10" ht="15.75" customHeight="1" x14ac:dyDescent="0.2">
      <c r="B535" s="2"/>
      <c r="C535" s="37"/>
      <c r="D535" s="37"/>
      <c r="E535" s="330"/>
      <c r="F535" s="37"/>
      <c r="G535" s="37"/>
      <c r="H535" s="2"/>
      <c r="I535" s="2"/>
      <c r="J535" s="2"/>
    </row>
    <row r="536" spans="2:10" ht="15.75" customHeight="1" x14ac:dyDescent="0.2">
      <c r="B536" s="2"/>
      <c r="C536" s="37"/>
      <c r="D536" s="37"/>
      <c r="E536" s="330"/>
      <c r="F536" s="37"/>
      <c r="G536" s="37"/>
      <c r="H536" s="2"/>
      <c r="I536" s="2"/>
      <c r="J536" s="2"/>
    </row>
    <row r="537" spans="2:10" ht="15.75" customHeight="1" x14ac:dyDescent="0.2">
      <c r="B537" s="2"/>
      <c r="C537" s="37"/>
      <c r="D537" s="37"/>
      <c r="E537" s="330"/>
      <c r="F537" s="37"/>
      <c r="G537" s="37"/>
      <c r="H537" s="2"/>
      <c r="I537" s="2"/>
      <c r="J537" s="2"/>
    </row>
    <row r="538" spans="2:10" ht="15.75" customHeight="1" x14ac:dyDescent="0.2">
      <c r="B538" s="2"/>
      <c r="C538" s="37"/>
      <c r="D538" s="37"/>
      <c r="E538" s="330"/>
      <c r="F538" s="37"/>
      <c r="G538" s="37"/>
      <c r="H538" s="2"/>
      <c r="I538" s="2"/>
      <c r="J538" s="2"/>
    </row>
    <row r="539" spans="2:10" ht="15.75" customHeight="1" x14ac:dyDescent="0.2">
      <c r="B539" s="2"/>
      <c r="C539" s="37"/>
      <c r="D539" s="37"/>
      <c r="E539" s="330"/>
      <c r="F539" s="37"/>
      <c r="G539" s="37"/>
      <c r="H539" s="2"/>
      <c r="I539" s="2"/>
      <c r="J539" s="2"/>
    </row>
    <row r="540" spans="2:10" ht="15.75" customHeight="1" x14ac:dyDescent="0.2">
      <c r="B540" s="2"/>
      <c r="C540" s="37"/>
      <c r="D540" s="37"/>
      <c r="E540" s="330"/>
      <c r="F540" s="37"/>
      <c r="G540" s="37"/>
      <c r="H540" s="2"/>
      <c r="I540" s="2"/>
      <c r="J540" s="2"/>
    </row>
    <row r="541" spans="2:10" ht="15.75" customHeight="1" x14ac:dyDescent="0.2">
      <c r="B541" s="2"/>
      <c r="C541" s="37"/>
      <c r="D541" s="37"/>
      <c r="E541" s="330"/>
      <c r="F541" s="37"/>
      <c r="G541" s="37"/>
      <c r="H541" s="2"/>
      <c r="I541" s="2"/>
      <c r="J541" s="2"/>
    </row>
    <row r="542" spans="2:10" ht="15.75" customHeight="1" x14ac:dyDescent="0.2">
      <c r="B542" s="2"/>
      <c r="C542" s="37"/>
      <c r="D542" s="37"/>
      <c r="E542" s="330"/>
      <c r="F542" s="37"/>
      <c r="G542" s="37"/>
      <c r="H542" s="2"/>
      <c r="I542" s="2"/>
      <c r="J542" s="2"/>
    </row>
    <row r="543" spans="2:10" ht="15.75" customHeight="1" x14ac:dyDescent="0.2">
      <c r="B543" s="2"/>
      <c r="C543" s="37"/>
      <c r="D543" s="37"/>
      <c r="E543" s="330"/>
      <c r="F543" s="37"/>
      <c r="G543" s="37"/>
      <c r="H543" s="2"/>
      <c r="I543" s="2"/>
      <c r="J543" s="2"/>
    </row>
    <row r="544" spans="2:10" ht="15.75" customHeight="1" x14ac:dyDescent="0.2">
      <c r="B544" s="2"/>
      <c r="C544" s="37"/>
      <c r="D544" s="37"/>
      <c r="E544" s="330"/>
      <c r="F544" s="37"/>
      <c r="G544" s="37"/>
      <c r="H544" s="2"/>
      <c r="I544" s="2"/>
      <c r="J544" s="2"/>
    </row>
    <row r="545" spans="2:10" ht="15.75" customHeight="1" x14ac:dyDescent="0.2">
      <c r="B545" s="2"/>
      <c r="C545" s="37"/>
      <c r="D545" s="37"/>
      <c r="E545" s="330"/>
      <c r="F545" s="37"/>
      <c r="G545" s="37"/>
      <c r="H545" s="2"/>
      <c r="I545" s="2"/>
      <c r="J545" s="2"/>
    </row>
    <row r="546" spans="2:10" ht="15.75" customHeight="1" x14ac:dyDescent="0.2">
      <c r="B546" s="2"/>
      <c r="C546" s="37"/>
      <c r="D546" s="37"/>
      <c r="E546" s="330"/>
      <c r="F546" s="37"/>
      <c r="G546" s="37"/>
      <c r="H546" s="2"/>
      <c r="I546" s="2"/>
      <c r="J546" s="2"/>
    </row>
    <row r="547" spans="2:10" ht="15.75" customHeight="1" x14ac:dyDescent="0.2">
      <c r="B547" s="2"/>
      <c r="C547" s="37"/>
      <c r="D547" s="37"/>
      <c r="E547" s="330"/>
      <c r="F547" s="37"/>
      <c r="G547" s="37"/>
      <c r="H547" s="2"/>
      <c r="I547" s="2"/>
      <c r="J547" s="2"/>
    </row>
    <row r="548" spans="2:10" ht="15.75" customHeight="1" x14ac:dyDescent="0.2">
      <c r="B548" s="2"/>
      <c r="C548" s="37"/>
      <c r="D548" s="37"/>
      <c r="E548" s="330"/>
      <c r="F548" s="37"/>
      <c r="G548" s="37"/>
      <c r="H548" s="2"/>
      <c r="I548" s="2"/>
      <c r="J548" s="2"/>
    </row>
    <row r="549" spans="2:10" ht="15.75" customHeight="1" x14ac:dyDescent="0.2">
      <c r="B549" s="2"/>
      <c r="C549" s="37"/>
      <c r="D549" s="37"/>
      <c r="E549" s="330"/>
      <c r="F549" s="37"/>
      <c r="G549" s="37"/>
      <c r="H549" s="2"/>
      <c r="I549" s="2"/>
      <c r="J549" s="2"/>
    </row>
    <row r="550" spans="2:10" ht="15.75" customHeight="1" x14ac:dyDescent="0.2">
      <c r="B550" s="2"/>
      <c r="C550" s="37"/>
      <c r="D550" s="37"/>
      <c r="E550" s="330"/>
      <c r="F550" s="37"/>
      <c r="G550" s="37"/>
      <c r="H550" s="2"/>
      <c r="I550" s="2"/>
      <c r="J550" s="2"/>
    </row>
    <row r="551" spans="2:10" ht="15.75" customHeight="1" x14ac:dyDescent="0.2">
      <c r="B551" s="2"/>
      <c r="C551" s="37"/>
      <c r="D551" s="37"/>
      <c r="E551" s="330"/>
      <c r="F551" s="37"/>
      <c r="G551" s="37"/>
      <c r="H551" s="2"/>
      <c r="I551" s="2"/>
      <c r="J551" s="2"/>
    </row>
    <row r="552" spans="2:10" ht="15.75" customHeight="1" x14ac:dyDescent="0.2">
      <c r="B552" s="2"/>
      <c r="C552" s="37"/>
      <c r="D552" s="37"/>
      <c r="E552" s="330"/>
      <c r="F552" s="37"/>
      <c r="G552" s="37"/>
      <c r="H552" s="2"/>
      <c r="I552" s="2"/>
      <c r="J552" s="2"/>
    </row>
    <row r="553" spans="2:10" ht="15.75" customHeight="1" x14ac:dyDescent="0.2">
      <c r="B553" s="2"/>
      <c r="C553" s="37"/>
      <c r="D553" s="37"/>
      <c r="E553" s="330"/>
      <c r="F553" s="37"/>
      <c r="G553" s="37"/>
      <c r="H553" s="2"/>
      <c r="I553" s="2"/>
      <c r="J553" s="2"/>
    </row>
    <row r="554" spans="2:10" ht="15.75" customHeight="1" x14ac:dyDescent="0.2">
      <c r="B554" s="2"/>
      <c r="C554" s="37"/>
      <c r="D554" s="37"/>
      <c r="E554" s="330"/>
      <c r="F554" s="37"/>
      <c r="G554" s="37"/>
      <c r="H554" s="2"/>
      <c r="I554" s="2"/>
      <c r="J554" s="2"/>
    </row>
    <row r="555" spans="2:10" ht="15.75" customHeight="1" x14ac:dyDescent="0.2">
      <c r="B555" s="2"/>
      <c r="C555" s="37"/>
      <c r="D555" s="37"/>
      <c r="E555" s="330"/>
      <c r="F555" s="37"/>
      <c r="G555" s="37"/>
      <c r="H555" s="2"/>
      <c r="I555" s="2"/>
      <c r="J555" s="2"/>
    </row>
    <row r="556" spans="2:10" ht="15.75" customHeight="1" x14ac:dyDescent="0.2">
      <c r="B556" s="2"/>
      <c r="C556" s="37"/>
      <c r="D556" s="37"/>
      <c r="E556" s="330"/>
      <c r="F556" s="37"/>
      <c r="G556" s="37"/>
      <c r="H556" s="2"/>
      <c r="I556" s="2"/>
      <c r="J556" s="2"/>
    </row>
    <row r="557" spans="2:10" ht="15.75" customHeight="1" x14ac:dyDescent="0.2">
      <c r="B557" s="2"/>
      <c r="C557" s="37"/>
      <c r="D557" s="37"/>
      <c r="E557" s="330"/>
      <c r="F557" s="37"/>
      <c r="G557" s="37"/>
      <c r="H557" s="2"/>
      <c r="I557" s="2"/>
      <c r="J557" s="2"/>
    </row>
    <row r="558" spans="2:10" ht="15.75" customHeight="1" x14ac:dyDescent="0.2">
      <c r="B558" s="2"/>
      <c r="C558" s="37"/>
      <c r="D558" s="37"/>
      <c r="E558" s="330"/>
      <c r="F558" s="37"/>
      <c r="G558" s="37"/>
      <c r="H558" s="2"/>
      <c r="I558" s="2"/>
      <c r="J558" s="2"/>
    </row>
    <row r="559" spans="2:10" ht="15.75" customHeight="1" x14ac:dyDescent="0.2">
      <c r="B559" s="2"/>
      <c r="C559" s="37"/>
      <c r="D559" s="37"/>
      <c r="E559" s="330"/>
      <c r="F559" s="37"/>
      <c r="G559" s="37"/>
      <c r="H559" s="2"/>
      <c r="I559" s="2"/>
      <c r="J559" s="2"/>
    </row>
    <row r="560" spans="2:10" ht="15.75" customHeight="1" x14ac:dyDescent="0.2">
      <c r="B560" s="2"/>
      <c r="C560" s="37"/>
      <c r="D560" s="37"/>
      <c r="E560" s="330"/>
      <c r="F560" s="37"/>
      <c r="G560" s="37"/>
      <c r="H560" s="2"/>
      <c r="I560" s="2"/>
      <c r="J560" s="2"/>
    </row>
    <row r="561" spans="2:10" ht="15.75" customHeight="1" x14ac:dyDescent="0.2">
      <c r="B561" s="2"/>
      <c r="C561" s="37"/>
      <c r="D561" s="37"/>
      <c r="E561" s="330"/>
      <c r="F561" s="37"/>
      <c r="G561" s="37"/>
      <c r="H561" s="2"/>
      <c r="I561" s="2"/>
      <c r="J561" s="2"/>
    </row>
    <row r="562" spans="2:10" ht="15.75" customHeight="1" x14ac:dyDescent="0.2">
      <c r="B562" s="2"/>
      <c r="C562" s="37"/>
      <c r="D562" s="37"/>
      <c r="E562" s="330"/>
      <c r="F562" s="37"/>
      <c r="G562" s="37"/>
      <c r="H562" s="2"/>
      <c r="I562" s="2"/>
      <c r="J562" s="2"/>
    </row>
    <row r="563" spans="2:10" ht="15.75" customHeight="1" x14ac:dyDescent="0.2">
      <c r="B563" s="2"/>
      <c r="C563" s="37"/>
      <c r="D563" s="37"/>
      <c r="E563" s="330"/>
      <c r="F563" s="37"/>
      <c r="G563" s="37"/>
      <c r="H563" s="2"/>
      <c r="I563" s="2"/>
      <c r="J563" s="2"/>
    </row>
    <row r="564" spans="2:10" ht="15.75" customHeight="1" x14ac:dyDescent="0.2">
      <c r="B564" s="2"/>
      <c r="C564" s="37"/>
      <c r="D564" s="37"/>
      <c r="E564" s="330"/>
      <c r="F564" s="37"/>
      <c r="G564" s="37"/>
      <c r="H564" s="2"/>
      <c r="I564" s="2"/>
      <c r="J564" s="2"/>
    </row>
    <row r="565" spans="2:10" ht="15.75" customHeight="1" x14ac:dyDescent="0.2">
      <c r="B565" s="2"/>
      <c r="C565" s="37"/>
      <c r="D565" s="37"/>
      <c r="E565" s="330"/>
      <c r="F565" s="37"/>
      <c r="G565" s="37"/>
      <c r="H565" s="2"/>
      <c r="I565" s="2"/>
      <c r="J565" s="2"/>
    </row>
    <row r="566" spans="2:10" ht="15.75" customHeight="1" x14ac:dyDescent="0.2">
      <c r="B566" s="2"/>
      <c r="C566" s="37"/>
      <c r="D566" s="37"/>
      <c r="E566" s="330"/>
      <c r="F566" s="37"/>
      <c r="G566" s="37"/>
      <c r="H566" s="2"/>
      <c r="I566" s="2"/>
      <c r="J566" s="2"/>
    </row>
    <row r="567" spans="2:10" ht="15.75" customHeight="1" x14ac:dyDescent="0.2">
      <c r="B567" s="2"/>
      <c r="C567" s="37"/>
      <c r="D567" s="37"/>
      <c r="E567" s="330"/>
      <c r="F567" s="37"/>
      <c r="G567" s="37"/>
      <c r="H567" s="2"/>
      <c r="I567" s="2"/>
      <c r="J567" s="2"/>
    </row>
    <row r="568" spans="2:10" ht="15.75" customHeight="1" x14ac:dyDescent="0.2">
      <c r="B568" s="2"/>
      <c r="C568" s="37"/>
      <c r="D568" s="37"/>
      <c r="E568" s="330"/>
      <c r="F568" s="37"/>
      <c r="G568" s="37"/>
      <c r="H568" s="2"/>
      <c r="I568" s="2"/>
      <c r="J568" s="2"/>
    </row>
    <row r="569" spans="2:10" ht="15.75" customHeight="1" x14ac:dyDescent="0.2">
      <c r="B569" s="2"/>
      <c r="C569" s="37"/>
      <c r="D569" s="37"/>
      <c r="E569" s="330"/>
      <c r="F569" s="37"/>
      <c r="G569" s="37"/>
      <c r="H569" s="2"/>
      <c r="I569" s="2"/>
      <c r="J569" s="2"/>
    </row>
    <row r="570" spans="2:10" ht="15.75" customHeight="1" x14ac:dyDescent="0.2">
      <c r="B570" s="2"/>
      <c r="C570" s="37"/>
      <c r="D570" s="37"/>
      <c r="E570" s="330"/>
      <c r="F570" s="37"/>
      <c r="G570" s="37"/>
      <c r="H570" s="2"/>
      <c r="I570" s="2"/>
      <c r="J570" s="2"/>
    </row>
    <row r="571" spans="2:10" ht="15.75" customHeight="1" x14ac:dyDescent="0.2">
      <c r="B571" s="2"/>
      <c r="C571" s="37"/>
      <c r="D571" s="37"/>
      <c r="E571" s="330"/>
      <c r="F571" s="37"/>
      <c r="G571" s="37"/>
      <c r="H571" s="2"/>
      <c r="I571" s="2"/>
      <c r="J571" s="2"/>
    </row>
    <row r="572" spans="2:10" ht="15.75" customHeight="1" x14ac:dyDescent="0.2">
      <c r="B572" s="2"/>
      <c r="C572" s="37"/>
      <c r="D572" s="37"/>
      <c r="E572" s="330"/>
      <c r="F572" s="37"/>
      <c r="G572" s="37"/>
      <c r="H572" s="2"/>
      <c r="I572" s="2"/>
      <c r="J572" s="2"/>
    </row>
    <row r="573" spans="2:10" ht="15.75" customHeight="1" x14ac:dyDescent="0.2">
      <c r="B573" s="2"/>
      <c r="C573" s="37"/>
      <c r="D573" s="37"/>
      <c r="E573" s="330"/>
      <c r="F573" s="37"/>
      <c r="G573" s="37"/>
      <c r="H573" s="2"/>
      <c r="I573" s="2"/>
      <c r="J573" s="2"/>
    </row>
    <row r="574" spans="2:10" ht="15.75" customHeight="1" x14ac:dyDescent="0.2">
      <c r="B574" s="2"/>
      <c r="C574" s="37"/>
      <c r="D574" s="37"/>
      <c r="E574" s="330"/>
      <c r="F574" s="37"/>
      <c r="G574" s="37"/>
      <c r="H574" s="2"/>
      <c r="I574" s="2"/>
      <c r="J574" s="2"/>
    </row>
    <row r="575" spans="2:10" ht="15.75" customHeight="1" x14ac:dyDescent="0.2">
      <c r="B575" s="2"/>
      <c r="C575" s="37"/>
      <c r="D575" s="37"/>
      <c r="E575" s="330"/>
      <c r="F575" s="37"/>
      <c r="G575" s="37"/>
      <c r="H575" s="2"/>
      <c r="I575" s="2"/>
      <c r="J575" s="2"/>
    </row>
    <row r="576" spans="2:10" ht="15.75" customHeight="1" x14ac:dyDescent="0.2">
      <c r="B576" s="2"/>
      <c r="C576" s="37"/>
      <c r="D576" s="37"/>
      <c r="E576" s="330"/>
      <c r="F576" s="37"/>
      <c r="G576" s="37"/>
      <c r="H576" s="2"/>
      <c r="I576" s="2"/>
      <c r="J576" s="2"/>
    </row>
    <row r="577" spans="2:10" ht="15.75" customHeight="1" x14ac:dyDescent="0.2">
      <c r="B577" s="2"/>
      <c r="C577" s="37"/>
      <c r="D577" s="37"/>
      <c r="E577" s="330"/>
      <c r="F577" s="37"/>
      <c r="G577" s="37"/>
      <c r="H577" s="2"/>
      <c r="I577" s="2"/>
      <c r="J577" s="2"/>
    </row>
    <row r="578" spans="2:10" ht="15.75" customHeight="1" x14ac:dyDescent="0.2">
      <c r="B578" s="2"/>
      <c r="C578" s="37"/>
      <c r="D578" s="37"/>
      <c r="E578" s="330"/>
      <c r="F578" s="37"/>
      <c r="G578" s="37"/>
      <c r="H578" s="2"/>
      <c r="I578" s="2"/>
      <c r="J578" s="2"/>
    </row>
    <row r="579" spans="2:10" ht="15.75" customHeight="1" x14ac:dyDescent="0.2">
      <c r="B579" s="2"/>
      <c r="C579" s="37"/>
      <c r="D579" s="37"/>
      <c r="E579" s="330"/>
      <c r="F579" s="37"/>
      <c r="G579" s="37"/>
      <c r="H579" s="2"/>
      <c r="I579" s="2"/>
      <c r="J579" s="2"/>
    </row>
    <row r="580" spans="2:10" ht="15.75" customHeight="1" x14ac:dyDescent="0.2">
      <c r="B580" s="2"/>
      <c r="C580" s="37"/>
      <c r="D580" s="37"/>
      <c r="E580" s="330"/>
      <c r="F580" s="37"/>
      <c r="G580" s="37"/>
      <c r="H580" s="2"/>
      <c r="I580" s="2"/>
      <c r="J580" s="2"/>
    </row>
    <row r="581" spans="2:10" ht="15.75" customHeight="1" x14ac:dyDescent="0.2">
      <c r="B581" s="2"/>
      <c r="C581" s="37"/>
      <c r="D581" s="37"/>
      <c r="E581" s="330"/>
      <c r="F581" s="37"/>
      <c r="G581" s="37"/>
      <c r="H581" s="2"/>
      <c r="I581" s="2"/>
      <c r="J581" s="2"/>
    </row>
    <row r="582" spans="2:10" ht="15.75" customHeight="1" x14ac:dyDescent="0.2">
      <c r="B582" s="2"/>
      <c r="C582" s="37"/>
      <c r="D582" s="37"/>
      <c r="E582" s="330"/>
      <c r="F582" s="37"/>
      <c r="G582" s="37"/>
      <c r="H582" s="2"/>
      <c r="I582" s="2"/>
      <c r="J582" s="2"/>
    </row>
    <row r="583" spans="2:10" ht="15.75" customHeight="1" x14ac:dyDescent="0.2">
      <c r="B583" s="2"/>
      <c r="C583" s="37"/>
      <c r="D583" s="37"/>
      <c r="E583" s="330"/>
      <c r="F583" s="37"/>
      <c r="G583" s="37"/>
      <c r="H583" s="2"/>
      <c r="I583" s="2"/>
      <c r="J583" s="2"/>
    </row>
    <row r="584" spans="2:10" ht="15.75" customHeight="1" x14ac:dyDescent="0.2">
      <c r="B584" s="2"/>
      <c r="C584" s="37"/>
      <c r="D584" s="37"/>
      <c r="E584" s="330"/>
      <c r="F584" s="37"/>
      <c r="G584" s="37"/>
      <c r="H584" s="2"/>
      <c r="I584" s="2"/>
      <c r="J584" s="2"/>
    </row>
    <row r="585" spans="2:10" ht="15.75" customHeight="1" x14ac:dyDescent="0.2">
      <c r="B585" s="2"/>
      <c r="C585" s="37"/>
      <c r="D585" s="37"/>
      <c r="E585" s="330"/>
      <c r="F585" s="37"/>
      <c r="G585" s="37"/>
      <c r="H585" s="2"/>
      <c r="I585" s="2"/>
      <c r="J585" s="2"/>
    </row>
    <row r="586" spans="2:10" ht="15.75" customHeight="1" x14ac:dyDescent="0.2">
      <c r="B586" s="2"/>
      <c r="C586" s="37"/>
      <c r="D586" s="37"/>
      <c r="E586" s="330"/>
      <c r="F586" s="37"/>
      <c r="G586" s="37"/>
      <c r="H586" s="2"/>
      <c r="I586" s="2"/>
      <c r="J586" s="2"/>
    </row>
    <row r="587" spans="2:10" ht="15.75" customHeight="1" x14ac:dyDescent="0.2">
      <c r="B587" s="2"/>
      <c r="C587" s="37"/>
      <c r="D587" s="37"/>
      <c r="E587" s="330"/>
      <c r="F587" s="37"/>
      <c r="G587" s="37"/>
      <c r="H587" s="2"/>
      <c r="I587" s="2"/>
      <c r="J587" s="2"/>
    </row>
    <row r="588" spans="2:10" ht="15.75" customHeight="1" x14ac:dyDescent="0.2">
      <c r="B588" s="2"/>
      <c r="C588" s="37"/>
      <c r="D588" s="37"/>
      <c r="E588" s="330"/>
      <c r="F588" s="37"/>
      <c r="G588" s="37"/>
      <c r="H588" s="2"/>
      <c r="I588" s="2"/>
      <c r="J588" s="2"/>
    </row>
    <row r="589" spans="2:10" ht="15.75" customHeight="1" x14ac:dyDescent="0.2">
      <c r="B589" s="2"/>
      <c r="C589" s="37"/>
      <c r="D589" s="37"/>
      <c r="E589" s="330"/>
      <c r="F589" s="37"/>
      <c r="G589" s="37"/>
      <c r="H589" s="2"/>
      <c r="I589" s="2"/>
      <c r="J589" s="2"/>
    </row>
    <row r="590" spans="2:10" ht="15.75" customHeight="1" x14ac:dyDescent="0.2">
      <c r="B590" s="2"/>
      <c r="C590" s="37"/>
      <c r="D590" s="37"/>
      <c r="E590" s="330"/>
      <c r="F590" s="37"/>
      <c r="G590" s="37"/>
      <c r="H590" s="2"/>
      <c r="I590" s="2"/>
      <c r="J590" s="2"/>
    </row>
    <row r="591" spans="2:10" ht="15.75" customHeight="1" x14ac:dyDescent="0.2">
      <c r="B591" s="2"/>
      <c r="C591" s="37"/>
      <c r="D591" s="37"/>
      <c r="E591" s="330"/>
      <c r="F591" s="37"/>
      <c r="G591" s="37"/>
      <c r="H591" s="2"/>
      <c r="I591" s="2"/>
      <c r="J591" s="2"/>
    </row>
    <row r="592" spans="2:10" ht="15.75" customHeight="1" x14ac:dyDescent="0.2">
      <c r="B592" s="2"/>
      <c r="C592" s="37"/>
      <c r="D592" s="37"/>
      <c r="E592" s="330"/>
      <c r="F592" s="37"/>
      <c r="G592" s="37"/>
      <c r="H592" s="2"/>
      <c r="I592" s="2"/>
      <c r="J592" s="2"/>
    </row>
    <row r="593" spans="2:10" ht="15.75" customHeight="1" x14ac:dyDescent="0.2">
      <c r="B593" s="2"/>
      <c r="C593" s="37"/>
      <c r="D593" s="37"/>
      <c r="E593" s="330"/>
      <c r="F593" s="37"/>
      <c r="G593" s="37"/>
      <c r="H593" s="2"/>
      <c r="I593" s="2"/>
      <c r="J593" s="2"/>
    </row>
    <row r="594" spans="2:10" ht="15.75" customHeight="1" x14ac:dyDescent="0.2">
      <c r="B594" s="2"/>
      <c r="C594" s="37"/>
      <c r="D594" s="37"/>
      <c r="E594" s="330"/>
      <c r="F594" s="37"/>
      <c r="G594" s="37"/>
      <c r="H594" s="2"/>
      <c r="I594" s="2"/>
      <c r="J594" s="2"/>
    </row>
    <row r="595" spans="2:10" ht="15.75" customHeight="1" x14ac:dyDescent="0.2">
      <c r="B595" s="2"/>
      <c r="C595" s="37"/>
      <c r="D595" s="37"/>
      <c r="E595" s="330"/>
      <c r="F595" s="37"/>
      <c r="G595" s="37"/>
      <c r="H595" s="2"/>
      <c r="I595" s="2"/>
      <c r="J595" s="2"/>
    </row>
    <row r="596" spans="2:10" ht="15.75" customHeight="1" x14ac:dyDescent="0.2">
      <c r="B596" s="2"/>
      <c r="C596" s="37"/>
      <c r="D596" s="37"/>
      <c r="E596" s="330"/>
      <c r="F596" s="37"/>
      <c r="G596" s="37"/>
      <c r="H596" s="2"/>
      <c r="I596" s="2"/>
      <c r="J596" s="2"/>
    </row>
    <row r="597" spans="2:10" ht="15.75" customHeight="1" x14ac:dyDescent="0.2">
      <c r="B597" s="2"/>
      <c r="C597" s="37"/>
      <c r="D597" s="37"/>
      <c r="E597" s="330"/>
      <c r="F597" s="37"/>
      <c r="G597" s="37"/>
      <c r="H597" s="2"/>
      <c r="I597" s="2"/>
      <c r="J597" s="2"/>
    </row>
    <row r="598" spans="2:10" ht="15.75" customHeight="1" x14ac:dyDescent="0.2">
      <c r="B598" s="2"/>
      <c r="C598" s="37"/>
      <c r="D598" s="37"/>
      <c r="E598" s="330"/>
      <c r="F598" s="37"/>
      <c r="G598" s="37"/>
      <c r="H598" s="2"/>
      <c r="I598" s="2"/>
      <c r="J598" s="2"/>
    </row>
    <row r="599" spans="2:10" ht="15.75" customHeight="1" x14ac:dyDescent="0.2">
      <c r="B599" s="2"/>
      <c r="C599" s="37"/>
      <c r="D599" s="37"/>
      <c r="E599" s="330"/>
      <c r="F599" s="37"/>
      <c r="G599" s="37"/>
      <c r="H599" s="2"/>
      <c r="I599" s="2"/>
      <c r="J599" s="2"/>
    </row>
    <row r="600" spans="2:10" ht="15.75" customHeight="1" x14ac:dyDescent="0.2">
      <c r="B600" s="2"/>
      <c r="C600" s="37"/>
      <c r="D600" s="37"/>
      <c r="E600" s="330"/>
      <c r="F600" s="37"/>
      <c r="G600" s="37"/>
      <c r="H600" s="2"/>
      <c r="I600" s="2"/>
      <c r="J600" s="2"/>
    </row>
    <row r="601" spans="2:10" ht="15.75" customHeight="1" x14ac:dyDescent="0.2">
      <c r="B601" s="2"/>
      <c r="C601" s="37"/>
      <c r="D601" s="37"/>
      <c r="E601" s="330"/>
      <c r="F601" s="37"/>
      <c r="G601" s="37"/>
      <c r="H601" s="2"/>
      <c r="I601" s="2"/>
      <c r="J601" s="2"/>
    </row>
    <row r="602" spans="2:10" ht="15.75" customHeight="1" x14ac:dyDescent="0.2">
      <c r="B602" s="2"/>
      <c r="C602" s="37"/>
      <c r="D602" s="37"/>
      <c r="E602" s="330"/>
      <c r="F602" s="37"/>
      <c r="G602" s="37"/>
      <c r="H602" s="2"/>
      <c r="I602" s="2"/>
      <c r="J602" s="2"/>
    </row>
    <row r="603" spans="2:10" ht="15.75" customHeight="1" x14ac:dyDescent="0.2">
      <c r="B603" s="2"/>
      <c r="C603" s="37"/>
      <c r="D603" s="37"/>
      <c r="E603" s="330"/>
      <c r="F603" s="37"/>
      <c r="G603" s="37"/>
      <c r="H603" s="2"/>
      <c r="I603" s="2"/>
      <c r="J603" s="2"/>
    </row>
    <row r="604" spans="2:10" ht="15.75" customHeight="1" x14ac:dyDescent="0.2">
      <c r="B604" s="2"/>
      <c r="C604" s="37"/>
      <c r="D604" s="37"/>
      <c r="E604" s="330"/>
      <c r="F604" s="37"/>
      <c r="G604" s="37"/>
      <c r="H604" s="2"/>
      <c r="I604" s="2"/>
      <c r="J604" s="2"/>
    </row>
    <row r="605" spans="2:10" ht="15.75" customHeight="1" x14ac:dyDescent="0.2">
      <c r="B605" s="2"/>
      <c r="C605" s="37"/>
      <c r="D605" s="37"/>
      <c r="E605" s="330"/>
      <c r="F605" s="37"/>
      <c r="G605" s="37"/>
      <c r="H605" s="2"/>
      <c r="I605" s="2"/>
      <c r="J605" s="2"/>
    </row>
    <row r="606" spans="2:10" ht="15.75" customHeight="1" x14ac:dyDescent="0.2">
      <c r="B606" s="2"/>
      <c r="C606" s="37"/>
      <c r="D606" s="37"/>
      <c r="E606" s="330"/>
      <c r="F606" s="37"/>
      <c r="G606" s="37"/>
      <c r="H606" s="2"/>
      <c r="I606" s="2"/>
      <c r="J606" s="2"/>
    </row>
    <row r="607" spans="2:10" ht="15.75" customHeight="1" x14ac:dyDescent="0.2">
      <c r="B607" s="2"/>
      <c r="C607" s="37"/>
      <c r="D607" s="37"/>
      <c r="E607" s="330"/>
      <c r="F607" s="37"/>
      <c r="G607" s="37"/>
      <c r="H607" s="2"/>
      <c r="I607" s="2"/>
      <c r="J607" s="2"/>
    </row>
    <row r="608" spans="2:10" ht="15.75" customHeight="1" x14ac:dyDescent="0.2">
      <c r="B608" s="2"/>
      <c r="C608" s="37"/>
      <c r="D608" s="37"/>
      <c r="E608" s="330"/>
      <c r="F608" s="37"/>
      <c r="G608" s="37"/>
      <c r="H608" s="2"/>
      <c r="I608" s="2"/>
      <c r="J608" s="2"/>
    </row>
    <row r="609" spans="2:10" ht="15.75" customHeight="1" x14ac:dyDescent="0.2">
      <c r="B609" s="2"/>
      <c r="C609" s="37"/>
      <c r="D609" s="37"/>
      <c r="E609" s="330"/>
      <c r="F609" s="37"/>
      <c r="G609" s="37"/>
      <c r="H609" s="2"/>
      <c r="I609" s="2"/>
      <c r="J609" s="2"/>
    </row>
    <row r="610" spans="2:10" ht="15.75" customHeight="1" x14ac:dyDescent="0.2">
      <c r="B610" s="2"/>
      <c r="C610" s="37"/>
      <c r="D610" s="37"/>
      <c r="E610" s="330"/>
      <c r="F610" s="37"/>
      <c r="G610" s="37"/>
      <c r="H610" s="2"/>
      <c r="I610" s="2"/>
      <c r="J610" s="2"/>
    </row>
    <row r="611" spans="2:10" ht="15.75" customHeight="1" x14ac:dyDescent="0.2">
      <c r="B611" s="2"/>
      <c r="C611" s="37"/>
      <c r="D611" s="37"/>
      <c r="E611" s="330"/>
      <c r="F611" s="37"/>
      <c r="G611" s="37"/>
      <c r="H611" s="2"/>
      <c r="I611" s="2"/>
      <c r="J611" s="2"/>
    </row>
    <row r="612" spans="2:10" ht="15.75" customHeight="1" x14ac:dyDescent="0.2">
      <c r="B612" s="2"/>
      <c r="C612" s="37"/>
      <c r="D612" s="37"/>
      <c r="E612" s="330"/>
      <c r="F612" s="37"/>
      <c r="G612" s="37"/>
      <c r="H612" s="2"/>
      <c r="I612" s="2"/>
      <c r="J612" s="2"/>
    </row>
    <row r="613" spans="2:10" ht="15.75" customHeight="1" x14ac:dyDescent="0.2">
      <c r="B613" s="2"/>
      <c r="C613" s="37"/>
      <c r="D613" s="37"/>
      <c r="E613" s="330"/>
      <c r="F613" s="37"/>
      <c r="G613" s="37"/>
      <c r="H613" s="2"/>
      <c r="I613" s="2"/>
      <c r="J613" s="2"/>
    </row>
    <row r="614" spans="2:10" ht="15.75" customHeight="1" x14ac:dyDescent="0.2">
      <c r="B614" s="2"/>
      <c r="C614" s="37"/>
      <c r="D614" s="37"/>
      <c r="E614" s="330"/>
      <c r="F614" s="37"/>
      <c r="G614" s="37"/>
      <c r="H614" s="2"/>
      <c r="I614" s="2"/>
      <c r="J614" s="2"/>
    </row>
    <row r="615" spans="2:10" ht="15.75" customHeight="1" x14ac:dyDescent="0.2">
      <c r="B615" s="2"/>
      <c r="C615" s="37"/>
      <c r="D615" s="37"/>
      <c r="E615" s="330"/>
      <c r="F615" s="37"/>
      <c r="G615" s="37"/>
      <c r="H615" s="2"/>
      <c r="I615" s="2"/>
      <c r="J615" s="2"/>
    </row>
    <row r="616" spans="2:10" ht="15.75" customHeight="1" x14ac:dyDescent="0.2">
      <c r="B616" s="2"/>
      <c r="C616" s="37"/>
      <c r="D616" s="37"/>
      <c r="E616" s="330"/>
      <c r="F616" s="37"/>
      <c r="G616" s="37"/>
      <c r="H616" s="2"/>
      <c r="I616" s="2"/>
      <c r="J616" s="2"/>
    </row>
    <row r="617" spans="2:10" ht="15.75" customHeight="1" x14ac:dyDescent="0.2">
      <c r="B617" s="2"/>
      <c r="C617" s="37"/>
      <c r="D617" s="37"/>
      <c r="E617" s="330"/>
      <c r="F617" s="37"/>
      <c r="G617" s="37"/>
      <c r="H617" s="2"/>
      <c r="I617" s="2"/>
      <c r="J617" s="2"/>
    </row>
    <row r="618" spans="2:10" ht="15.75" customHeight="1" x14ac:dyDescent="0.2">
      <c r="B618" s="2"/>
      <c r="C618" s="37"/>
      <c r="D618" s="37"/>
      <c r="E618" s="330"/>
      <c r="F618" s="37"/>
      <c r="G618" s="37"/>
      <c r="H618" s="2"/>
      <c r="I618" s="2"/>
      <c r="J618" s="2"/>
    </row>
    <row r="619" spans="2:10" ht="15.75" customHeight="1" x14ac:dyDescent="0.2">
      <c r="B619" s="2"/>
      <c r="C619" s="37"/>
      <c r="D619" s="37"/>
      <c r="E619" s="330"/>
      <c r="F619" s="37"/>
      <c r="G619" s="37"/>
      <c r="H619" s="2"/>
      <c r="I619" s="2"/>
      <c r="J619" s="2"/>
    </row>
    <row r="620" spans="2:10" ht="15.75" customHeight="1" x14ac:dyDescent="0.2">
      <c r="B620" s="2"/>
      <c r="C620" s="37"/>
      <c r="D620" s="37"/>
      <c r="E620" s="330"/>
      <c r="F620" s="37"/>
      <c r="G620" s="37"/>
      <c r="H620" s="2"/>
      <c r="I620" s="2"/>
      <c r="J620" s="2"/>
    </row>
    <row r="621" spans="2:10" ht="15.75" customHeight="1" x14ac:dyDescent="0.2">
      <c r="B621" s="2"/>
      <c r="C621" s="37"/>
      <c r="D621" s="37"/>
      <c r="E621" s="330"/>
      <c r="F621" s="37"/>
      <c r="G621" s="37"/>
      <c r="H621" s="2"/>
      <c r="I621" s="2"/>
      <c r="J621" s="2"/>
    </row>
    <row r="622" spans="2:10" ht="15.75" customHeight="1" x14ac:dyDescent="0.2">
      <c r="B622" s="2"/>
      <c r="C622" s="37"/>
      <c r="D622" s="37"/>
      <c r="E622" s="330"/>
      <c r="F622" s="37"/>
      <c r="G622" s="37"/>
      <c r="H622" s="2"/>
      <c r="I622" s="2"/>
      <c r="J622" s="2"/>
    </row>
    <row r="623" spans="2:10" ht="15.75" customHeight="1" x14ac:dyDescent="0.2">
      <c r="B623" s="2"/>
      <c r="C623" s="37"/>
      <c r="D623" s="37"/>
      <c r="E623" s="330"/>
      <c r="F623" s="37"/>
      <c r="G623" s="37"/>
      <c r="H623" s="2"/>
      <c r="I623" s="2"/>
      <c r="J623" s="2"/>
    </row>
    <row r="624" spans="2:10" ht="15.75" customHeight="1" x14ac:dyDescent="0.2">
      <c r="B624" s="2"/>
      <c r="C624" s="37"/>
      <c r="D624" s="37"/>
      <c r="E624" s="330"/>
      <c r="F624" s="37"/>
      <c r="G624" s="37"/>
      <c r="H624" s="2"/>
      <c r="I624" s="2"/>
      <c r="J624" s="2"/>
    </row>
    <row r="625" spans="2:10" ht="15.75" customHeight="1" x14ac:dyDescent="0.2">
      <c r="B625" s="2"/>
      <c r="C625" s="37"/>
      <c r="D625" s="37"/>
      <c r="E625" s="330"/>
      <c r="F625" s="37"/>
      <c r="G625" s="37"/>
      <c r="H625" s="2"/>
      <c r="I625" s="2"/>
      <c r="J625" s="2"/>
    </row>
    <row r="626" spans="2:10" ht="15.75" customHeight="1" x14ac:dyDescent="0.2">
      <c r="B626" s="2"/>
      <c r="C626" s="37"/>
      <c r="D626" s="37"/>
      <c r="E626" s="330"/>
      <c r="F626" s="37"/>
      <c r="G626" s="37"/>
      <c r="H626" s="2"/>
      <c r="I626" s="2"/>
      <c r="J626" s="2"/>
    </row>
    <row r="627" spans="2:10" ht="15.75" customHeight="1" x14ac:dyDescent="0.2">
      <c r="B627" s="2"/>
      <c r="C627" s="37"/>
      <c r="D627" s="37"/>
      <c r="E627" s="330"/>
      <c r="F627" s="37"/>
      <c r="G627" s="37"/>
      <c r="H627" s="2"/>
      <c r="I627" s="2"/>
      <c r="J627" s="2"/>
    </row>
    <row r="628" spans="2:10" ht="15.75" customHeight="1" x14ac:dyDescent="0.2">
      <c r="B628" s="2"/>
      <c r="C628" s="37"/>
      <c r="D628" s="37"/>
      <c r="E628" s="330"/>
      <c r="F628" s="37"/>
      <c r="G628" s="37"/>
      <c r="H628" s="2"/>
      <c r="I628" s="2"/>
      <c r="J628" s="2"/>
    </row>
    <row r="629" spans="2:10" ht="15.75" customHeight="1" x14ac:dyDescent="0.2">
      <c r="B629" s="2"/>
      <c r="C629" s="37"/>
      <c r="D629" s="37"/>
      <c r="E629" s="330"/>
      <c r="F629" s="37"/>
      <c r="G629" s="37"/>
      <c r="H629" s="2"/>
      <c r="I629" s="2"/>
      <c r="J629" s="2"/>
    </row>
    <row r="630" spans="2:10" ht="15.75" customHeight="1" x14ac:dyDescent="0.2">
      <c r="B630" s="2"/>
      <c r="C630" s="37"/>
      <c r="D630" s="37"/>
      <c r="E630" s="330"/>
      <c r="F630" s="37"/>
      <c r="G630" s="37"/>
      <c r="H630" s="2"/>
      <c r="I630" s="2"/>
      <c r="J630" s="2"/>
    </row>
    <row r="631" spans="2:10" ht="15.75" customHeight="1" x14ac:dyDescent="0.2">
      <c r="B631" s="2"/>
      <c r="C631" s="37"/>
      <c r="D631" s="37"/>
      <c r="E631" s="330"/>
      <c r="F631" s="37"/>
      <c r="G631" s="37"/>
      <c r="H631" s="2"/>
      <c r="I631" s="2"/>
      <c r="J631" s="2"/>
    </row>
    <row r="632" spans="2:10" ht="15.75" customHeight="1" x14ac:dyDescent="0.2">
      <c r="B632" s="2"/>
      <c r="C632" s="37"/>
      <c r="D632" s="37"/>
      <c r="E632" s="330"/>
      <c r="F632" s="37"/>
      <c r="G632" s="37"/>
      <c r="H632" s="2"/>
      <c r="I632" s="2"/>
      <c r="J632" s="2"/>
    </row>
    <row r="633" spans="2:10" ht="15.75" customHeight="1" x14ac:dyDescent="0.2">
      <c r="B633" s="2"/>
      <c r="C633" s="37"/>
      <c r="D633" s="37"/>
      <c r="E633" s="330"/>
      <c r="F633" s="37"/>
      <c r="G633" s="37"/>
      <c r="H633" s="2"/>
      <c r="I633" s="2"/>
      <c r="J633" s="2"/>
    </row>
    <row r="634" spans="2:10" ht="15.75" customHeight="1" x14ac:dyDescent="0.2">
      <c r="B634" s="2"/>
      <c r="C634" s="37"/>
      <c r="D634" s="37"/>
      <c r="E634" s="330"/>
      <c r="F634" s="37"/>
      <c r="G634" s="37"/>
      <c r="H634" s="2"/>
      <c r="I634" s="2"/>
      <c r="J634" s="2"/>
    </row>
    <row r="635" spans="2:10" ht="15.75" customHeight="1" x14ac:dyDescent="0.2">
      <c r="B635" s="2"/>
      <c r="C635" s="37"/>
      <c r="D635" s="37"/>
      <c r="E635" s="330"/>
      <c r="F635" s="37"/>
      <c r="G635" s="37"/>
      <c r="H635" s="2"/>
      <c r="I635" s="2"/>
      <c r="J635" s="2"/>
    </row>
    <row r="636" spans="2:10" ht="15.75" customHeight="1" x14ac:dyDescent="0.2">
      <c r="B636" s="2"/>
      <c r="C636" s="37"/>
      <c r="D636" s="37"/>
      <c r="E636" s="330"/>
      <c r="F636" s="37"/>
      <c r="G636" s="37"/>
      <c r="H636" s="2"/>
      <c r="I636" s="2"/>
      <c r="J636" s="2"/>
    </row>
    <row r="637" spans="2:10" ht="15.75" customHeight="1" x14ac:dyDescent="0.2">
      <c r="B637" s="2"/>
      <c r="C637" s="37"/>
      <c r="D637" s="37"/>
      <c r="E637" s="330"/>
      <c r="F637" s="37"/>
      <c r="G637" s="37"/>
      <c r="H637" s="2"/>
      <c r="I637" s="2"/>
      <c r="J637" s="2"/>
    </row>
    <row r="638" spans="2:10" ht="15.75" customHeight="1" x14ac:dyDescent="0.2">
      <c r="B638" s="2"/>
      <c r="C638" s="37"/>
      <c r="D638" s="37"/>
      <c r="E638" s="330"/>
      <c r="F638" s="37"/>
      <c r="G638" s="37"/>
      <c r="H638" s="2"/>
      <c r="I638" s="2"/>
      <c r="J638" s="2"/>
    </row>
    <row r="639" spans="2:10" ht="15.75" customHeight="1" x14ac:dyDescent="0.2">
      <c r="B639" s="2"/>
      <c r="C639" s="37"/>
      <c r="D639" s="37"/>
      <c r="E639" s="330"/>
      <c r="F639" s="37"/>
      <c r="G639" s="37"/>
      <c r="H639" s="2"/>
      <c r="I639" s="2"/>
      <c r="J639" s="2"/>
    </row>
    <row r="640" spans="2:10" ht="15.75" customHeight="1" x14ac:dyDescent="0.2">
      <c r="B640" s="2"/>
      <c r="C640" s="37"/>
      <c r="D640" s="37"/>
      <c r="E640" s="330"/>
      <c r="F640" s="37"/>
      <c r="G640" s="37"/>
      <c r="H640" s="2"/>
      <c r="I640" s="2"/>
      <c r="J640" s="2"/>
    </row>
    <row r="641" spans="2:10" ht="15.75" customHeight="1" x14ac:dyDescent="0.2">
      <c r="B641" s="2"/>
      <c r="C641" s="37"/>
      <c r="D641" s="37"/>
      <c r="E641" s="330"/>
      <c r="F641" s="37"/>
      <c r="G641" s="37"/>
      <c r="H641" s="2"/>
      <c r="I641" s="2"/>
      <c r="J641" s="2"/>
    </row>
    <row r="642" spans="2:10" ht="15.75" customHeight="1" x14ac:dyDescent="0.2">
      <c r="B642" s="2"/>
      <c r="C642" s="37"/>
      <c r="D642" s="37"/>
      <c r="E642" s="330"/>
      <c r="F642" s="37"/>
      <c r="G642" s="37"/>
      <c r="H642" s="2"/>
      <c r="I642" s="2"/>
      <c r="J642" s="2"/>
    </row>
    <row r="643" spans="2:10" ht="15.75" customHeight="1" x14ac:dyDescent="0.2">
      <c r="B643" s="2"/>
      <c r="C643" s="37"/>
      <c r="D643" s="37"/>
      <c r="E643" s="330"/>
      <c r="F643" s="37"/>
      <c r="G643" s="37"/>
      <c r="H643" s="2"/>
      <c r="I643" s="2"/>
      <c r="J643" s="2"/>
    </row>
    <row r="644" spans="2:10" ht="15.75" customHeight="1" x14ac:dyDescent="0.2">
      <c r="B644" s="2"/>
      <c r="C644" s="37"/>
      <c r="D644" s="37"/>
      <c r="E644" s="330"/>
      <c r="F644" s="37"/>
      <c r="G644" s="37"/>
      <c r="H644" s="2"/>
      <c r="I644" s="2"/>
      <c r="J644" s="2"/>
    </row>
    <row r="645" spans="2:10" ht="15.75" customHeight="1" x14ac:dyDescent="0.2">
      <c r="B645" s="2"/>
      <c r="C645" s="37"/>
      <c r="D645" s="37"/>
      <c r="E645" s="330"/>
      <c r="F645" s="37"/>
      <c r="G645" s="37"/>
      <c r="H645" s="2"/>
      <c r="I645" s="2"/>
      <c r="J645" s="2"/>
    </row>
    <row r="646" spans="2:10" ht="15.75" customHeight="1" x14ac:dyDescent="0.2">
      <c r="B646" s="2"/>
      <c r="C646" s="37"/>
      <c r="D646" s="37"/>
      <c r="E646" s="330"/>
      <c r="F646" s="37"/>
      <c r="G646" s="37"/>
      <c r="H646" s="2"/>
      <c r="I646" s="2"/>
      <c r="J646" s="2"/>
    </row>
    <row r="647" spans="2:10" ht="15.75" customHeight="1" x14ac:dyDescent="0.2">
      <c r="B647" s="2"/>
      <c r="C647" s="37"/>
      <c r="D647" s="37"/>
      <c r="E647" s="330"/>
      <c r="F647" s="37"/>
      <c r="G647" s="37"/>
      <c r="H647" s="2"/>
      <c r="I647" s="2"/>
      <c r="J647" s="2"/>
    </row>
    <row r="648" spans="2:10" ht="15.75" customHeight="1" x14ac:dyDescent="0.2">
      <c r="B648" s="2"/>
      <c r="C648" s="37"/>
      <c r="D648" s="37"/>
      <c r="E648" s="330"/>
      <c r="F648" s="37"/>
      <c r="G648" s="37"/>
      <c r="H648" s="2"/>
      <c r="I648" s="2"/>
      <c r="J648" s="2"/>
    </row>
    <row r="649" spans="2:10" ht="15.75" customHeight="1" x14ac:dyDescent="0.2">
      <c r="B649" s="2"/>
      <c r="C649" s="37"/>
      <c r="D649" s="37"/>
      <c r="E649" s="330"/>
      <c r="F649" s="37"/>
      <c r="G649" s="37"/>
      <c r="H649" s="2"/>
      <c r="I649" s="2"/>
      <c r="J649" s="2"/>
    </row>
    <row r="650" spans="2:10" ht="15.75" customHeight="1" x14ac:dyDescent="0.2">
      <c r="B650" s="2"/>
      <c r="C650" s="37"/>
      <c r="D650" s="37"/>
      <c r="E650" s="330"/>
      <c r="F650" s="37"/>
      <c r="G650" s="37"/>
      <c r="H650" s="2"/>
      <c r="I650" s="2"/>
      <c r="J650" s="2"/>
    </row>
    <row r="651" spans="2:10" ht="15.75" customHeight="1" x14ac:dyDescent="0.2">
      <c r="B651" s="2"/>
      <c r="C651" s="37"/>
      <c r="D651" s="37"/>
      <c r="E651" s="330"/>
      <c r="F651" s="37"/>
      <c r="G651" s="37"/>
      <c r="H651" s="2"/>
      <c r="I651" s="2"/>
      <c r="J651" s="2"/>
    </row>
    <row r="652" spans="2:10" ht="15.75" customHeight="1" x14ac:dyDescent="0.2">
      <c r="B652" s="2"/>
      <c r="C652" s="37"/>
      <c r="D652" s="37"/>
      <c r="E652" s="330"/>
      <c r="F652" s="37"/>
      <c r="G652" s="37"/>
      <c r="H652" s="2"/>
      <c r="I652" s="2"/>
      <c r="J652" s="2"/>
    </row>
    <row r="653" spans="2:10" ht="15.75" customHeight="1" x14ac:dyDescent="0.2">
      <c r="B653" s="2"/>
      <c r="C653" s="37"/>
      <c r="D653" s="37"/>
      <c r="E653" s="330"/>
      <c r="F653" s="37"/>
      <c r="G653" s="37"/>
      <c r="H653" s="2"/>
      <c r="I653" s="2"/>
      <c r="J653" s="2"/>
    </row>
    <row r="654" spans="2:10" ht="15.75" customHeight="1" x14ac:dyDescent="0.2">
      <c r="B654" s="2"/>
      <c r="C654" s="37"/>
      <c r="D654" s="37"/>
      <c r="E654" s="330"/>
      <c r="F654" s="37"/>
      <c r="G654" s="37"/>
      <c r="H654" s="2"/>
      <c r="I654" s="2"/>
      <c r="J654" s="2"/>
    </row>
    <row r="655" spans="2:10" ht="15.75" customHeight="1" x14ac:dyDescent="0.2">
      <c r="B655" s="2"/>
      <c r="C655" s="37"/>
      <c r="D655" s="37"/>
      <c r="E655" s="330"/>
      <c r="F655" s="37"/>
      <c r="G655" s="37"/>
      <c r="H655" s="2"/>
      <c r="I655" s="2"/>
      <c r="J655" s="2"/>
    </row>
    <row r="656" spans="2:10" ht="15.75" customHeight="1" x14ac:dyDescent="0.2">
      <c r="B656" s="2"/>
      <c r="C656" s="37"/>
      <c r="D656" s="37"/>
      <c r="E656" s="330"/>
      <c r="F656" s="37"/>
      <c r="G656" s="37"/>
      <c r="H656" s="2"/>
      <c r="I656" s="2"/>
      <c r="J656" s="2"/>
    </row>
    <row r="657" spans="2:10" ht="15.75" customHeight="1" x14ac:dyDescent="0.2">
      <c r="B657" s="2"/>
      <c r="C657" s="37"/>
      <c r="D657" s="37"/>
      <c r="E657" s="330"/>
      <c r="F657" s="37"/>
      <c r="G657" s="37"/>
      <c r="H657" s="2"/>
      <c r="I657" s="2"/>
      <c r="J657" s="2"/>
    </row>
    <row r="658" spans="2:10" ht="15.75" customHeight="1" x14ac:dyDescent="0.2">
      <c r="B658" s="2"/>
      <c r="C658" s="37"/>
      <c r="D658" s="37"/>
      <c r="E658" s="330"/>
      <c r="F658" s="37"/>
      <c r="G658" s="37"/>
      <c r="H658" s="2"/>
      <c r="I658" s="2"/>
      <c r="J658" s="2"/>
    </row>
    <row r="659" spans="2:10" ht="15.75" customHeight="1" x14ac:dyDescent="0.2">
      <c r="B659" s="2"/>
      <c r="C659" s="37"/>
      <c r="D659" s="37"/>
      <c r="E659" s="330"/>
      <c r="F659" s="37"/>
      <c r="G659" s="37"/>
      <c r="H659" s="2"/>
      <c r="I659" s="2"/>
      <c r="J659" s="2"/>
    </row>
    <row r="660" spans="2:10" ht="15.75" customHeight="1" x14ac:dyDescent="0.2">
      <c r="B660" s="2"/>
      <c r="C660" s="37"/>
      <c r="D660" s="37"/>
      <c r="E660" s="330"/>
      <c r="F660" s="37"/>
      <c r="G660" s="37"/>
      <c r="H660" s="2"/>
      <c r="I660" s="2"/>
      <c r="J660" s="2"/>
    </row>
    <row r="661" spans="2:10" ht="15.75" customHeight="1" x14ac:dyDescent="0.2">
      <c r="B661" s="2"/>
      <c r="C661" s="37"/>
      <c r="D661" s="37"/>
      <c r="E661" s="330"/>
      <c r="F661" s="37"/>
      <c r="G661" s="37"/>
      <c r="H661" s="2"/>
      <c r="I661" s="2"/>
      <c r="J661" s="2"/>
    </row>
    <row r="662" spans="2:10" ht="15.75" customHeight="1" x14ac:dyDescent="0.2">
      <c r="B662" s="2"/>
      <c r="C662" s="37"/>
      <c r="D662" s="37"/>
      <c r="E662" s="330"/>
      <c r="F662" s="37"/>
      <c r="G662" s="37"/>
      <c r="H662" s="2"/>
      <c r="I662" s="2"/>
      <c r="J662" s="2"/>
    </row>
    <row r="663" spans="2:10" ht="15.75" customHeight="1" x14ac:dyDescent="0.2">
      <c r="B663" s="2"/>
      <c r="C663" s="37"/>
      <c r="D663" s="37"/>
      <c r="E663" s="330"/>
      <c r="F663" s="37"/>
      <c r="G663" s="37"/>
      <c r="H663" s="2"/>
      <c r="I663" s="2"/>
      <c r="J663" s="2"/>
    </row>
    <row r="664" spans="2:10" ht="15.75" customHeight="1" x14ac:dyDescent="0.2">
      <c r="B664" s="2"/>
      <c r="C664" s="37"/>
      <c r="D664" s="37"/>
      <c r="E664" s="330"/>
      <c r="F664" s="37"/>
      <c r="G664" s="37"/>
      <c r="H664" s="2"/>
      <c r="I664" s="2"/>
      <c r="J664" s="2"/>
    </row>
    <row r="665" spans="2:10" ht="15.75" customHeight="1" x14ac:dyDescent="0.2">
      <c r="B665" s="2"/>
      <c r="C665" s="37"/>
      <c r="D665" s="37"/>
      <c r="E665" s="330"/>
      <c r="F665" s="37"/>
      <c r="G665" s="37"/>
      <c r="H665" s="2"/>
      <c r="I665" s="2"/>
      <c r="J665" s="2"/>
    </row>
    <row r="666" spans="2:10" ht="15.75" customHeight="1" x14ac:dyDescent="0.2">
      <c r="B666" s="2"/>
      <c r="C666" s="37"/>
      <c r="D666" s="37"/>
      <c r="E666" s="330"/>
      <c r="F666" s="37"/>
      <c r="G666" s="37"/>
      <c r="H666" s="2"/>
      <c r="I666" s="2"/>
      <c r="J666" s="2"/>
    </row>
    <row r="667" spans="2:10" ht="15.75" customHeight="1" x14ac:dyDescent="0.2">
      <c r="B667" s="2"/>
      <c r="C667" s="37"/>
      <c r="D667" s="37"/>
      <c r="E667" s="330"/>
      <c r="F667" s="37"/>
      <c r="G667" s="37"/>
      <c r="H667" s="2"/>
      <c r="I667" s="2"/>
      <c r="J667" s="2"/>
    </row>
    <row r="668" spans="2:10" ht="15.75" customHeight="1" x14ac:dyDescent="0.2">
      <c r="B668" s="2"/>
      <c r="C668" s="37"/>
      <c r="D668" s="37"/>
      <c r="E668" s="330"/>
      <c r="F668" s="37"/>
      <c r="G668" s="37"/>
      <c r="H668" s="2"/>
      <c r="I668" s="2"/>
      <c r="J668" s="2"/>
    </row>
    <row r="669" spans="2:10" ht="15.75" customHeight="1" x14ac:dyDescent="0.2">
      <c r="B669" s="2"/>
      <c r="C669" s="37"/>
      <c r="D669" s="37"/>
      <c r="E669" s="330"/>
      <c r="F669" s="37"/>
      <c r="G669" s="37"/>
      <c r="H669" s="2"/>
      <c r="I669" s="2"/>
      <c r="J669" s="2"/>
    </row>
    <row r="670" spans="2:10" ht="15.75" customHeight="1" x14ac:dyDescent="0.2">
      <c r="B670" s="2"/>
      <c r="C670" s="37"/>
      <c r="D670" s="37"/>
      <c r="E670" s="330"/>
      <c r="F670" s="37"/>
      <c r="G670" s="37"/>
      <c r="H670" s="2"/>
      <c r="I670" s="2"/>
      <c r="J670" s="2"/>
    </row>
    <row r="671" spans="2:10" ht="15.75" customHeight="1" x14ac:dyDescent="0.2">
      <c r="B671" s="2"/>
      <c r="C671" s="37"/>
      <c r="D671" s="37"/>
      <c r="E671" s="330"/>
      <c r="F671" s="37"/>
      <c r="G671" s="37"/>
      <c r="H671" s="2"/>
      <c r="I671" s="2"/>
      <c r="J671" s="2"/>
    </row>
    <row r="672" spans="2:10" ht="15.75" customHeight="1" x14ac:dyDescent="0.2">
      <c r="B672" s="2"/>
      <c r="C672" s="37"/>
      <c r="D672" s="37"/>
      <c r="E672" s="330"/>
      <c r="F672" s="37"/>
      <c r="G672" s="37"/>
      <c r="H672" s="2"/>
      <c r="I672" s="2"/>
      <c r="J672" s="2"/>
    </row>
    <row r="673" spans="2:10" ht="15.75" customHeight="1" x14ac:dyDescent="0.2">
      <c r="B673" s="2"/>
      <c r="C673" s="37"/>
      <c r="D673" s="37"/>
      <c r="E673" s="330"/>
      <c r="F673" s="37"/>
      <c r="G673" s="37"/>
      <c r="H673" s="2"/>
      <c r="I673" s="2"/>
      <c r="J673" s="2"/>
    </row>
    <row r="674" spans="2:10" ht="15.75" customHeight="1" x14ac:dyDescent="0.2">
      <c r="B674" s="2"/>
      <c r="C674" s="37"/>
      <c r="D674" s="37"/>
      <c r="E674" s="330"/>
      <c r="F674" s="37"/>
      <c r="G674" s="37"/>
      <c r="H674" s="2"/>
      <c r="I674" s="2"/>
      <c r="J674" s="2"/>
    </row>
    <row r="675" spans="2:10" ht="15.75" customHeight="1" x14ac:dyDescent="0.2">
      <c r="B675" s="2"/>
      <c r="C675" s="37"/>
      <c r="D675" s="37"/>
      <c r="E675" s="330"/>
      <c r="F675" s="37"/>
      <c r="G675" s="37"/>
      <c r="H675" s="2"/>
      <c r="I675" s="2"/>
      <c r="J675" s="2"/>
    </row>
    <row r="676" spans="2:10" ht="15.75" customHeight="1" x14ac:dyDescent="0.2">
      <c r="B676" s="2"/>
      <c r="C676" s="37"/>
      <c r="D676" s="37"/>
      <c r="E676" s="330"/>
      <c r="F676" s="37"/>
      <c r="G676" s="37"/>
      <c r="H676" s="2"/>
      <c r="I676" s="2"/>
      <c r="J676" s="2"/>
    </row>
    <row r="677" spans="2:10" ht="15.75" customHeight="1" x14ac:dyDescent="0.2">
      <c r="B677" s="2"/>
      <c r="C677" s="37"/>
      <c r="D677" s="37"/>
      <c r="E677" s="330"/>
      <c r="F677" s="37"/>
      <c r="G677" s="37"/>
      <c r="H677" s="2"/>
      <c r="I677" s="2"/>
      <c r="J677" s="2"/>
    </row>
    <row r="678" spans="2:10" ht="15.75" customHeight="1" x14ac:dyDescent="0.2">
      <c r="B678" s="2"/>
      <c r="C678" s="37"/>
      <c r="D678" s="37"/>
      <c r="E678" s="330"/>
      <c r="F678" s="37"/>
      <c r="G678" s="37"/>
      <c r="H678" s="2"/>
    </row>
    <row r="679" spans="2:10" ht="15.75" customHeight="1" x14ac:dyDescent="0.2">
      <c r="B679" s="2"/>
      <c r="C679" s="37"/>
      <c r="D679" s="37"/>
      <c r="E679" s="330"/>
      <c r="F679" s="37"/>
      <c r="G679" s="37"/>
      <c r="H679" s="2"/>
    </row>
    <row r="680" spans="2:10" ht="15.75" customHeight="1" x14ac:dyDescent="0.2">
      <c r="B680" s="2"/>
      <c r="C680" s="37"/>
      <c r="D680" s="37"/>
      <c r="E680" s="330"/>
      <c r="F680" s="37"/>
      <c r="G680" s="37"/>
      <c r="H680" s="2"/>
    </row>
    <row r="681" spans="2:10" ht="15.75" customHeight="1" x14ac:dyDescent="0.2">
      <c r="B681" s="2"/>
      <c r="C681" s="37"/>
      <c r="D681" s="37"/>
      <c r="E681" s="330"/>
      <c r="F681" s="37"/>
      <c r="G681" s="37"/>
      <c r="H681" s="2"/>
    </row>
    <row r="682" spans="2:10" ht="15.75" customHeight="1" x14ac:dyDescent="0.2">
      <c r="B682" s="2"/>
      <c r="C682" s="37"/>
      <c r="D682" s="37"/>
      <c r="E682" s="330"/>
      <c r="F682" s="37"/>
      <c r="G682" s="37"/>
      <c r="H682" s="2"/>
    </row>
    <row r="683" spans="2:10" ht="15.75" customHeight="1" x14ac:dyDescent="0.2">
      <c r="B683" s="2"/>
      <c r="C683" s="37"/>
      <c r="D683" s="37"/>
      <c r="E683" s="330"/>
      <c r="F683" s="37"/>
      <c r="G683" s="37"/>
      <c r="H683" s="2"/>
    </row>
    <row r="684" spans="2:10" ht="15.75" customHeight="1" x14ac:dyDescent="0.2">
      <c r="B684" s="2"/>
      <c r="C684" s="37"/>
      <c r="D684" s="37"/>
      <c r="E684" s="330"/>
      <c r="F684" s="37"/>
      <c r="G684" s="37"/>
      <c r="H684" s="2"/>
    </row>
    <row r="685" spans="2:10" ht="15.75" customHeight="1" x14ac:dyDescent="0.2">
      <c r="B685" s="2"/>
      <c r="C685" s="37"/>
      <c r="D685" s="37"/>
      <c r="E685" s="330"/>
      <c r="F685" s="37"/>
      <c r="G685" s="37"/>
      <c r="H685" s="2"/>
    </row>
    <row r="686" spans="2:10" ht="15.75" customHeight="1" x14ac:dyDescent="0.2">
      <c r="B686" s="2"/>
      <c r="C686" s="37"/>
      <c r="D686" s="37"/>
      <c r="E686" s="330"/>
      <c r="F686" s="37"/>
      <c r="G686" s="37"/>
      <c r="H686" s="2"/>
    </row>
    <row r="687" spans="2:10" ht="15.75" customHeight="1" x14ac:dyDescent="0.2">
      <c r="B687" s="2"/>
      <c r="C687" s="37"/>
      <c r="D687" s="37"/>
      <c r="E687" s="330"/>
      <c r="F687" s="37"/>
      <c r="G687" s="37"/>
      <c r="H687" s="2"/>
    </row>
    <row r="688" spans="2:10" ht="15.75" customHeight="1" x14ac:dyDescent="0.2">
      <c r="B688" s="2"/>
      <c r="C688" s="37"/>
      <c r="D688" s="37"/>
      <c r="E688" s="330"/>
      <c r="F688" s="37"/>
      <c r="G688" s="37"/>
      <c r="H688" s="2"/>
    </row>
    <row r="689" spans="2:10" ht="15.75" customHeight="1" x14ac:dyDescent="0.2">
      <c r="B689" s="2"/>
      <c r="C689" s="37"/>
      <c r="D689" s="37"/>
      <c r="E689" s="330"/>
      <c r="F689" s="37"/>
      <c r="G689" s="37"/>
      <c r="H689" s="2"/>
    </row>
    <row r="690" spans="2:10" ht="15.75" customHeight="1" x14ac:dyDescent="0.2"/>
    <row r="691" spans="2:10" ht="15.75" customHeight="1" x14ac:dyDescent="0.2"/>
    <row r="692" spans="2:10" ht="15.75" customHeight="1" x14ac:dyDescent="0.2"/>
    <row r="693" spans="2:10" ht="15.75" customHeight="1" x14ac:dyDescent="0.2"/>
    <row r="694" spans="2:10" ht="15.75" customHeight="1" x14ac:dyDescent="0.2"/>
    <row r="695" spans="2:10" ht="15.75" customHeight="1" x14ac:dyDescent="0.2"/>
    <row r="696" spans="2:10" ht="15.75" customHeight="1" x14ac:dyDescent="0.2"/>
    <row r="697" spans="2:10" ht="15.75" customHeight="1" x14ac:dyDescent="0.2"/>
    <row r="698" spans="2:10" ht="15.75" customHeight="1" x14ac:dyDescent="0.2"/>
    <row r="699" spans="2:10" ht="15.75" customHeight="1" x14ac:dyDescent="0.2"/>
    <row r="700" spans="2:10" s="2" customFormat="1" ht="15.75" customHeight="1" x14ac:dyDescent="0.2">
      <c r="B700"/>
      <c r="C700" s="45"/>
      <c r="D700" s="45"/>
      <c r="E700" s="199"/>
      <c r="F700" s="45"/>
      <c r="G700" s="45"/>
      <c r="H700"/>
      <c r="I700"/>
      <c r="J700"/>
    </row>
    <row r="701" spans="2:10" s="2" customFormat="1" ht="15.75" customHeight="1" x14ac:dyDescent="0.2">
      <c r="B701"/>
      <c r="C701" s="45"/>
      <c r="D701" s="45"/>
      <c r="E701" s="199"/>
      <c r="F701" s="45"/>
      <c r="G701" s="45"/>
      <c r="H701"/>
      <c r="I701"/>
      <c r="J701"/>
    </row>
    <row r="702" spans="2:10" s="2" customFormat="1" ht="15.75" customHeight="1" x14ac:dyDescent="0.2">
      <c r="B702"/>
      <c r="C702" s="45"/>
      <c r="D702" s="45"/>
      <c r="E702" s="199"/>
      <c r="F702" s="45"/>
      <c r="G702" s="45"/>
      <c r="H702"/>
      <c r="I702"/>
      <c r="J702"/>
    </row>
    <row r="703" spans="2:10" s="2" customFormat="1" ht="15.75" customHeight="1" x14ac:dyDescent="0.2">
      <c r="B703"/>
      <c r="C703" s="45"/>
      <c r="D703" s="45"/>
      <c r="E703" s="199"/>
      <c r="F703" s="45"/>
      <c r="G703" s="45"/>
      <c r="H703"/>
      <c r="I703"/>
      <c r="J703"/>
    </row>
    <row r="704" spans="2:10" s="2" customFormat="1" ht="15.75" customHeight="1" x14ac:dyDescent="0.2">
      <c r="B704"/>
      <c r="C704" s="45"/>
      <c r="D704" s="45"/>
      <c r="E704" s="199"/>
      <c r="F704" s="45"/>
      <c r="G704" s="45"/>
      <c r="H704"/>
      <c r="I704"/>
      <c r="J704"/>
    </row>
    <row r="705" spans="2:10" s="2" customFormat="1" ht="15.75" customHeight="1" x14ac:dyDescent="0.2">
      <c r="B705"/>
      <c r="C705" s="45"/>
      <c r="D705" s="45"/>
      <c r="E705" s="199"/>
      <c r="F705" s="45"/>
      <c r="G705" s="45"/>
      <c r="H705"/>
      <c r="I705"/>
      <c r="J705"/>
    </row>
    <row r="706" spans="2:10" s="2" customFormat="1" ht="15.75" customHeight="1" x14ac:dyDescent="0.2">
      <c r="B706"/>
      <c r="C706" s="45"/>
      <c r="D706" s="45"/>
      <c r="E706" s="199"/>
      <c r="F706" s="45"/>
      <c r="G706" s="45"/>
      <c r="H706"/>
      <c r="I706"/>
      <c r="J706"/>
    </row>
    <row r="707" spans="2:10" s="2" customFormat="1" ht="15.75" customHeight="1" x14ac:dyDescent="0.2">
      <c r="B707"/>
      <c r="C707" s="45"/>
      <c r="D707" s="45"/>
      <c r="E707" s="199"/>
      <c r="F707" s="45"/>
      <c r="G707" s="45"/>
      <c r="H707"/>
      <c r="I707"/>
      <c r="J707"/>
    </row>
    <row r="708" spans="2:10" s="2" customFormat="1" ht="15.75" customHeight="1" x14ac:dyDescent="0.2">
      <c r="B708"/>
      <c r="C708" s="45"/>
      <c r="D708" s="45"/>
      <c r="E708" s="199"/>
      <c r="F708" s="45"/>
      <c r="G708" s="45"/>
      <c r="H708"/>
      <c r="I708"/>
      <c r="J708"/>
    </row>
    <row r="709" spans="2:10" s="2" customFormat="1" ht="15.75" customHeight="1" x14ac:dyDescent="0.2">
      <c r="B709"/>
      <c r="C709" s="45"/>
      <c r="D709" s="45"/>
      <c r="E709" s="199"/>
      <c r="F709" s="45"/>
      <c r="G709" s="45"/>
      <c r="H709"/>
      <c r="I709"/>
      <c r="J709"/>
    </row>
    <row r="710" spans="2:10" s="2" customFormat="1" ht="15.75" customHeight="1" x14ac:dyDescent="0.2">
      <c r="B710"/>
      <c r="C710" s="45"/>
      <c r="D710" s="45"/>
      <c r="E710" s="199"/>
      <c r="F710" s="45"/>
      <c r="G710" s="45"/>
      <c r="H710"/>
      <c r="I710"/>
      <c r="J710"/>
    </row>
    <row r="711" spans="2:10" s="2" customFormat="1" ht="15.75" customHeight="1" x14ac:dyDescent="0.2">
      <c r="B711"/>
      <c r="C711" s="45"/>
      <c r="D711" s="45"/>
      <c r="E711" s="199"/>
      <c r="F711" s="45"/>
      <c r="G711" s="45"/>
      <c r="H711"/>
      <c r="I711"/>
      <c r="J711"/>
    </row>
    <row r="712" spans="2:10" s="2" customFormat="1" ht="15.75" customHeight="1" x14ac:dyDescent="0.2">
      <c r="B712"/>
      <c r="C712" s="45"/>
      <c r="D712" s="45"/>
      <c r="E712" s="199"/>
      <c r="F712" s="45"/>
      <c r="G712" s="45"/>
      <c r="H712"/>
      <c r="I712"/>
      <c r="J712"/>
    </row>
    <row r="713" spans="2:10" s="2" customFormat="1" ht="15.75" customHeight="1" x14ac:dyDescent="0.2">
      <c r="B713"/>
      <c r="C713" s="45"/>
      <c r="D713" s="45"/>
      <c r="E713" s="199"/>
      <c r="F713" s="45"/>
      <c r="G713" s="45"/>
      <c r="H713"/>
      <c r="I713"/>
      <c r="J713"/>
    </row>
    <row r="714" spans="2:10" s="2" customFormat="1" ht="15.75" customHeight="1" x14ac:dyDescent="0.2">
      <c r="B714"/>
      <c r="C714" s="45"/>
      <c r="D714" s="45"/>
      <c r="E714" s="199"/>
      <c r="F714" s="45"/>
      <c r="G714" s="45"/>
      <c r="H714"/>
      <c r="I714"/>
      <c r="J714"/>
    </row>
    <row r="715" spans="2:10" s="2" customFormat="1" ht="15.75" customHeight="1" x14ac:dyDescent="0.2">
      <c r="B715"/>
      <c r="C715" s="45"/>
      <c r="D715" s="45"/>
      <c r="E715" s="199"/>
      <c r="F715" s="45"/>
      <c r="G715" s="45"/>
      <c r="H715"/>
      <c r="I715"/>
      <c r="J715"/>
    </row>
    <row r="716" spans="2:10" s="2" customFormat="1" ht="15.75" customHeight="1" x14ac:dyDescent="0.2">
      <c r="B716"/>
      <c r="C716" s="45"/>
      <c r="D716" s="45"/>
      <c r="E716" s="199"/>
      <c r="F716" s="45"/>
      <c r="G716" s="45"/>
      <c r="H716"/>
      <c r="I716"/>
      <c r="J716"/>
    </row>
    <row r="717" spans="2:10" s="2" customFormat="1" ht="15.75" customHeight="1" x14ac:dyDescent="0.2">
      <c r="B717"/>
      <c r="C717" s="45"/>
      <c r="D717" s="45"/>
      <c r="E717" s="199"/>
      <c r="F717" s="45"/>
      <c r="G717" s="45"/>
      <c r="H717"/>
      <c r="I717"/>
      <c r="J717"/>
    </row>
    <row r="718" spans="2:10" s="2" customFormat="1" ht="15.75" customHeight="1" x14ac:dyDescent="0.2">
      <c r="B718"/>
      <c r="C718" s="45"/>
      <c r="D718" s="45"/>
      <c r="E718" s="199"/>
      <c r="F718" s="45"/>
      <c r="G718" s="45"/>
      <c r="H718"/>
      <c r="I718"/>
      <c r="J718"/>
    </row>
    <row r="719" spans="2:10" s="2" customFormat="1" ht="15.75" customHeight="1" x14ac:dyDescent="0.2">
      <c r="B719"/>
      <c r="C719" s="45"/>
      <c r="D719" s="45"/>
      <c r="E719" s="199"/>
      <c r="F719" s="45"/>
      <c r="G719" s="45"/>
      <c r="H719"/>
      <c r="I719"/>
      <c r="J719"/>
    </row>
    <row r="720" spans="2:10" s="2" customFormat="1" ht="15.75" customHeight="1" x14ac:dyDescent="0.2">
      <c r="B720"/>
      <c r="C720" s="45"/>
      <c r="D720" s="45"/>
      <c r="E720" s="199"/>
      <c r="F720" s="45"/>
      <c r="G720" s="45"/>
      <c r="H720"/>
      <c r="I720"/>
      <c r="J720"/>
    </row>
    <row r="721" spans="2:10" s="2" customFormat="1" ht="15.75" customHeight="1" x14ac:dyDescent="0.2">
      <c r="B721"/>
      <c r="C721" s="45"/>
      <c r="D721" s="45"/>
      <c r="E721" s="199"/>
      <c r="F721" s="45"/>
      <c r="G721" s="45"/>
      <c r="H721"/>
      <c r="I721"/>
      <c r="J721"/>
    </row>
    <row r="722" spans="2:10" s="2" customFormat="1" ht="15.75" customHeight="1" x14ac:dyDescent="0.2">
      <c r="B722"/>
      <c r="C722" s="45"/>
      <c r="D722" s="45"/>
      <c r="E722" s="199"/>
      <c r="F722" s="45"/>
      <c r="G722" s="45"/>
      <c r="H722"/>
      <c r="I722"/>
      <c r="J722"/>
    </row>
    <row r="723" spans="2:10" s="2" customFormat="1" ht="15.75" customHeight="1" x14ac:dyDescent="0.2">
      <c r="B723"/>
      <c r="C723" s="45"/>
      <c r="D723" s="45"/>
      <c r="E723" s="199"/>
      <c r="F723" s="45"/>
      <c r="G723" s="45"/>
      <c r="H723"/>
      <c r="I723"/>
      <c r="J723"/>
    </row>
    <row r="724" spans="2:10" s="2" customFormat="1" ht="15.75" customHeight="1" x14ac:dyDescent="0.2">
      <c r="B724"/>
      <c r="C724" s="45"/>
      <c r="D724" s="45"/>
      <c r="E724" s="199"/>
      <c r="F724" s="45"/>
      <c r="G724" s="45"/>
      <c r="H724"/>
      <c r="I724"/>
      <c r="J724"/>
    </row>
    <row r="725" spans="2:10" s="2" customFormat="1" ht="15.75" customHeight="1" x14ac:dyDescent="0.2">
      <c r="B725"/>
      <c r="C725" s="45"/>
      <c r="D725" s="45"/>
      <c r="E725" s="199"/>
      <c r="F725" s="45"/>
      <c r="G725" s="45"/>
      <c r="H725"/>
      <c r="I725"/>
      <c r="J725"/>
    </row>
    <row r="726" spans="2:10" s="2" customFormat="1" ht="15.75" customHeight="1" x14ac:dyDescent="0.2">
      <c r="B726"/>
      <c r="C726" s="45"/>
      <c r="D726" s="45"/>
      <c r="E726" s="199"/>
      <c r="F726" s="45"/>
      <c r="G726" s="45"/>
      <c r="H726"/>
      <c r="I726"/>
      <c r="J726"/>
    </row>
    <row r="727" spans="2:10" s="2" customFormat="1" ht="15.75" customHeight="1" x14ac:dyDescent="0.2">
      <c r="B727"/>
      <c r="C727" s="45"/>
      <c r="D727" s="45"/>
      <c r="E727" s="199"/>
      <c r="F727" s="45"/>
      <c r="G727" s="45"/>
      <c r="H727"/>
      <c r="I727"/>
      <c r="J727"/>
    </row>
    <row r="728" spans="2:10" s="2" customFormat="1" ht="15.75" customHeight="1" x14ac:dyDescent="0.2">
      <c r="B728"/>
      <c r="C728" s="45"/>
      <c r="D728" s="45"/>
      <c r="E728" s="199"/>
      <c r="F728" s="45"/>
      <c r="G728" s="45"/>
      <c r="H728"/>
      <c r="I728"/>
      <c r="J728"/>
    </row>
    <row r="729" spans="2:10" s="2" customFormat="1" ht="15.75" customHeight="1" x14ac:dyDescent="0.2">
      <c r="B729"/>
      <c r="C729" s="45"/>
      <c r="D729" s="45"/>
      <c r="E729" s="199"/>
      <c r="F729" s="45"/>
      <c r="G729" s="45"/>
      <c r="H729"/>
      <c r="I729"/>
      <c r="J729"/>
    </row>
    <row r="730" spans="2:10" s="2" customFormat="1" ht="15.75" customHeight="1" x14ac:dyDescent="0.2">
      <c r="B730"/>
      <c r="C730" s="45"/>
      <c r="D730" s="45"/>
      <c r="E730" s="199"/>
      <c r="F730" s="45"/>
      <c r="G730" s="45"/>
      <c r="H730"/>
      <c r="I730"/>
      <c r="J730"/>
    </row>
    <row r="731" spans="2:10" s="2" customFormat="1" ht="15.75" customHeight="1" x14ac:dyDescent="0.2">
      <c r="B731"/>
      <c r="C731" s="45"/>
      <c r="D731" s="45"/>
      <c r="E731" s="199"/>
      <c r="F731" s="45"/>
      <c r="G731" s="45"/>
      <c r="H731"/>
      <c r="I731"/>
      <c r="J731"/>
    </row>
    <row r="732" spans="2:10" s="2" customFormat="1" ht="15.75" customHeight="1" x14ac:dyDescent="0.2">
      <c r="B732"/>
      <c r="C732" s="45"/>
      <c r="D732" s="45"/>
      <c r="E732" s="199"/>
      <c r="F732" s="45"/>
      <c r="G732" s="45"/>
      <c r="H732"/>
      <c r="I732"/>
      <c r="J732"/>
    </row>
    <row r="733" spans="2:10" s="2" customFormat="1" ht="15.75" customHeight="1" x14ac:dyDescent="0.2">
      <c r="B733"/>
      <c r="C733" s="45"/>
      <c r="D733" s="45"/>
      <c r="E733" s="199"/>
      <c r="F733" s="45"/>
      <c r="G733" s="45"/>
      <c r="H733"/>
      <c r="I733"/>
      <c r="J733"/>
    </row>
    <row r="734" spans="2:10" s="2" customFormat="1" ht="15.75" customHeight="1" x14ac:dyDescent="0.2">
      <c r="B734"/>
      <c r="C734" s="45"/>
      <c r="D734" s="45"/>
      <c r="E734" s="199"/>
      <c r="F734" s="45"/>
      <c r="G734" s="45"/>
      <c r="H734"/>
      <c r="I734"/>
      <c r="J734"/>
    </row>
    <row r="735" spans="2:10" s="2" customFormat="1" ht="15.75" customHeight="1" x14ac:dyDescent="0.2">
      <c r="B735"/>
      <c r="C735" s="45"/>
      <c r="D735" s="45"/>
      <c r="E735" s="199"/>
      <c r="F735" s="45"/>
      <c r="G735" s="45"/>
      <c r="H735"/>
      <c r="I735"/>
      <c r="J735"/>
    </row>
    <row r="736" spans="2:10" s="2" customFormat="1" ht="15.75" customHeight="1" x14ac:dyDescent="0.2">
      <c r="B736"/>
      <c r="C736" s="45"/>
      <c r="D736" s="45"/>
      <c r="E736" s="199"/>
      <c r="F736" s="45"/>
      <c r="G736" s="45"/>
      <c r="H736"/>
      <c r="I736"/>
      <c r="J736"/>
    </row>
    <row r="737" spans="2:10" s="2" customFormat="1" ht="15.75" customHeight="1" x14ac:dyDescent="0.2">
      <c r="B737"/>
      <c r="C737" s="45"/>
      <c r="D737" s="45"/>
      <c r="E737" s="199"/>
      <c r="F737" s="45"/>
      <c r="G737" s="45"/>
      <c r="H737"/>
      <c r="I737"/>
      <c r="J737"/>
    </row>
    <row r="738" spans="2:10" s="2" customFormat="1" ht="15.75" customHeight="1" x14ac:dyDescent="0.2">
      <c r="B738"/>
      <c r="C738" s="45"/>
      <c r="D738" s="45"/>
      <c r="E738" s="199"/>
      <c r="F738" s="45"/>
      <c r="G738" s="45"/>
      <c r="H738"/>
      <c r="I738"/>
      <c r="J738"/>
    </row>
    <row r="739" spans="2:10" s="2" customFormat="1" ht="15.75" customHeight="1" x14ac:dyDescent="0.2">
      <c r="B739"/>
      <c r="C739" s="45"/>
      <c r="D739" s="45"/>
      <c r="E739" s="199"/>
      <c r="F739" s="45"/>
      <c r="G739" s="45"/>
      <c r="H739"/>
      <c r="I739"/>
      <c r="J739"/>
    </row>
    <row r="740" spans="2:10" s="2" customFormat="1" ht="15.75" customHeight="1" x14ac:dyDescent="0.2">
      <c r="B740"/>
      <c r="C740" s="45"/>
      <c r="D740" s="45"/>
      <c r="E740" s="199"/>
      <c r="F740" s="45"/>
      <c r="G740" s="45"/>
      <c r="H740"/>
      <c r="I740"/>
      <c r="J740"/>
    </row>
    <row r="741" spans="2:10" s="2" customFormat="1" ht="15.75" customHeight="1" x14ac:dyDescent="0.2">
      <c r="B741"/>
      <c r="C741" s="45"/>
      <c r="D741" s="45"/>
      <c r="E741" s="199"/>
      <c r="F741" s="45"/>
      <c r="G741" s="45"/>
      <c r="H741"/>
      <c r="I741"/>
      <c r="J741"/>
    </row>
    <row r="742" spans="2:10" s="2" customFormat="1" ht="15.75" customHeight="1" x14ac:dyDescent="0.2">
      <c r="B742"/>
      <c r="C742" s="45"/>
      <c r="D742" s="45"/>
      <c r="E742" s="199"/>
      <c r="F742" s="45"/>
      <c r="G742" s="45"/>
      <c r="H742"/>
      <c r="I742"/>
      <c r="J742"/>
    </row>
    <row r="743" spans="2:10" s="2" customFormat="1" ht="15.75" customHeight="1" x14ac:dyDescent="0.2">
      <c r="B743"/>
      <c r="C743" s="45"/>
      <c r="D743" s="45"/>
      <c r="E743" s="199"/>
      <c r="F743" s="45"/>
      <c r="G743" s="45"/>
      <c r="H743"/>
      <c r="I743"/>
      <c r="J743"/>
    </row>
    <row r="744" spans="2:10" s="2" customFormat="1" ht="15.75" customHeight="1" x14ac:dyDescent="0.2">
      <c r="B744"/>
      <c r="C744" s="45"/>
      <c r="D744" s="45"/>
      <c r="E744" s="199"/>
      <c r="F744" s="45"/>
      <c r="G744" s="45"/>
      <c r="H744"/>
      <c r="I744"/>
      <c r="J744"/>
    </row>
    <row r="745" spans="2:10" s="2" customFormat="1" ht="15.75" customHeight="1" x14ac:dyDescent="0.2">
      <c r="B745"/>
      <c r="C745" s="45"/>
      <c r="D745" s="45"/>
      <c r="E745" s="199"/>
      <c r="F745" s="45"/>
      <c r="G745" s="45"/>
      <c r="H745"/>
      <c r="I745"/>
      <c r="J745"/>
    </row>
    <row r="746" spans="2:10" s="2" customFormat="1" ht="15.75" customHeight="1" x14ac:dyDescent="0.2">
      <c r="B746"/>
      <c r="C746" s="45"/>
      <c r="D746" s="45"/>
      <c r="E746" s="199"/>
      <c r="F746" s="45"/>
      <c r="G746" s="45"/>
      <c r="H746"/>
      <c r="I746"/>
      <c r="J746"/>
    </row>
    <row r="747" spans="2:10" s="2" customFormat="1" ht="15.75" customHeight="1" x14ac:dyDescent="0.2">
      <c r="B747"/>
      <c r="C747" s="45"/>
      <c r="D747" s="45"/>
      <c r="E747" s="199"/>
      <c r="F747" s="45"/>
      <c r="G747" s="45"/>
      <c r="H747"/>
      <c r="I747"/>
      <c r="J747"/>
    </row>
    <row r="748" spans="2:10" s="2" customFormat="1" ht="15.75" customHeight="1" x14ac:dyDescent="0.2">
      <c r="B748"/>
      <c r="C748" s="45"/>
      <c r="D748" s="45"/>
      <c r="E748" s="199"/>
      <c r="F748" s="45"/>
      <c r="G748" s="45"/>
      <c r="H748"/>
      <c r="I748"/>
      <c r="J748"/>
    </row>
    <row r="749" spans="2:10" s="2" customFormat="1" ht="15.75" customHeight="1" x14ac:dyDescent="0.2">
      <c r="B749"/>
      <c r="C749" s="45"/>
      <c r="D749" s="45"/>
      <c r="E749" s="199"/>
      <c r="F749" s="45"/>
      <c r="G749" s="45"/>
      <c r="H749"/>
      <c r="I749"/>
      <c r="J749"/>
    </row>
    <row r="750" spans="2:10" s="2" customFormat="1" ht="15.75" customHeight="1" x14ac:dyDescent="0.2">
      <c r="B750"/>
      <c r="C750" s="45"/>
      <c r="D750" s="45"/>
      <c r="E750" s="199"/>
      <c r="F750" s="45"/>
      <c r="G750" s="45"/>
      <c r="H750"/>
      <c r="I750"/>
      <c r="J750"/>
    </row>
    <row r="751" spans="2:10" s="2" customFormat="1" ht="15.75" customHeight="1" x14ac:dyDescent="0.2">
      <c r="B751"/>
      <c r="C751" s="45"/>
      <c r="D751" s="45"/>
      <c r="E751" s="199"/>
      <c r="F751" s="45"/>
      <c r="G751" s="45"/>
      <c r="H751"/>
      <c r="I751"/>
      <c r="J751"/>
    </row>
    <row r="752" spans="2:10" s="2" customFormat="1" ht="15.75" customHeight="1" x14ac:dyDescent="0.2">
      <c r="B752"/>
      <c r="C752" s="45"/>
      <c r="D752" s="45"/>
      <c r="E752" s="199"/>
      <c r="F752" s="45"/>
      <c r="G752" s="45"/>
      <c r="H752"/>
      <c r="I752"/>
      <c r="J752"/>
    </row>
    <row r="753" spans="2:10" s="2" customFormat="1" ht="15.75" customHeight="1" x14ac:dyDescent="0.2">
      <c r="B753"/>
      <c r="C753" s="45"/>
      <c r="D753" s="45"/>
      <c r="E753" s="199"/>
      <c r="F753" s="45"/>
      <c r="G753" s="45"/>
      <c r="H753"/>
      <c r="I753"/>
      <c r="J753"/>
    </row>
    <row r="754" spans="2:10" s="2" customFormat="1" ht="15.75" customHeight="1" x14ac:dyDescent="0.2">
      <c r="B754"/>
      <c r="C754" s="45"/>
      <c r="D754" s="45"/>
      <c r="E754" s="199"/>
      <c r="F754" s="45"/>
      <c r="G754" s="45"/>
      <c r="H754"/>
      <c r="I754"/>
      <c r="J754"/>
    </row>
    <row r="755" spans="2:10" s="2" customFormat="1" ht="15.75" customHeight="1" x14ac:dyDescent="0.2">
      <c r="B755"/>
      <c r="C755" s="45"/>
      <c r="D755" s="45"/>
      <c r="E755" s="199"/>
      <c r="F755" s="45"/>
      <c r="G755" s="45"/>
      <c r="H755"/>
      <c r="I755"/>
      <c r="J755"/>
    </row>
    <row r="756" spans="2:10" s="2" customFormat="1" ht="15.75" customHeight="1" x14ac:dyDescent="0.2">
      <c r="B756"/>
      <c r="C756" s="45"/>
      <c r="D756" s="45"/>
      <c r="E756" s="199"/>
      <c r="F756" s="45"/>
      <c r="G756" s="45"/>
      <c r="H756"/>
      <c r="I756"/>
      <c r="J756"/>
    </row>
    <row r="757" spans="2:10" s="2" customFormat="1" ht="15.75" customHeight="1" x14ac:dyDescent="0.2">
      <c r="B757"/>
      <c r="C757" s="45"/>
      <c r="D757" s="45"/>
      <c r="E757" s="199"/>
      <c r="F757" s="45"/>
      <c r="G757" s="45"/>
      <c r="H757"/>
      <c r="I757"/>
      <c r="J757"/>
    </row>
    <row r="758" spans="2:10" s="2" customFormat="1" ht="15.75" customHeight="1" x14ac:dyDescent="0.2">
      <c r="B758"/>
      <c r="C758" s="45"/>
      <c r="D758" s="45"/>
      <c r="E758" s="199"/>
      <c r="F758" s="45"/>
      <c r="G758" s="45"/>
      <c r="H758"/>
      <c r="I758"/>
      <c r="J758"/>
    </row>
    <row r="759" spans="2:10" s="2" customFormat="1" ht="15.75" customHeight="1" x14ac:dyDescent="0.2">
      <c r="B759"/>
      <c r="C759" s="45"/>
      <c r="D759" s="45"/>
      <c r="E759" s="199"/>
      <c r="F759" s="45"/>
      <c r="G759" s="45"/>
      <c r="H759"/>
      <c r="I759"/>
      <c r="J759"/>
    </row>
    <row r="760" spans="2:10" s="2" customFormat="1" ht="15.75" customHeight="1" x14ac:dyDescent="0.2">
      <c r="B760"/>
      <c r="C760" s="45"/>
      <c r="D760" s="45"/>
      <c r="E760" s="199"/>
      <c r="F760" s="45"/>
      <c r="G760" s="45"/>
      <c r="H760"/>
      <c r="I760"/>
      <c r="J760"/>
    </row>
    <row r="761" spans="2:10" s="2" customFormat="1" ht="15.75" customHeight="1" x14ac:dyDescent="0.2">
      <c r="B761"/>
      <c r="C761" s="45"/>
      <c r="D761" s="45"/>
      <c r="E761" s="199"/>
      <c r="F761" s="45"/>
      <c r="G761" s="45"/>
      <c r="H761"/>
      <c r="I761"/>
      <c r="J761"/>
    </row>
    <row r="762" spans="2:10" s="2" customFormat="1" ht="15.75" customHeight="1" x14ac:dyDescent="0.2">
      <c r="B762"/>
      <c r="C762" s="45"/>
      <c r="D762" s="45"/>
      <c r="E762" s="199"/>
      <c r="F762" s="45"/>
      <c r="G762" s="45"/>
      <c r="H762"/>
      <c r="I762"/>
      <c r="J762"/>
    </row>
    <row r="763" spans="2:10" s="2" customFormat="1" ht="15.75" customHeight="1" x14ac:dyDescent="0.2">
      <c r="B763"/>
      <c r="C763" s="45"/>
      <c r="D763" s="45"/>
      <c r="E763" s="199"/>
      <c r="F763" s="45"/>
      <c r="G763" s="45"/>
      <c r="H763"/>
      <c r="I763"/>
      <c r="J763"/>
    </row>
    <row r="764" spans="2:10" s="2" customFormat="1" ht="15.75" customHeight="1" x14ac:dyDescent="0.2">
      <c r="B764"/>
      <c r="C764" s="45"/>
      <c r="D764" s="45"/>
      <c r="E764" s="199"/>
      <c r="F764" s="45"/>
      <c r="G764" s="45"/>
      <c r="H764"/>
      <c r="I764"/>
      <c r="J764"/>
    </row>
    <row r="765" spans="2:10" s="2" customFormat="1" ht="15.75" customHeight="1" x14ac:dyDescent="0.2">
      <c r="B765"/>
      <c r="C765" s="45"/>
      <c r="D765" s="45"/>
      <c r="E765" s="199"/>
      <c r="F765" s="45"/>
      <c r="G765" s="45"/>
      <c r="H765"/>
      <c r="I765"/>
      <c r="J765"/>
    </row>
    <row r="766" spans="2:10" s="2" customFormat="1" ht="15.75" customHeight="1" x14ac:dyDescent="0.2">
      <c r="B766"/>
      <c r="C766" s="45"/>
      <c r="D766" s="45"/>
      <c r="E766" s="199"/>
      <c r="F766" s="45"/>
      <c r="G766" s="45"/>
      <c r="H766"/>
      <c r="I766"/>
      <c r="J766"/>
    </row>
    <row r="767" spans="2:10" s="2" customFormat="1" ht="15.75" customHeight="1" x14ac:dyDescent="0.2">
      <c r="B767"/>
      <c r="C767" s="45"/>
      <c r="D767" s="45"/>
      <c r="E767" s="199"/>
      <c r="F767" s="45"/>
      <c r="G767" s="45"/>
      <c r="H767"/>
      <c r="I767"/>
      <c r="J767"/>
    </row>
    <row r="768" spans="2:10" s="2" customFormat="1" ht="15.75" customHeight="1" x14ac:dyDescent="0.2">
      <c r="B768"/>
      <c r="C768" s="45"/>
      <c r="D768" s="45"/>
      <c r="E768" s="199"/>
      <c r="F768" s="45"/>
      <c r="G768" s="45"/>
      <c r="H768"/>
      <c r="I768"/>
      <c r="J768"/>
    </row>
    <row r="769" spans="2:10" s="2" customFormat="1" ht="15.75" customHeight="1" x14ac:dyDescent="0.2">
      <c r="B769"/>
      <c r="C769" s="45"/>
      <c r="D769" s="45"/>
      <c r="E769" s="199"/>
      <c r="F769" s="45"/>
      <c r="G769" s="45"/>
      <c r="H769"/>
      <c r="I769"/>
      <c r="J769"/>
    </row>
    <row r="770" spans="2:10" s="2" customFormat="1" ht="15.75" customHeight="1" x14ac:dyDescent="0.2">
      <c r="B770"/>
      <c r="C770" s="45"/>
      <c r="D770" s="45"/>
      <c r="E770" s="199"/>
      <c r="F770" s="45"/>
      <c r="G770" s="45"/>
      <c r="H770"/>
      <c r="I770"/>
      <c r="J770"/>
    </row>
    <row r="771" spans="2:10" s="2" customFormat="1" ht="15.75" customHeight="1" x14ac:dyDescent="0.2">
      <c r="B771"/>
      <c r="C771" s="45"/>
      <c r="D771" s="45"/>
      <c r="E771" s="199"/>
      <c r="F771" s="45"/>
      <c r="G771" s="45"/>
      <c r="H771"/>
      <c r="I771"/>
      <c r="J771"/>
    </row>
    <row r="772" spans="2:10" s="2" customFormat="1" ht="15.75" customHeight="1" x14ac:dyDescent="0.2">
      <c r="B772"/>
      <c r="C772" s="45"/>
      <c r="D772" s="45"/>
      <c r="E772" s="199"/>
      <c r="F772" s="45"/>
      <c r="G772" s="45"/>
      <c r="H772"/>
      <c r="I772"/>
      <c r="J772"/>
    </row>
    <row r="773" spans="2:10" s="2" customFormat="1" ht="15.75" customHeight="1" x14ac:dyDescent="0.2">
      <c r="B773"/>
      <c r="C773" s="45"/>
      <c r="D773" s="45"/>
      <c r="E773" s="199"/>
      <c r="F773" s="45"/>
      <c r="G773" s="45"/>
      <c r="H773"/>
      <c r="I773"/>
      <c r="J773"/>
    </row>
    <row r="774" spans="2:10" s="2" customFormat="1" ht="15.75" customHeight="1" x14ac:dyDescent="0.2">
      <c r="B774"/>
      <c r="C774" s="45"/>
      <c r="D774" s="45"/>
      <c r="E774" s="199"/>
      <c r="F774" s="45"/>
      <c r="G774" s="45"/>
      <c r="H774"/>
      <c r="I774"/>
      <c r="J774"/>
    </row>
    <row r="775" spans="2:10" s="2" customFormat="1" ht="15.75" customHeight="1" x14ac:dyDescent="0.2">
      <c r="B775"/>
      <c r="C775" s="45"/>
      <c r="D775" s="45"/>
      <c r="E775" s="199"/>
      <c r="F775" s="45"/>
      <c r="G775" s="45"/>
      <c r="H775"/>
      <c r="I775"/>
      <c r="J775"/>
    </row>
    <row r="776" spans="2:10" s="2" customFormat="1" ht="15.75" customHeight="1" x14ac:dyDescent="0.2">
      <c r="B776"/>
      <c r="C776" s="45"/>
      <c r="D776" s="45"/>
      <c r="E776" s="199"/>
      <c r="F776" s="45"/>
      <c r="G776" s="45"/>
      <c r="H776"/>
      <c r="I776"/>
      <c r="J776"/>
    </row>
    <row r="777" spans="2:10" s="2" customFormat="1" ht="15.75" customHeight="1" x14ac:dyDescent="0.2">
      <c r="B777"/>
      <c r="C777" s="45"/>
      <c r="D777" s="45"/>
      <c r="E777" s="199"/>
      <c r="F777" s="45"/>
      <c r="G777" s="45"/>
      <c r="H777"/>
      <c r="I777"/>
      <c r="J777"/>
    </row>
    <row r="778" spans="2:10" s="2" customFormat="1" ht="15.75" customHeight="1" x14ac:dyDescent="0.2">
      <c r="B778"/>
      <c r="C778" s="45"/>
      <c r="D778" s="45"/>
      <c r="E778" s="199"/>
      <c r="F778" s="45"/>
      <c r="G778" s="45"/>
      <c r="H778"/>
      <c r="I778"/>
      <c r="J778"/>
    </row>
    <row r="779" spans="2:10" s="2" customFormat="1" ht="15.75" customHeight="1" x14ac:dyDescent="0.2">
      <c r="B779"/>
      <c r="C779" s="45"/>
      <c r="D779" s="45"/>
      <c r="E779" s="199"/>
      <c r="F779" s="45"/>
      <c r="G779" s="45"/>
      <c r="H779"/>
      <c r="I779"/>
      <c r="J779"/>
    </row>
    <row r="780" spans="2:10" s="2" customFormat="1" ht="15.75" customHeight="1" x14ac:dyDescent="0.2">
      <c r="B780"/>
      <c r="C780" s="45"/>
      <c r="D780" s="45"/>
      <c r="E780" s="199"/>
      <c r="F780" s="45"/>
      <c r="G780" s="45"/>
      <c r="H780"/>
      <c r="I780"/>
      <c r="J780"/>
    </row>
    <row r="781" spans="2:10" s="2" customFormat="1" ht="15.75" customHeight="1" x14ac:dyDescent="0.2">
      <c r="B781"/>
      <c r="C781" s="45"/>
      <c r="D781" s="45"/>
      <c r="E781" s="199"/>
      <c r="F781" s="45"/>
      <c r="G781" s="45"/>
      <c r="H781"/>
      <c r="I781"/>
      <c r="J781"/>
    </row>
    <row r="782" spans="2:10" s="2" customFormat="1" ht="15.75" customHeight="1" x14ac:dyDescent="0.2">
      <c r="B782"/>
      <c r="C782" s="45"/>
      <c r="D782" s="45"/>
      <c r="E782" s="199"/>
      <c r="F782" s="45"/>
      <c r="G782" s="45"/>
      <c r="H782"/>
      <c r="I782"/>
      <c r="J782"/>
    </row>
    <row r="783" spans="2:10" s="2" customFormat="1" ht="15.75" customHeight="1" x14ac:dyDescent="0.2">
      <c r="B783"/>
      <c r="C783" s="45"/>
      <c r="D783" s="45"/>
      <c r="E783" s="199"/>
      <c r="F783" s="45"/>
      <c r="G783" s="45"/>
      <c r="H783"/>
      <c r="I783"/>
      <c r="J783"/>
    </row>
    <row r="784" spans="2:10" s="2" customFormat="1" ht="15.75" customHeight="1" x14ac:dyDescent="0.2">
      <c r="B784"/>
      <c r="C784" s="45"/>
      <c r="D784" s="45"/>
      <c r="E784" s="199"/>
      <c r="F784" s="45"/>
      <c r="G784" s="45"/>
      <c r="H784"/>
      <c r="I784"/>
      <c r="J784"/>
    </row>
    <row r="785" spans="2:10" s="2" customFormat="1" ht="15.75" customHeight="1" x14ac:dyDescent="0.2">
      <c r="B785"/>
      <c r="C785" s="45"/>
      <c r="D785" s="45"/>
      <c r="E785" s="199"/>
      <c r="F785" s="45"/>
      <c r="G785" s="45"/>
      <c r="H785"/>
      <c r="I785"/>
      <c r="J785"/>
    </row>
    <row r="786" spans="2:10" s="2" customFormat="1" ht="15.75" customHeight="1" x14ac:dyDescent="0.2">
      <c r="B786"/>
      <c r="C786" s="45"/>
      <c r="D786" s="45"/>
      <c r="E786" s="199"/>
      <c r="F786" s="45"/>
      <c r="G786" s="45"/>
      <c r="H786"/>
      <c r="I786"/>
      <c r="J786"/>
    </row>
    <row r="787" spans="2:10" s="2" customFormat="1" ht="15.75" customHeight="1" x14ac:dyDescent="0.2">
      <c r="B787"/>
      <c r="C787" s="45"/>
      <c r="D787" s="45"/>
      <c r="E787" s="199"/>
      <c r="F787" s="45"/>
      <c r="G787" s="45"/>
      <c r="H787"/>
      <c r="I787"/>
      <c r="J787"/>
    </row>
    <row r="788" spans="2:10" s="2" customFormat="1" ht="15.75" customHeight="1" x14ac:dyDescent="0.2">
      <c r="B788"/>
      <c r="C788" s="45"/>
      <c r="D788" s="45"/>
      <c r="E788" s="199"/>
      <c r="F788" s="45"/>
      <c r="G788" s="45"/>
      <c r="H788"/>
      <c r="I788"/>
      <c r="J788"/>
    </row>
    <row r="789" spans="2:10" s="2" customFormat="1" ht="15.75" customHeight="1" x14ac:dyDescent="0.2">
      <c r="B789"/>
      <c r="C789" s="45"/>
      <c r="D789" s="45"/>
      <c r="E789" s="199"/>
      <c r="F789" s="45"/>
      <c r="G789" s="45"/>
      <c r="H789"/>
      <c r="I789"/>
      <c r="J789"/>
    </row>
    <row r="790" spans="2:10" s="2" customFormat="1" ht="15.75" customHeight="1" x14ac:dyDescent="0.2">
      <c r="B790"/>
      <c r="C790" s="45"/>
      <c r="D790" s="45"/>
      <c r="E790" s="199"/>
      <c r="F790" s="45"/>
      <c r="G790" s="45"/>
      <c r="H790"/>
      <c r="I790"/>
      <c r="J790"/>
    </row>
    <row r="791" spans="2:10" s="2" customFormat="1" ht="15.75" customHeight="1" x14ac:dyDescent="0.2">
      <c r="B791"/>
      <c r="C791" s="45"/>
      <c r="D791" s="45"/>
      <c r="E791" s="199"/>
      <c r="F791" s="45"/>
      <c r="G791" s="45"/>
      <c r="H791"/>
      <c r="I791"/>
      <c r="J791"/>
    </row>
    <row r="792" spans="2:10" s="2" customFormat="1" ht="15.75" customHeight="1" x14ac:dyDescent="0.2">
      <c r="B792"/>
      <c r="C792" s="45"/>
      <c r="D792" s="45"/>
      <c r="E792" s="199"/>
      <c r="F792" s="45"/>
      <c r="G792" s="45"/>
      <c r="H792"/>
      <c r="I792"/>
      <c r="J792"/>
    </row>
    <row r="793" spans="2:10" s="2" customFormat="1" ht="15.75" customHeight="1" x14ac:dyDescent="0.2">
      <c r="B793"/>
      <c r="C793" s="45"/>
      <c r="D793" s="45"/>
      <c r="E793" s="199"/>
      <c r="F793" s="45"/>
      <c r="G793" s="45"/>
      <c r="H793"/>
      <c r="I793"/>
      <c r="J793"/>
    </row>
  </sheetData>
  <mergeCells count="2">
    <mergeCell ref="A3:G3"/>
    <mergeCell ref="A4:G4"/>
  </mergeCells>
  <phoneticPr fontId="11" type="noConversion"/>
  <pageMargins left="0.78740157480314965" right="0.15748031496062992" top="0.55118110236220474" bottom="0.15748031496062992" header="0.15748031496062992" footer="0.15748031496062992"/>
  <pageSetup paperSize="9" scale="75" orientation="portrait" r:id="rId1"/>
  <headerFooter alignWithMargins="0"/>
  <rowBreaks count="2" manualBreakCount="2">
    <brk id="79" max="6" man="1"/>
    <brk id="10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721"/>
  <sheetViews>
    <sheetView zoomScaleNormal="100" zoomScaleSheetLayoutView="80" workbookViewId="0">
      <selection activeCell="D12" sqref="D12"/>
    </sheetView>
  </sheetViews>
  <sheetFormatPr defaultRowHeight="12.75" x14ac:dyDescent="0.2"/>
  <cols>
    <col min="1" max="1" width="6.28515625" style="2" customWidth="1"/>
    <col min="2" max="2" width="79.7109375" customWidth="1"/>
    <col min="3" max="4" width="19.42578125" style="239" customWidth="1"/>
    <col min="5" max="7" width="14.28515625" style="239" hidden="1" customWidth="1"/>
    <col min="8" max="8" width="9.85546875" style="239" customWidth="1"/>
    <col min="9" max="9" width="10.5703125" customWidth="1"/>
    <col min="10" max="22" width="9.140625" customWidth="1"/>
    <col min="23" max="23" width="6.5703125" bestFit="1" customWidth="1"/>
  </cols>
  <sheetData>
    <row r="1" spans="1:42" ht="15" customHeight="1" x14ac:dyDescent="0.3">
      <c r="A1" s="65"/>
      <c r="B1" s="42"/>
      <c r="D1" s="214" t="s">
        <v>997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3">
      <c r="A2" s="65"/>
      <c r="B2" s="42"/>
      <c r="D2" s="21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9.5" x14ac:dyDescent="0.35">
      <c r="A3" s="928" t="s">
        <v>27</v>
      </c>
      <c r="B3" s="928"/>
      <c r="C3" s="928"/>
      <c r="D3" s="928"/>
      <c r="E3" s="91"/>
      <c r="F3" s="91"/>
      <c r="G3" s="91"/>
      <c r="H3" s="68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928" t="s">
        <v>1060</v>
      </c>
      <c r="B4" s="928"/>
      <c r="C4" s="928"/>
      <c r="D4" s="928"/>
      <c r="E4" s="91"/>
      <c r="F4" s="91"/>
      <c r="G4" s="91"/>
      <c r="H4" s="68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3.5" thickBot="1" x14ac:dyDescent="0.25">
      <c r="A5" s="65"/>
      <c r="B5" s="1"/>
      <c r="D5" s="66" t="s"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54.75" customHeight="1" thickBot="1" x14ac:dyDescent="0.25">
      <c r="A6" s="270" t="s">
        <v>124</v>
      </c>
      <c r="B6" s="54" t="s">
        <v>215</v>
      </c>
      <c r="C6" s="54" t="str">
        <f>'1.Bev-kiad.'!C6</f>
        <v>2021. évi eredeti előirányzat</v>
      </c>
      <c r="D6" s="54" t="str">
        <f>'1.Bev-kiad.'!D6</f>
        <v>Módosított előirányzat 2021.07. havi</v>
      </c>
      <c r="E6" s="54" t="str">
        <f>'1.Bev-kiad.'!E6</f>
        <v xml:space="preserve">Módosított előirányzat </v>
      </c>
      <c r="F6" s="54" t="str">
        <f>'1.Bev-kiad.'!F6</f>
        <v xml:space="preserve">Módosított előirányzat </v>
      </c>
      <c r="G6" s="55" t="str">
        <f>'1.Bev-kiad.'!G6</f>
        <v>Teljesítés 2021.12.31.</v>
      </c>
      <c r="H6" s="6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20.25" customHeight="1" x14ac:dyDescent="0.2">
      <c r="A7" s="170" t="s">
        <v>125</v>
      </c>
      <c r="B7" s="280" t="s">
        <v>360</v>
      </c>
      <c r="C7" s="205">
        <f>SUM(C12+C18+C24)</f>
        <v>73834</v>
      </c>
      <c r="D7" s="205">
        <f>SUM(D12+D18+D24)</f>
        <v>194538</v>
      </c>
      <c r="E7" s="205">
        <f>SUM(E12+E18+E24)</f>
        <v>351343</v>
      </c>
      <c r="F7" s="205">
        <f>SUM(F12+F18+F24)</f>
        <v>351343</v>
      </c>
      <c r="G7" s="205">
        <f>SUM(G12+G18+G24)</f>
        <v>351343</v>
      </c>
      <c r="H7" s="68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2.75" hidden="1" customHeight="1" x14ac:dyDescent="0.2">
      <c r="A8" s="9" t="s">
        <v>128</v>
      </c>
      <c r="B8" s="9" t="s">
        <v>132</v>
      </c>
      <c r="C8" s="7"/>
      <c r="D8" s="7"/>
      <c r="E8" s="7"/>
      <c r="F8" s="7"/>
      <c r="G8" s="7"/>
      <c r="H8" s="68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9" t="s">
        <v>129</v>
      </c>
      <c r="B9" s="9" t="s">
        <v>133</v>
      </c>
      <c r="C9" s="234"/>
      <c r="D9" s="234"/>
      <c r="E9" s="234"/>
      <c r="F9" s="234"/>
      <c r="G9" s="234"/>
      <c r="H9" s="69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9" t="s">
        <v>130</v>
      </c>
      <c r="B10" s="9" t="s">
        <v>134</v>
      </c>
      <c r="C10" s="234"/>
      <c r="D10" s="234"/>
      <c r="E10" s="234"/>
      <c r="F10" s="234"/>
      <c r="G10" s="234"/>
      <c r="H10" s="69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2.75" hidden="1" customHeight="1" x14ac:dyDescent="0.2">
      <c r="A11" s="9" t="s">
        <v>131</v>
      </c>
      <c r="B11" s="9" t="s">
        <v>136</v>
      </c>
      <c r="C11" s="234"/>
      <c r="D11" s="234"/>
      <c r="E11" s="234"/>
      <c r="F11" s="234"/>
      <c r="G11" s="234"/>
      <c r="H11" s="69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8" customHeight="1" x14ac:dyDescent="0.25">
      <c r="A12" s="18" t="s">
        <v>137</v>
      </c>
      <c r="B12" s="30" t="s">
        <v>256</v>
      </c>
      <c r="C12" s="46">
        <f>C13+C16</f>
        <v>23534</v>
      </c>
      <c r="D12" s="46">
        <f>D13+D16</f>
        <v>144238</v>
      </c>
      <c r="E12" s="46">
        <f>E13+E16</f>
        <v>322402</v>
      </c>
      <c r="F12" s="46">
        <f>F13+F16</f>
        <v>322402</v>
      </c>
      <c r="G12" s="46">
        <f>G13+G16</f>
        <v>322402</v>
      </c>
      <c r="H12" s="69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3.5" customHeight="1" x14ac:dyDescent="0.2">
      <c r="A13" s="9"/>
      <c r="B13" s="9" t="s">
        <v>341</v>
      </c>
      <c r="C13" s="234">
        <f>SUM(C14:C15)</f>
        <v>23534</v>
      </c>
      <c r="D13" s="234">
        <f>SUM(D14:D15)</f>
        <v>23534</v>
      </c>
      <c r="E13" s="234">
        <f>SUM(E14:E15)</f>
        <v>101353</v>
      </c>
      <c r="F13" s="234">
        <f>SUM(F14:F15)</f>
        <v>101353</v>
      </c>
      <c r="G13" s="234">
        <f>SUM(G14:G15)</f>
        <v>101353</v>
      </c>
      <c r="H13" s="690"/>
      <c r="I13" s="2"/>
      <c r="P13" s="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">
      <c r="A14" s="9"/>
      <c r="B14" s="25" t="s">
        <v>1150</v>
      </c>
      <c r="C14" s="16">
        <v>13204</v>
      </c>
      <c r="D14" s="16">
        <v>13204</v>
      </c>
      <c r="E14" s="16">
        <v>64650</v>
      </c>
      <c r="F14" s="16">
        <v>64650</v>
      </c>
      <c r="G14" s="16">
        <v>64650</v>
      </c>
      <c r="H14" s="692"/>
      <c r="I14" s="2"/>
      <c r="J14" s="2"/>
      <c r="K14" s="613"/>
      <c r="L14" s="393"/>
      <c r="M14" s="614"/>
      <c r="N14" s="393"/>
      <c r="O14" s="39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">
      <c r="A15" s="9"/>
      <c r="B15" s="25" t="s">
        <v>1193</v>
      </c>
      <c r="C15" s="16">
        <v>10330</v>
      </c>
      <c r="D15" s="16">
        <v>10330</v>
      </c>
      <c r="E15" s="16">
        <v>36703</v>
      </c>
      <c r="F15" s="16">
        <v>36703</v>
      </c>
      <c r="G15" s="16">
        <v>36703</v>
      </c>
      <c r="H15" s="692"/>
      <c r="I15" s="2"/>
      <c r="J15" s="2"/>
      <c r="K15" s="613"/>
      <c r="L15" s="615"/>
      <c r="M15" s="614"/>
      <c r="N15" s="615"/>
      <c r="O15" s="6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2">
      <c r="A16" s="9"/>
      <c r="B16" s="25" t="s">
        <v>342</v>
      </c>
      <c r="C16" s="173">
        <f>SUM(C17:C17)</f>
        <v>0</v>
      </c>
      <c r="D16" s="173">
        <f>SUM(D17:D17)</f>
        <v>120704</v>
      </c>
      <c r="E16" s="173">
        <f>SUM(E17:E17)</f>
        <v>221049</v>
      </c>
      <c r="F16" s="173">
        <f>SUM(F17:F17)</f>
        <v>221049</v>
      </c>
      <c r="G16" s="173">
        <f>SUM(G17:G17)</f>
        <v>221049</v>
      </c>
      <c r="H16" s="820"/>
      <c r="I16" s="2"/>
      <c r="J16" s="2"/>
      <c r="K16" s="613"/>
      <c r="L16" s="8"/>
      <c r="M16" s="8"/>
      <c r="N16" s="8"/>
      <c r="O16" s="61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2">
      <c r="A17" s="9"/>
      <c r="B17" s="137" t="s">
        <v>1151</v>
      </c>
      <c r="C17" s="16">
        <v>0</v>
      </c>
      <c r="D17" s="16">
        <v>120704</v>
      </c>
      <c r="E17" s="16">
        <v>221049</v>
      </c>
      <c r="F17" s="16">
        <v>221049</v>
      </c>
      <c r="G17" s="16">
        <v>221049</v>
      </c>
      <c r="H17" s="822"/>
      <c r="I17" s="2"/>
      <c r="J17" s="2"/>
      <c r="K17" s="613"/>
      <c r="L17" s="8"/>
      <c r="M17" s="8"/>
      <c r="N17" s="8"/>
      <c r="O17" s="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7.25" customHeight="1" x14ac:dyDescent="0.25">
      <c r="A18" s="18" t="s">
        <v>184</v>
      </c>
      <c r="B18" s="30" t="s">
        <v>257</v>
      </c>
      <c r="C18" s="235">
        <f>SUM(C19:C23)</f>
        <v>40000</v>
      </c>
      <c r="D18" s="235">
        <f>SUM(D19:D23)</f>
        <v>40000</v>
      </c>
      <c r="E18" s="46">
        <f>SUM(E19:E23)</f>
        <v>18641</v>
      </c>
      <c r="F18" s="46">
        <f>SUM(F19:F23)</f>
        <v>18641</v>
      </c>
      <c r="G18" s="46">
        <f>SUM(G19:G23)</f>
        <v>18641</v>
      </c>
      <c r="H18" s="821"/>
      <c r="I18" s="2"/>
      <c r="J18" s="2"/>
      <c r="K18" s="613"/>
      <c r="L18" s="8"/>
      <c r="M18" s="8"/>
      <c r="N18" s="8"/>
      <c r="O18" s="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3.5" customHeight="1" x14ac:dyDescent="0.2">
      <c r="A19" s="9" t="s">
        <v>185</v>
      </c>
      <c r="B19" s="26" t="s">
        <v>426</v>
      </c>
      <c r="C19" s="173"/>
      <c r="D19" s="173"/>
      <c r="E19" s="234"/>
      <c r="F19" s="234"/>
      <c r="G19" s="234"/>
      <c r="H19" s="69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3.5" customHeight="1" x14ac:dyDescent="0.2">
      <c r="A20" s="9" t="s">
        <v>186</v>
      </c>
      <c r="B20" s="26" t="s">
        <v>991</v>
      </c>
      <c r="C20" s="16">
        <v>40000</v>
      </c>
      <c r="D20" s="16">
        <v>40000</v>
      </c>
      <c r="E20" s="16">
        <f>(17600+1041)</f>
        <v>18641</v>
      </c>
      <c r="F20" s="16">
        <f>(17600+1041)</f>
        <v>18641</v>
      </c>
      <c r="G20" s="16">
        <f>(17600+1041)</f>
        <v>18641</v>
      </c>
      <c r="H20" s="693"/>
      <c r="I20" s="3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3.5" customHeight="1" x14ac:dyDescent="0.2">
      <c r="A21" s="9" t="s">
        <v>187</v>
      </c>
      <c r="B21" s="26" t="s">
        <v>480</v>
      </c>
      <c r="C21" s="173"/>
      <c r="D21" s="173"/>
      <c r="E21" s="234"/>
      <c r="F21" s="234"/>
      <c r="G21" s="234"/>
      <c r="H21" s="690"/>
      <c r="I21" s="3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3.5" customHeight="1" x14ac:dyDescent="0.2">
      <c r="A22" s="9" t="s">
        <v>188</v>
      </c>
      <c r="B22" s="26" t="s">
        <v>258</v>
      </c>
      <c r="C22" s="173"/>
      <c r="D22" s="173"/>
      <c r="E22" s="234"/>
      <c r="F22" s="234"/>
      <c r="G22" s="234"/>
      <c r="H22" s="69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.5" customHeight="1" x14ac:dyDescent="0.2">
      <c r="A23" s="9" t="s">
        <v>189</v>
      </c>
      <c r="B23" s="26" t="s">
        <v>259</v>
      </c>
      <c r="C23" s="173"/>
      <c r="D23" s="173"/>
      <c r="E23" s="234"/>
      <c r="F23" s="234"/>
      <c r="G23" s="234"/>
      <c r="H23" s="69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8" customHeight="1" x14ac:dyDescent="0.25">
      <c r="A24" s="18" t="s">
        <v>196</v>
      </c>
      <c r="B24" s="30" t="s">
        <v>411</v>
      </c>
      <c r="C24" s="235">
        <f>C26</f>
        <v>10300</v>
      </c>
      <c r="D24" s="235">
        <f>D26</f>
        <v>10300</v>
      </c>
      <c r="E24" s="46">
        <f>E26</f>
        <v>10300</v>
      </c>
      <c r="F24" s="46">
        <f>F26</f>
        <v>10300</v>
      </c>
      <c r="G24" s="46">
        <f>G26</f>
        <v>10300</v>
      </c>
      <c r="H24" s="69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3.5" hidden="1" customHeight="1" x14ac:dyDescent="0.2">
      <c r="A25" s="9" t="s">
        <v>196</v>
      </c>
      <c r="B25" s="26" t="s">
        <v>417</v>
      </c>
      <c r="C25" s="230"/>
      <c r="D25" s="230"/>
      <c r="E25" s="58"/>
      <c r="F25" s="58"/>
      <c r="G25" s="58"/>
      <c r="H25" s="69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3.5" customHeight="1" x14ac:dyDescent="0.2">
      <c r="A26" s="9" t="s">
        <v>522</v>
      </c>
      <c r="B26" s="26" t="s">
        <v>906</v>
      </c>
      <c r="C26" s="288">
        <v>10300</v>
      </c>
      <c r="D26" s="288">
        <v>10300</v>
      </c>
      <c r="E26" s="196">
        <v>10300</v>
      </c>
      <c r="F26" s="196">
        <v>10300</v>
      </c>
      <c r="G26" s="196">
        <v>10300</v>
      </c>
      <c r="H26" s="69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hidden="1" customHeight="1" x14ac:dyDescent="0.2">
      <c r="A27" s="9"/>
      <c r="B27" s="26"/>
      <c r="C27" s="288"/>
      <c r="D27" s="288"/>
      <c r="E27" s="196"/>
      <c r="F27" s="196"/>
      <c r="G27" s="196"/>
      <c r="H27" s="69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0.25" customHeight="1" x14ac:dyDescent="0.25">
      <c r="A28" s="9"/>
      <c r="B28" s="204" t="s">
        <v>361</v>
      </c>
      <c r="C28" s="248">
        <f>SUM(C29+C33)</f>
        <v>729865</v>
      </c>
      <c r="D28" s="248">
        <f>SUM(D29+D33)</f>
        <v>729865</v>
      </c>
      <c r="E28" s="186">
        <f>SUM(E29+E33)</f>
        <v>673890</v>
      </c>
      <c r="F28" s="186">
        <f>SUM(F29+F33)</f>
        <v>673890</v>
      </c>
      <c r="G28" s="186">
        <f>SUM(G29+G33)</f>
        <v>673890</v>
      </c>
      <c r="H28" s="69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6.5" customHeight="1" x14ac:dyDescent="0.25">
      <c r="A29" s="9"/>
      <c r="B29" s="23" t="s">
        <v>261</v>
      </c>
      <c r="C29" s="236">
        <f>C30</f>
        <v>729865</v>
      </c>
      <c r="D29" s="236">
        <f>D30</f>
        <v>729865</v>
      </c>
      <c r="E29" s="236">
        <f>E30</f>
        <v>673890</v>
      </c>
      <c r="F29" s="236">
        <f>F30</f>
        <v>673890</v>
      </c>
      <c r="G29" s="236">
        <f>G30</f>
        <v>673890</v>
      </c>
      <c r="H29" s="811"/>
      <c r="I29" s="8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 x14ac:dyDescent="0.2">
      <c r="A30" s="9"/>
      <c r="B30" s="39" t="s">
        <v>451</v>
      </c>
      <c r="C30" s="88">
        <v>729865</v>
      </c>
      <c r="D30" s="88">
        <v>729865</v>
      </c>
      <c r="E30" s="234">
        <v>673890</v>
      </c>
      <c r="F30" s="234">
        <v>673890</v>
      </c>
      <c r="G30" s="234">
        <v>673890</v>
      </c>
      <c r="H30" s="813"/>
      <c r="I30" s="193"/>
      <c r="J30" s="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idden="1" x14ac:dyDescent="0.2">
      <c r="A31" s="9"/>
      <c r="B31" s="39" t="s">
        <v>916</v>
      </c>
      <c r="C31" s="16">
        <f>(632574-19378-10058-5652)</f>
        <v>597486</v>
      </c>
      <c r="D31" s="16">
        <f>(632574-19378-10058-5652)</f>
        <v>597486</v>
      </c>
      <c r="E31" s="234"/>
      <c r="F31" s="234"/>
      <c r="G31" s="234"/>
      <c r="H31" s="813"/>
      <c r="I31" s="193"/>
      <c r="J31" s="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idden="1" x14ac:dyDescent="0.2">
      <c r="A32" s="9"/>
      <c r="B32" s="39" t="s">
        <v>917</v>
      </c>
      <c r="C32" s="16">
        <f>(226930-68956-3881-1049-246-686)</f>
        <v>152112</v>
      </c>
      <c r="D32" s="16">
        <f>(226930-68956-3881-1049-246-686)</f>
        <v>152112</v>
      </c>
      <c r="E32" s="234"/>
      <c r="F32" s="234"/>
      <c r="G32" s="234"/>
      <c r="H32" s="813"/>
      <c r="I32" s="193"/>
      <c r="J32" s="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6.5" customHeight="1" x14ac:dyDescent="0.25">
      <c r="A33" s="9"/>
      <c r="B33" s="228" t="s">
        <v>262</v>
      </c>
      <c r="C33" s="235">
        <f>SUM(C34:C34)</f>
        <v>0</v>
      </c>
      <c r="D33" s="235">
        <f>SUM(D34:D34)</f>
        <v>0</v>
      </c>
      <c r="E33" s="235">
        <f>SUM(E34:E34)</f>
        <v>0</v>
      </c>
      <c r="F33" s="235">
        <f>SUM(F34:F34)</f>
        <v>0</v>
      </c>
      <c r="G33" s="235">
        <f>SUM(G34:G34)</f>
        <v>0</v>
      </c>
      <c r="H33" s="813"/>
      <c r="I33" s="193"/>
      <c r="J33" s="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3.5" customHeight="1" thickBot="1" x14ac:dyDescent="0.25">
      <c r="A34" s="14"/>
      <c r="B34" s="25"/>
      <c r="C34" s="173"/>
      <c r="D34" s="173"/>
      <c r="E34" s="173"/>
      <c r="F34" s="173"/>
      <c r="G34" s="173"/>
      <c r="H34" s="813"/>
      <c r="I34" s="193"/>
      <c r="J34" s="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20.25" thickBot="1" x14ac:dyDescent="0.4">
      <c r="A35" s="270"/>
      <c r="B35" s="269" t="s">
        <v>398</v>
      </c>
      <c r="C35" s="281">
        <f>SUM(C7+C28)</f>
        <v>803699</v>
      </c>
      <c r="D35" s="281">
        <f>SUM(D7+D28)</f>
        <v>924403</v>
      </c>
      <c r="E35" s="281">
        <f>SUM(E7+E28)</f>
        <v>1025233</v>
      </c>
      <c r="F35" s="281">
        <f>SUM(F7+F28)</f>
        <v>1025233</v>
      </c>
      <c r="G35" s="281">
        <f>SUM(G7+G28)</f>
        <v>1025233</v>
      </c>
      <c r="H35" s="813"/>
      <c r="I35" s="193"/>
      <c r="J35" s="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21.75" customHeight="1" x14ac:dyDescent="0.25">
      <c r="A36" s="170" t="s">
        <v>374</v>
      </c>
      <c r="B36" s="279" t="s">
        <v>362</v>
      </c>
      <c r="C36" s="237">
        <f>SUM(C37+C59+C73)</f>
        <v>863038</v>
      </c>
      <c r="D36" s="237">
        <f>SUM(D37+D59+D73)</f>
        <v>983742</v>
      </c>
      <c r="E36" s="237">
        <f>SUM(E37+E59+E73)</f>
        <v>824680</v>
      </c>
      <c r="F36" s="237">
        <f>SUM(F37+F59+F73)</f>
        <v>824680</v>
      </c>
      <c r="G36" s="237">
        <f>SUM(G37+G59+G73)</f>
        <v>824680</v>
      </c>
      <c r="H36" s="813"/>
      <c r="I36" s="193"/>
      <c r="J36" s="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5.75" x14ac:dyDescent="0.25">
      <c r="A37" s="18" t="s">
        <v>260</v>
      </c>
      <c r="B37" s="711" t="s">
        <v>5</v>
      </c>
      <c r="C37" s="712">
        <f>SUM(C38+C56)</f>
        <v>221251</v>
      </c>
      <c r="D37" s="712">
        <f>SUM(D38+D56)</f>
        <v>195969</v>
      </c>
      <c r="E37" s="712">
        <f>SUM(E38+E56)</f>
        <v>33766</v>
      </c>
      <c r="F37" s="712">
        <f>SUM(F38+F56)</f>
        <v>33766</v>
      </c>
      <c r="G37" s="712">
        <f>SUM(G38+G56)</f>
        <v>33766</v>
      </c>
      <c r="H37" s="813"/>
      <c r="I37" s="193"/>
      <c r="J37" s="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8" customHeight="1" x14ac:dyDescent="0.2">
      <c r="A38" s="18"/>
      <c r="B38" s="31" t="s">
        <v>363</v>
      </c>
      <c r="C38" s="171">
        <f>SUM(C39+C43+C55)</f>
        <v>220251</v>
      </c>
      <c r="D38" s="171">
        <f>SUM(D39+D43+D55)</f>
        <v>194969</v>
      </c>
      <c r="E38" s="171">
        <f>SUM(E39+E43+E55)</f>
        <v>32766</v>
      </c>
      <c r="F38" s="171">
        <f>SUM(F39+F43+F55)</f>
        <v>32766</v>
      </c>
      <c r="G38" s="171">
        <f>SUM(G39+G43+G55)</f>
        <v>32766</v>
      </c>
      <c r="H38" s="698"/>
      <c r="I38" s="814"/>
      <c r="J38" s="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4.25" x14ac:dyDescent="0.2">
      <c r="A39" s="18"/>
      <c r="B39" s="31" t="s">
        <v>367</v>
      </c>
      <c r="C39" s="171">
        <f>SUM(C40:C42)</f>
        <v>164407</v>
      </c>
      <c r="D39" s="171">
        <f>SUM(D40:D42)</f>
        <v>164407</v>
      </c>
      <c r="E39" s="171">
        <f>SUM(E40:E42)</f>
        <v>0</v>
      </c>
      <c r="F39" s="171">
        <f>SUM(F40:F42)</f>
        <v>0</v>
      </c>
      <c r="G39" s="171">
        <f>SUM(G40:G42)</f>
        <v>0</v>
      </c>
      <c r="H39" s="698"/>
      <c r="I39" s="8"/>
      <c r="J39" s="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">
      <c r="A40" s="18"/>
      <c r="B40" s="25" t="s">
        <v>1167</v>
      </c>
      <c r="C40" s="173">
        <v>145357</v>
      </c>
      <c r="D40" s="173">
        <v>145357</v>
      </c>
      <c r="E40" s="173">
        <f>(184603)-184603</f>
        <v>0</v>
      </c>
      <c r="F40" s="173">
        <f>(184603)-184603</f>
        <v>0</v>
      </c>
      <c r="G40" s="173">
        <f>(184603)-184603</f>
        <v>0</v>
      </c>
      <c r="H40" s="692"/>
      <c r="I40" s="8"/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">
      <c r="A41" s="18"/>
      <c r="B41" s="25" t="s">
        <v>1051</v>
      </c>
      <c r="C41" s="173">
        <v>19050</v>
      </c>
      <c r="D41" s="173">
        <v>19050</v>
      </c>
      <c r="E41" s="173"/>
      <c r="F41" s="173"/>
      <c r="G41" s="173"/>
      <c r="H41" s="69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">
      <c r="A42" s="18"/>
      <c r="B42" s="25"/>
      <c r="C42" s="173"/>
      <c r="D42" s="173"/>
      <c r="E42" s="173">
        <f>19050-19050</f>
        <v>0</v>
      </c>
      <c r="F42" s="173">
        <f>19050-19050</f>
        <v>0</v>
      </c>
      <c r="G42" s="173">
        <f>19050-19050</f>
        <v>0</v>
      </c>
      <c r="H42" s="69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">
      <c r="A43" s="18"/>
      <c r="B43" s="29" t="s">
        <v>366</v>
      </c>
      <c r="C43" s="15">
        <f>SUM(C44:C54)</f>
        <v>55844</v>
      </c>
      <c r="D43" s="15">
        <f>SUM(D44:D54)</f>
        <v>30562</v>
      </c>
      <c r="E43" s="15">
        <f>SUM(E44:E54)</f>
        <v>32766</v>
      </c>
      <c r="F43" s="15">
        <f>SUM(F44:F54)</f>
        <v>32766</v>
      </c>
      <c r="G43" s="15">
        <f>SUM(G44:G54)</f>
        <v>32766</v>
      </c>
      <c r="H43" s="69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">
      <c r="A44" s="18"/>
      <c r="B44" s="25" t="s">
        <v>1149</v>
      </c>
      <c r="C44" s="16">
        <f>(26408+1388)</f>
        <v>27796</v>
      </c>
      <c r="D44" s="16">
        <f>(26408+1388)-27796</f>
        <v>0</v>
      </c>
      <c r="E44" s="16">
        <f>16005-16005</f>
        <v>0</v>
      </c>
      <c r="F44" s="16">
        <f>16005-16005</f>
        <v>0</v>
      </c>
      <c r="G44" s="16">
        <f>16005-16005</f>
        <v>0</v>
      </c>
      <c r="H44" s="69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">
      <c r="A45" s="18"/>
      <c r="B45" s="25" t="s">
        <v>957</v>
      </c>
      <c r="C45" s="16">
        <v>10000</v>
      </c>
      <c r="D45" s="16">
        <v>10000</v>
      </c>
      <c r="E45" s="16">
        <v>0</v>
      </c>
      <c r="F45" s="16">
        <v>0</v>
      </c>
      <c r="G45" s="16">
        <v>0</v>
      </c>
      <c r="H45" s="692"/>
      <c r="I45" s="646"/>
      <c r="J45" s="2"/>
      <c r="K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">
      <c r="A46" s="18"/>
      <c r="B46" s="25" t="s">
        <v>963</v>
      </c>
      <c r="C46" s="16">
        <v>9906</v>
      </c>
      <c r="D46" s="16">
        <v>9906</v>
      </c>
      <c r="E46" s="16">
        <v>9906</v>
      </c>
      <c r="F46" s="16">
        <v>9906</v>
      </c>
      <c r="G46" s="16">
        <v>9906</v>
      </c>
      <c r="H46" s="692"/>
      <c r="I46" s="8"/>
      <c r="J46" s="2"/>
      <c r="K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">
      <c r="A47" s="18"/>
      <c r="B47" s="25" t="s">
        <v>1162</v>
      </c>
      <c r="C47" s="16">
        <v>1195</v>
      </c>
      <c r="D47" s="16">
        <v>1195</v>
      </c>
      <c r="E47" s="16">
        <v>12700</v>
      </c>
      <c r="F47" s="16">
        <v>12700</v>
      </c>
      <c r="G47" s="16">
        <v>12700</v>
      </c>
      <c r="H47" s="692"/>
      <c r="I47" s="8"/>
      <c r="J47" s="2"/>
      <c r="K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">
      <c r="A48" s="18"/>
      <c r="B48" s="25" t="s">
        <v>1163</v>
      </c>
      <c r="C48" s="16">
        <v>4470</v>
      </c>
      <c r="D48" s="16">
        <v>4470</v>
      </c>
      <c r="E48" s="16">
        <v>10160</v>
      </c>
      <c r="F48" s="16">
        <v>10160</v>
      </c>
      <c r="G48" s="16">
        <v>10160</v>
      </c>
      <c r="H48" s="692"/>
      <c r="I48" s="8"/>
      <c r="J48" s="2"/>
      <c r="K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">
      <c r="A49" s="18"/>
      <c r="B49" s="25" t="s">
        <v>1194</v>
      </c>
      <c r="C49" s="16">
        <v>2477</v>
      </c>
      <c r="D49" s="16">
        <v>2477</v>
      </c>
      <c r="E49" s="16"/>
      <c r="F49" s="16"/>
      <c r="G49" s="16"/>
      <c r="H49" s="692"/>
      <c r="I49" s="8"/>
      <c r="J49" s="2"/>
      <c r="K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">
      <c r="A50" s="18"/>
      <c r="B50" s="25" t="s">
        <v>1262</v>
      </c>
      <c r="C50" s="16">
        <v>0</v>
      </c>
      <c r="D50" s="16">
        <v>1</v>
      </c>
      <c r="E50" s="16"/>
      <c r="F50" s="16"/>
      <c r="G50" s="16"/>
      <c r="H50" s="692"/>
      <c r="I50" s="8"/>
      <c r="J50" s="2"/>
      <c r="K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">
      <c r="A51" s="18"/>
      <c r="B51" s="25" t="s">
        <v>1302</v>
      </c>
      <c r="C51" s="16">
        <v>0</v>
      </c>
      <c r="D51" s="16">
        <v>408</v>
      </c>
      <c r="E51" s="16"/>
      <c r="F51" s="16"/>
      <c r="G51" s="16"/>
      <c r="H51" s="692"/>
      <c r="I51" s="8"/>
      <c r="J51" s="2"/>
      <c r="K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">
      <c r="A52" s="18"/>
      <c r="B52" s="25" t="s">
        <v>1303</v>
      </c>
      <c r="C52" s="16">
        <v>0</v>
      </c>
      <c r="D52" s="16">
        <v>1455</v>
      </c>
      <c r="E52" s="16"/>
      <c r="F52" s="16"/>
      <c r="G52" s="16"/>
      <c r="H52" s="692"/>
      <c r="I52" s="8"/>
      <c r="J52" s="2"/>
      <c r="K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">
      <c r="A53" s="18"/>
      <c r="B53" s="25" t="s">
        <v>1304</v>
      </c>
      <c r="C53" s="16">
        <v>0</v>
      </c>
      <c r="D53" s="16">
        <v>650</v>
      </c>
      <c r="E53" s="16"/>
      <c r="F53" s="16"/>
      <c r="G53" s="16"/>
      <c r="H53" s="692"/>
      <c r="I53" s="8"/>
      <c r="J53" s="2"/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">
      <c r="A54" s="18"/>
      <c r="B54" s="25"/>
      <c r="C54" s="16"/>
      <c r="D54" s="16"/>
      <c r="E54" s="16"/>
      <c r="F54" s="16"/>
      <c r="G54" s="16"/>
      <c r="H54" s="692"/>
      <c r="I54" s="8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">
      <c r="A55" s="18"/>
      <c r="B55" s="29" t="s">
        <v>937</v>
      </c>
      <c r="C55" s="15"/>
      <c r="D55" s="15"/>
      <c r="E55" s="15"/>
      <c r="F55" s="15"/>
      <c r="G55" s="15"/>
      <c r="H55" s="692"/>
      <c r="I55" s="2"/>
      <c r="J55" s="2"/>
      <c r="K55" s="2"/>
      <c r="L55" s="2"/>
      <c r="M55" s="2"/>
      <c r="N55" s="2"/>
      <c r="O55" s="2"/>
      <c r="P55" s="8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3.5" customHeight="1" x14ac:dyDescent="0.2">
      <c r="A56" s="18"/>
      <c r="B56" s="29" t="s">
        <v>406</v>
      </c>
      <c r="C56" s="15">
        <f>SUM(C57)</f>
        <v>1000</v>
      </c>
      <c r="D56" s="15">
        <f>SUM(D57)</f>
        <v>1000</v>
      </c>
      <c r="E56" s="15">
        <f>SUM(E57)</f>
        <v>1000</v>
      </c>
      <c r="F56" s="15">
        <f>SUM(F57)</f>
        <v>1000</v>
      </c>
      <c r="G56" s="15">
        <f>SUM(G57)</f>
        <v>1000</v>
      </c>
      <c r="H56" s="69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3.5" customHeight="1" x14ac:dyDescent="0.2">
      <c r="A57" s="18"/>
      <c r="B57" s="25" t="s">
        <v>940</v>
      </c>
      <c r="C57" s="16">
        <v>1000</v>
      </c>
      <c r="D57" s="16">
        <v>1000</v>
      </c>
      <c r="E57" s="16">
        <f>'9.Hivatal'!E77</f>
        <v>1000</v>
      </c>
      <c r="F57" s="16">
        <f>'9.Hivatal'!F77</f>
        <v>1000</v>
      </c>
      <c r="G57" s="16">
        <f>'9.Hivatal'!G77</f>
        <v>1000</v>
      </c>
      <c r="H57" s="69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">
      <c r="A58" s="18"/>
      <c r="B58" s="25"/>
      <c r="C58" s="16"/>
      <c r="D58" s="16"/>
      <c r="E58" s="16"/>
      <c r="F58" s="16"/>
      <c r="G58" s="16"/>
      <c r="H58" s="69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s="89" customFormat="1" ht="18" customHeight="1" x14ac:dyDescent="0.25">
      <c r="A59" s="29" t="s">
        <v>377</v>
      </c>
      <c r="B59" s="229" t="s">
        <v>1</v>
      </c>
      <c r="C59" s="248">
        <f>SUM(C60+C62)</f>
        <v>587652</v>
      </c>
      <c r="D59" s="248">
        <f>SUM(D60+D62)</f>
        <v>615464</v>
      </c>
      <c r="E59" s="712">
        <f>SUM(E60+E62)</f>
        <v>290950</v>
      </c>
      <c r="F59" s="712">
        <f>SUM(F60+F62)</f>
        <v>290950</v>
      </c>
      <c r="G59" s="712">
        <f>SUM(G60+G62)</f>
        <v>290950</v>
      </c>
      <c r="H59" s="692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</row>
    <row r="60" spans="1:42" s="89" customFormat="1" ht="13.5" customHeight="1" x14ac:dyDescent="0.2">
      <c r="A60" s="29"/>
      <c r="B60" s="29" t="s">
        <v>2</v>
      </c>
      <c r="C60" s="226">
        <f>SUM(C61:C61)</f>
        <v>418098</v>
      </c>
      <c r="D60" s="226">
        <f>SUM(D61:D61)</f>
        <v>418098</v>
      </c>
      <c r="E60" s="226">
        <f>SUM(E61:E61)</f>
        <v>290950</v>
      </c>
      <c r="F60" s="226">
        <f>SUM(F61:F61)</f>
        <v>290950</v>
      </c>
      <c r="G60" s="226">
        <f>SUM(G61:G61)</f>
        <v>290950</v>
      </c>
      <c r="H60" s="692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</row>
    <row r="61" spans="1:42" s="89" customFormat="1" ht="13.5" customHeight="1" x14ac:dyDescent="0.2">
      <c r="A61" s="29"/>
      <c r="B61" s="333" t="s">
        <v>955</v>
      </c>
      <c r="C61" s="173">
        <v>418098</v>
      </c>
      <c r="D61" s="173">
        <v>418098</v>
      </c>
      <c r="E61" s="173">
        <f>471181-180231</f>
        <v>290950</v>
      </c>
      <c r="F61" s="173">
        <f>471181-180231</f>
        <v>290950</v>
      </c>
      <c r="G61" s="173">
        <f>471181-180231</f>
        <v>290950</v>
      </c>
      <c r="H61" s="692"/>
      <c r="J61" s="181"/>
      <c r="K61" s="181"/>
      <c r="L61" s="181"/>
      <c r="M61" s="181"/>
      <c r="N61" s="181"/>
      <c r="O61" s="181"/>
      <c r="P61" s="181"/>
      <c r="Q61" s="646"/>
      <c r="R61" s="646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</row>
    <row r="62" spans="1:42" s="89" customFormat="1" ht="13.5" customHeight="1" x14ac:dyDescent="0.2">
      <c r="A62" s="29"/>
      <c r="B62" s="29" t="s">
        <v>364</v>
      </c>
      <c r="C62" s="226">
        <f>SUM(C63:C72)</f>
        <v>169554</v>
      </c>
      <c r="D62" s="226">
        <f>SUM(D63:D72)</f>
        <v>197366</v>
      </c>
      <c r="E62" s="226">
        <f>SUM(E63:E72)</f>
        <v>0</v>
      </c>
      <c r="F62" s="226">
        <f>SUM(F63:F72)</f>
        <v>0</v>
      </c>
      <c r="G62" s="226">
        <f>SUM(G63:G72)</f>
        <v>0</v>
      </c>
      <c r="H62" s="692"/>
      <c r="I62" s="646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</row>
    <row r="63" spans="1:42" s="89" customFormat="1" ht="13.5" customHeight="1" x14ac:dyDescent="0.2">
      <c r="A63" s="29"/>
      <c r="B63" s="25" t="s">
        <v>1164</v>
      </c>
      <c r="C63" s="173">
        <v>28936</v>
      </c>
      <c r="D63" s="173">
        <v>28936</v>
      </c>
      <c r="E63" s="173">
        <v>0</v>
      </c>
      <c r="F63" s="173">
        <v>0</v>
      </c>
      <c r="G63" s="173">
        <v>0</v>
      </c>
      <c r="H63" s="692"/>
      <c r="I63" s="646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</row>
    <row r="64" spans="1:42" s="89" customFormat="1" ht="13.5" customHeight="1" x14ac:dyDescent="0.2">
      <c r="A64" s="29"/>
      <c r="B64" s="25" t="s">
        <v>1173</v>
      </c>
      <c r="C64" s="173">
        <v>14980</v>
      </c>
      <c r="D64" s="173">
        <v>14980</v>
      </c>
      <c r="E64" s="173"/>
      <c r="F64" s="173"/>
      <c r="G64" s="173"/>
      <c r="H64" s="692"/>
      <c r="I64" s="646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</row>
    <row r="65" spans="1:42" s="89" customFormat="1" ht="13.5" customHeight="1" x14ac:dyDescent="0.2">
      <c r="A65" s="29"/>
      <c r="B65" s="25" t="s">
        <v>1172</v>
      </c>
      <c r="C65" s="173">
        <v>11925</v>
      </c>
      <c r="D65" s="173">
        <v>11925</v>
      </c>
      <c r="E65" s="173"/>
      <c r="F65" s="173"/>
      <c r="G65" s="173"/>
      <c r="H65" s="692"/>
      <c r="I65" s="646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</row>
    <row r="66" spans="1:42" s="89" customFormat="1" ht="13.5" customHeight="1" x14ac:dyDescent="0.2">
      <c r="A66" s="29"/>
      <c r="B66" s="25" t="s">
        <v>1165</v>
      </c>
      <c r="C66" s="173">
        <v>28642</v>
      </c>
      <c r="D66" s="173">
        <v>28642</v>
      </c>
      <c r="E66" s="173"/>
      <c r="F66" s="173"/>
      <c r="G66" s="173"/>
      <c r="H66" s="692"/>
      <c r="I66" s="646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</row>
    <row r="67" spans="1:42" s="89" customFormat="1" ht="13.5" customHeight="1" x14ac:dyDescent="0.2">
      <c r="A67" s="29"/>
      <c r="B67" s="25" t="s">
        <v>1166</v>
      </c>
      <c r="C67" s="173">
        <v>25228</v>
      </c>
      <c r="D67" s="173">
        <v>25228</v>
      </c>
      <c r="E67" s="173"/>
      <c r="F67" s="173"/>
      <c r="G67" s="173"/>
      <c r="H67" s="692"/>
      <c r="I67" s="646"/>
      <c r="J67" s="646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</row>
    <row r="68" spans="1:42" s="89" customFormat="1" ht="13.5" customHeight="1" x14ac:dyDescent="0.2">
      <c r="A68" s="29"/>
      <c r="B68" s="25" t="s">
        <v>1190</v>
      </c>
      <c r="C68" s="173">
        <v>8000</v>
      </c>
      <c r="D68" s="173">
        <v>8000</v>
      </c>
      <c r="E68" s="173"/>
      <c r="F68" s="173"/>
      <c r="G68" s="173"/>
      <c r="H68" s="692"/>
      <c r="I68" s="646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</row>
    <row r="69" spans="1:42" s="89" customFormat="1" ht="13.5" customHeight="1" x14ac:dyDescent="0.2">
      <c r="A69" s="29"/>
      <c r="B69" s="25" t="s">
        <v>1175</v>
      </c>
      <c r="C69" s="173">
        <f>(20182+14661+7513+4901+3475)</f>
        <v>50732</v>
      </c>
      <c r="D69" s="173">
        <f>(20182+14661+7513+4901+3475)</f>
        <v>50732</v>
      </c>
      <c r="E69" s="173"/>
      <c r="F69" s="173"/>
      <c r="G69" s="173"/>
      <c r="H69" s="692"/>
      <c r="I69" s="646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</row>
    <row r="70" spans="1:42" s="89" customFormat="1" ht="13.5" customHeight="1" x14ac:dyDescent="0.2">
      <c r="A70" s="29"/>
      <c r="B70" s="25" t="s">
        <v>1176</v>
      </c>
      <c r="C70" s="173">
        <v>1111</v>
      </c>
      <c r="D70" s="173">
        <v>1111</v>
      </c>
      <c r="E70" s="173"/>
      <c r="F70" s="173"/>
      <c r="G70" s="173"/>
      <c r="H70" s="692"/>
      <c r="I70" s="646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</row>
    <row r="71" spans="1:42" s="89" customFormat="1" ht="13.5" customHeight="1" x14ac:dyDescent="0.2">
      <c r="A71" s="29"/>
      <c r="B71" s="25" t="s">
        <v>1299</v>
      </c>
      <c r="C71" s="173">
        <v>0</v>
      </c>
      <c r="D71" s="173">
        <f>27796+16</f>
        <v>27812</v>
      </c>
      <c r="E71" s="173"/>
      <c r="F71" s="173"/>
      <c r="G71" s="173"/>
      <c r="H71" s="692"/>
      <c r="I71" s="646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</row>
    <row r="72" spans="1:42" s="89" customFormat="1" ht="13.5" customHeight="1" x14ac:dyDescent="0.2">
      <c r="A72" s="29"/>
      <c r="B72" s="810"/>
      <c r="C72" s="810"/>
      <c r="D72" s="810"/>
      <c r="E72" s="173"/>
      <c r="F72" s="173"/>
      <c r="G72" s="173"/>
      <c r="H72" s="692"/>
      <c r="I72" s="646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</row>
    <row r="73" spans="1:42" s="89" customFormat="1" ht="15" x14ac:dyDescent="0.25">
      <c r="A73" s="29" t="s">
        <v>376</v>
      </c>
      <c r="B73" s="711" t="s">
        <v>13</v>
      </c>
      <c r="C73" s="713">
        <f>SUM(C74:C75)</f>
        <v>54135</v>
      </c>
      <c r="D73" s="713">
        <f>SUM(D74:D75)</f>
        <v>172309</v>
      </c>
      <c r="E73" s="713">
        <f>SUM(E74:E76)</f>
        <v>499964</v>
      </c>
      <c r="F73" s="713">
        <f>SUM(F74:F76)</f>
        <v>499964</v>
      </c>
      <c r="G73" s="713">
        <f>SUM(G74:G76)</f>
        <v>499964</v>
      </c>
      <c r="H73" s="692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</row>
    <row r="74" spans="1:42" s="89" customFormat="1" ht="13.5" customHeight="1" x14ac:dyDescent="0.2">
      <c r="A74" s="29"/>
      <c r="B74" s="26" t="s">
        <v>1319</v>
      </c>
      <c r="C74" s="16">
        <v>0</v>
      </c>
      <c r="D74" s="16">
        <v>1</v>
      </c>
      <c r="E74" s="15"/>
      <c r="F74" s="15"/>
      <c r="G74" s="15"/>
      <c r="H74" s="692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</row>
    <row r="75" spans="1:42" s="89" customFormat="1" x14ac:dyDescent="0.2">
      <c r="A75" s="29"/>
      <c r="B75" s="25" t="s">
        <v>979</v>
      </c>
      <c r="C75" s="328">
        <f>(40000+21857-860+10330+159-236-2477-1388-28250+15000)</f>
        <v>54135</v>
      </c>
      <c r="D75" s="328">
        <f>(40000+21857-860+10330+159-236-2477-1388-28250+15000)-1-16-2513-1+120704</f>
        <v>172308</v>
      </c>
      <c r="E75" s="16">
        <f>(100000-30000-746)-2319-1175-851+2365-762+906</f>
        <v>67418</v>
      </c>
      <c r="F75" s="16">
        <f>(100000-30000-746)-2319-1175-851+2365-762+906</f>
        <v>67418</v>
      </c>
      <c r="G75" s="16">
        <f>(100000-30000-746)-2319-1175-851+2365-762+906</f>
        <v>67418</v>
      </c>
      <c r="H75" s="692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</row>
    <row r="76" spans="1:42" s="89" customFormat="1" x14ac:dyDescent="0.2">
      <c r="A76" s="29"/>
      <c r="B76" s="25" t="s">
        <v>1181</v>
      </c>
      <c r="C76" s="16">
        <v>0</v>
      </c>
      <c r="D76" s="16">
        <v>0</v>
      </c>
      <c r="E76" s="16">
        <f>203653+180231+48662</f>
        <v>432546</v>
      </c>
      <c r="F76" s="16">
        <f>203653+180231+48662</f>
        <v>432546</v>
      </c>
      <c r="G76" s="16">
        <f>203653+180231+48662</f>
        <v>432546</v>
      </c>
      <c r="H76" s="692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</row>
    <row r="77" spans="1:42" ht="15.75" x14ac:dyDescent="0.2">
      <c r="A77" s="18" t="s">
        <v>212</v>
      </c>
      <c r="B77" s="222" t="s">
        <v>365</v>
      </c>
      <c r="C77" s="768">
        <f>SUM(C78+C81+C82)</f>
        <v>20156</v>
      </c>
      <c r="D77" s="768">
        <f>SUM(D78+D81+D82)</f>
        <v>20156</v>
      </c>
      <c r="E77" s="768">
        <f>SUM(E78+E81+E82)</f>
        <v>20156</v>
      </c>
      <c r="F77" s="768">
        <f>SUM(F78+F81+F82)</f>
        <v>20156</v>
      </c>
      <c r="G77" s="768">
        <f>SUM(G78+G81+G82)</f>
        <v>20156</v>
      </c>
      <c r="H77" s="69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" customHeight="1" x14ac:dyDescent="0.2">
      <c r="A78" s="18"/>
      <c r="B78" s="224" t="s">
        <v>401</v>
      </c>
      <c r="C78" s="816">
        <f>SUM(C80)</f>
        <v>20156</v>
      </c>
      <c r="D78" s="654">
        <f>SUM(D80)</f>
        <v>20156</v>
      </c>
      <c r="E78" s="654">
        <f>SUM(E80)</f>
        <v>20156</v>
      </c>
      <c r="F78" s="654">
        <f>SUM(F80)</f>
        <v>20156</v>
      </c>
      <c r="G78" s="654">
        <f>SUM(G80)</f>
        <v>20156</v>
      </c>
      <c r="H78" s="69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3.5" hidden="1" customHeight="1" x14ac:dyDescent="0.2">
      <c r="A79" s="18"/>
      <c r="B79" s="278" t="s">
        <v>402</v>
      </c>
      <c r="C79" s="817"/>
      <c r="D79" s="223"/>
      <c r="E79" s="223"/>
      <c r="F79" s="223"/>
      <c r="G79" s="223"/>
      <c r="H79" s="69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3.5" customHeight="1" x14ac:dyDescent="0.2">
      <c r="A80" s="18"/>
      <c r="B80" s="278" t="s">
        <v>939</v>
      </c>
      <c r="C80" s="96">
        <v>20156</v>
      </c>
      <c r="D80" s="96">
        <v>20156</v>
      </c>
      <c r="E80" s="96">
        <v>20156</v>
      </c>
      <c r="F80" s="96">
        <v>20156</v>
      </c>
      <c r="G80" s="96">
        <v>20156</v>
      </c>
      <c r="H80" s="69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" customHeight="1" x14ac:dyDescent="0.2">
      <c r="A81" s="18"/>
      <c r="B81" s="224" t="s">
        <v>403</v>
      </c>
      <c r="C81" s="223"/>
      <c r="D81" s="223"/>
      <c r="E81" s="223"/>
      <c r="F81" s="223"/>
      <c r="G81" s="223"/>
      <c r="H81" s="69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customHeight="1" thickBot="1" x14ac:dyDescent="0.25">
      <c r="A82" s="28"/>
      <c r="B82" s="221" t="s">
        <v>404</v>
      </c>
      <c r="C82" s="208"/>
      <c r="D82" s="208"/>
      <c r="E82" s="208"/>
      <c r="F82" s="208"/>
      <c r="G82" s="208"/>
      <c r="H82" s="69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24" customHeight="1" thickBot="1" x14ac:dyDescent="0.4">
      <c r="A83" s="270"/>
      <c r="B83" s="318" t="s">
        <v>400</v>
      </c>
      <c r="C83" s="281">
        <f>SUM(C36+C77)</f>
        <v>883194</v>
      </c>
      <c r="D83" s="281">
        <f>SUM(D36+D77)</f>
        <v>1003898</v>
      </c>
      <c r="E83" s="281">
        <f>SUM(E36+E77)</f>
        <v>844836</v>
      </c>
      <c r="F83" s="281">
        <f>SUM(F36+F77)</f>
        <v>844836</v>
      </c>
      <c r="G83" s="281">
        <f>SUM(G36+G77)</f>
        <v>844836</v>
      </c>
      <c r="H83" s="75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.75" customHeight="1" x14ac:dyDescent="0.2">
      <c r="B84" s="2"/>
      <c r="C84" s="233">
        <f>SUM(C35-C83)</f>
        <v>-79495</v>
      </c>
      <c r="D84" s="233">
        <f>SUM(D35-D83)</f>
        <v>-79495</v>
      </c>
      <c r="E84" s="233">
        <f>SUM(E35-E83)</f>
        <v>180397</v>
      </c>
      <c r="F84" s="233">
        <f>SUM(F35-F83)</f>
        <v>180397</v>
      </c>
      <c r="G84" s="233">
        <f>SUM(G35-G83)</f>
        <v>180397</v>
      </c>
      <c r="H84" s="23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s="201" customFormat="1" ht="13.5" customHeight="1" x14ac:dyDescent="0.2">
      <c r="A85" s="190"/>
      <c r="C85" s="664"/>
      <c r="D85" s="238"/>
      <c r="E85" s="238"/>
      <c r="F85" s="238"/>
      <c r="G85" s="238"/>
      <c r="H85" s="238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</row>
    <row r="86" spans="1:42" s="201" customFormat="1" ht="13.5" customHeight="1" x14ac:dyDescent="0.2">
      <c r="A86" s="190"/>
      <c r="B86" s="331"/>
      <c r="C86" s="239"/>
      <c r="D86" s="239"/>
      <c r="E86" s="239"/>
      <c r="F86" s="239"/>
      <c r="G86" s="239"/>
      <c r="H86" s="239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</row>
    <row r="87" spans="1:42" s="201" customFormat="1" ht="13.5" customHeight="1" x14ac:dyDescent="0.2">
      <c r="A87" s="190"/>
      <c r="C87" s="238"/>
      <c r="D87" s="238"/>
      <c r="E87" s="238"/>
      <c r="F87" s="238"/>
      <c r="G87" s="238"/>
      <c r="H87" s="238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</row>
    <row r="88" spans="1:42" s="201" customFormat="1" ht="13.5" customHeight="1" x14ac:dyDescent="0.2">
      <c r="A88" s="190"/>
      <c r="C88" s="664"/>
      <c r="D88" s="664"/>
      <c r="E88" s="238"/>
      <c r="F88" s="238"/>
      <c r="G88" s="238"/>
      <c r="H88" s="238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</row>
    <row r="89" spans="1:42" s="201" customFormat="1" ht="13.5" customHeight="1" x14ac:dyDescent="0.2">
      <c r="A89" s="190"/>
      <c r="C89" s="238"/>
      <c r="D89" s="238"/>
      <c r="E89" s="238"/>
      <c r="F89" s="238"/>
      <c r="G89" s="238"/>
      <c r="H89" s="238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</row>
    <row r="90" spans="1:42" s="201" customFormat="1" ht="13.5" customHeight="1" x14ac:dyDescent="0.2">
      <c r="A90" s="190"/>
      <c r="C90" s="238"/>
      <c r="D90" s="238"/>
      <c r="E90" s="238"/>
      <c r="F90" s="238"/>
      <c r="G90" s="238"/>
      <c r="H90" s="238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</row>
    <row r="91" spans="1:42" s="201" customFormat="1" ht="13.5" customHeight="1" x14ac:dyDescent="0.2">
      <c r="A91" s="190"/>
      <c r="C91" s="238"/>
      <c r="D91" s="238"/>
      <c r="E91" s="238"/>
      <c r="F91" s="238"/>
      <c r="G91" s="238"/>
      <c r="H91" s="238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</row>
    <row r="92" spans="1:42" s="201" customFormat="1" ht="13.5" customHeight="1" x14ac:dyDescent="0.2">
      <c r="A92" s="190"/>
      <c r="C92" s="238"/>
      <c r="D92" s="238"/>
      <c r="E92" s="238"/>
      <c r="F92" s="238"/>
      <c r="G92" s="238"/>
      <c r="H92" s="238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</row>
    <row r="93" spans="1:42" s="201" customFormat="1" ht="13.5" customHeight="1" x14ac:dyDescent="0.2">
      <c r="A93" s="190"/>
      <c r="C93" s="238"/>
      <c r="D93" s="238"/>
      <c r="E93" s="238"/>
      <c r="F93" s="238"/>
      <c r="G93" s="238"/>
      <c r="H93" s="238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</row>
    <row r="94" spans="1:42" s="201" customFormat="1" ht="13.5" customHeight="1" x14ac:dyDescent="0.2">
      <c r="A94" s="190"/>
      <c r="C94" s="238"/>
      <c r="D94" s="238"/>
      <c r="E94" s="238"/>
      <c r="F94" s="238"/>
      <c r="G94" s="238"/>
      <c r="H94" s="238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</row>
    <row r="95" spans="1:42" s="201" customFormat="1" ht="13.5" customHeight="1" x14ac:dyDescent="0.2">
      <c r="A95" s="190"/>
      <c r="C95" s="238"/>
      <c r="D95" s="238"/>
      <c r="E95" s="238"/>
      <c r="F95" s="238"/>
      <c r="G95" s="238"/>
      <c r="H95" s="238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</row>
    <row r="96" spans="1:42" s="201" customFormat="1" ht="13.5" customHeight="1" x14ac:dyDescent="0.2">
      <c r="A96" s="190"/>
      <c r="C96" s="238"/>
      <c r="D96" s="238"/>
      <c r="E96" s="238"/>
      <c r="F96" s="238"/>
      <c r="G96" s="238"/>
      <c r="H96" s="238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</row>
    <row r="97" spans="1:42" s="201" customFormat="1" ht="13.5" customHeight="1" x14ac:dyDescent="0.2">
      <c r="A97" s="190"/>
      <c r="C97" s="238"/>
      <c r="D97" s="238"/>
      <c r="E97" s="238"/>
      <c r="F97" s="238"/>
      <c r="G97" s="238"/>
      <c r="H97" s="238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</row>
    <row r="98" spans="1:42" s="201" customFormat="1" ht="13.5" customHeight="1" x14ac:dyDescent="0.2">
      <c r="A98" s="190"/>
      <c r="C98" s="238"/>
      <c r="D98" s="238"/>
      <c r="E98" s="238"/>
      <c r="F98" s="238"/>
      <c r="G98" s="238"/>
      <c r="H98" s="238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</row>
    <row r="99" spans="1:42" s="201" customFormat="1" ht="13.5" customHeight="1" x14ac:dyDescent="0.2">
      <c r="A99" s="190"/>
      <c r="C99" s="238"/>
      <c r="D99" s="238"/>
      <c r="E99" s="238"/>
      <c r="F99" s="238"/>
      <c r="G99" s="238"/>
      <c r="H99" s="238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</row>
    <row r="100" spans="1:42" s="201" customFormat="1" ht="13.5" customHeight="1" x14ac:dyDescent="0.2">
      <c r="A100" s="190"/>
      <c r="C100" s="238"/>
      <c r="D100" s="238"/>
      <c r="E100" s="238"/>
      <c r="F100" s="238"/>
      <c r="G100" s="238"/>
      <c r="H100" s="238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</row>
    <row r="101" spans="1:42" ht="15.75" customHeight="1" x14ac:dyDescent="0.2">
      <c r="B101" s="2"/>
      <c r="C101" s="240"/>
      <c r="D101" s="240"/>
      <c r="E101" s="240"/>
      <c r="F101" s="240"/>
      <c r="G101" s="240"/>
      <c r="H101" s="24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customHeight="1" x14ac:dyDescent="0.2">
      <c r="B102" s="2"/>
      <c r="C102" s="233"/>
      <c r="D102" s="233"/>
      <c r="E102" s="233"/>
      <c r="F102" s="233"/>
      <c r="G102" s="233"/>
      <c r="H102" s="23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.75" customHeight="1" x14ac:dyDescent="0.2">
      <c r="B103" s="2"/>
      <c r="C103" s="233"/>
      <c r="D103" s="233"/>
      <c r="E103" s="233"/>
      <c r="F103" s="233"/>
      <c r="G103" s="233"/>
      <c r="H103" s="23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5.75" customHeight="1" x14ac:dyDescent="0.2">
      <c r="B104" s="2"/>
      <c r="C104" s="241"/>
      <c r="D104" s="241"/>
      <c r="E104" s="241"/>
      <c r="F104" s="241"/>
      <c r="G104" s="241"/>
      <c r="H104" s="24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5.75" customHeight="1" x14ac:dyDescent="0.2">
      <c r="B105" s="2"/>
      <c r="C105" s="241"/>
      <c r="D105" s="241"/>
      <c r="E105" s="241"/>
      <c r="F105" s="241"/>
      <c r="G105" s="241"/>
      <c r="H105" s="24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.75" customHeight="1" x14ac:dyDescent="0.2">
      <c r="B106" s="2"/>
      <c r="C106" s="241"/>
      <c r="D106" s="241"/>
      <c r="E106" s="241"/>
      <c r="F106" s="241"/>
      <c r="G106" s="241"/>
      <c r="H106" s="24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.75" customHeight="1" x14ac:dyDescent="0.2">
      <c r="B107" s="2"/>
      <c r="C107" s="241"/>
      <c r="D107" s="241"/>
      <c r="E107" s="241"/>
      <c r="F107" s="241"/>
      <c r="G107" s="241"/>
      <c r="H107" s="24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5.75" customHeight="1" x14ac:dyDescent="0.2">
      <c r="B108" s="2"/>
      <c r="C108" s="241"/>
      <c r="D108" s="241"/>
      <c r="E108" s="241"/>
      <c r="F108" s="241"/>
      <c r="G108" s="241"/>
      <c r="H108" s="24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 x14ac:dyDescent="0.2">
      <c r="B109" s="2"/>
      <c r="C109" s="241"/>
      <c r="D109" s="241"/>
      <c r="E109" s="241"/>
      <c r="F109" s="241"/>
      <c r="G109" s="241"/>
      <c r="H109" s="24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customHeight="1" x14ac:dyDescent="0.2">
      <c r="A110"/>
      <c r="B110" s="2"/>
      <c r="C110" s="241"/>
      <c r="D110" s="241"/>
      <c r="E110" s="241"/>
      <c r="F110" s="241"/>
      <c r="G110" s="241"/>
      <c r="H110" s="24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customHeight="1" x14ac:dyDescent="0.2">
      <c r="A111"/>
      <c r="B111" s="2"/>
      <c r="C111" s="241"/>
      <c r="D111" s="241"/>
      <c r="E111" s="241"/>
      <c r="F111" s="241"/>
      <c r="G111" s="241"/>
      <c r="H111" s="24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customHeight="1" x14ac:dyDescent="0.2">
      <c r="A112"/>
      <c r="B112" s="2"/>
      <c r="C112" s="241"/>
      <c r="D112" s="241"/>
      <c r="E112" s="241"/>
      <c r="F112" s="241"/>
      <c r="G112" s="241"/>
      <c r="H112" s="24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customHeight="1" x14ac:dyDescent="0.2">
      <c r="A113"/>
      <c r="B113" s="2"/>
      <c r="C113" s="241"/>
      <c r="D113" s="241"/>
      <c r="E113" s="241"/>
      <c r="F113" s="241"/>
      <c r="G113" s="241"/>
      <c r="H113" s="24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customHeight="1" x14ac:dyDescent="0.2">
      <c r="A114"/>
      <c r="B114" s="2"/>
      <c r="C114" s="241"/>
      <c r="D114" s="241"/>
      <c r="E114" s="241"/>
      <c r="F114" s="241"/>
      <c r="G114" s="241"/>
      <c r="H114" s="24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customHeight="1" x14ac:dyDescent="0.2">
      <c r="A115"/>
      <c r="B115" s="2"/>
      <c r="C115" s="241"/>
      <c r="D115" s="241"/>
      <c r="E115" s="241"/>
      <c r="F115" s="241"/>
      <c r="G115" s="241"/>
      <c r="H115" s="24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customHeight="1" x14ac:dyDescent="0.2">
      <c r="A116"/>
      <c r="B116" s="2"/>
      <c r="C116" s="241"/>
      <c r="D116" s="241"/>
      <c r="E116" s="241"/>
      <c r="F116" s="241"/>
      <c r="G116" s="241"/>
      <c r="H116" s="24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customHeight="1" x14ac:dyDescent="0.2">
      <c r="A117"/>
      <c r="B117" s="2"/>
      <c r="C117" s="241"/>
      <c r="D117" s="241"/>
      <c r="E117" s="241"/>
      <c r="F117" s="241"/>
      <c r="G117" s="241"/>
      <c r="H117" s="24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customHeight="1" x14ac:dyDescent="0.2">
      <c r="A118"/>
      <c r="B118" s="2"/>
      <c r="C118" s="241"/>
      <c r="D118" s="241"/>
      <c r="E118" s="241"/>
      <c r="F118" s="241"/>
      <c r="G118" s="241"/>
      <c r="H118" s="24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customHeight="1" x14ac:dyDescent="0.2">
      <c r="A119"/>
      <c r="B119" s="2"/>
      <c r="C119" s="241"/>
      <c r="D119" s="241"/>
      <c r="E119" s="241"/>
      <c r="F119" s="241"/>
      <c r="G119" s="241"/>
      <c r="H119" s="24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customHeight="1" x14ac:dyDescent="0.2">
      <c r="A120"/>
      <c r="B120" s="2"/>
      <c r="C120" s="241"/>
      <c r="D120" s="241"/>
      <c r="E120" s="241"/>
      <c r="F120" s="241"/>
      <c r="G120" s="241"/>
      <c r="H120" s="24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customHeight="1" x14ac:dyDescent="0.2">
      <c r="A121"/>
      <c r="B121" s="2"/>
      <c r="C121" s="241"/>
      <c r="D121" s="241"/>
      <c r="E121" s="241"/>
      <c r="F121" s="241"/>
      <c r="G121" s="241"/>
      <c r="H121" s="24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customHeight="1" x14ac:dyDescent="0.2">
      <c r="A122"/>
      <c r="B122" s="2"/>
      <c r="C122" s="241"/>
      <c r="D122" s="241"/>
      <c r="E122" s="241"/>
      <c r="F122" s="241"/>
      <c r="G122" s="241"/>
      <c r="H122" s="24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customHeight="1" x14ac:dyDescent="0.2">
      <c r="A123"/>
      <c r="B123" s="2"/>
      <c r="C123" s="241"/>
      <c r="D123" s="241"/>
      <c r="E123" s="241"/>
      <c r="F123" s="241"/>
      <c r="G123" s="241"/>
      <c r="H123" s="24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customHeight="1" x14ac:dyDescent="0.2">
      <c r="A124"/>
      <c r="B124" s="2"/>
      <c r="C124" s="241"/>
      <c r="D124" s="241"/>
      <c r="E124" s="241"/>
      <c r="F124" s="241"/>
      <c r="G124" s="241"/>
      <c r="H124" s="24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customHeight="1" x14ac:dyDescent="0.2">
      <c r="A125"/>
      <c r="B125" s="2"/>
      <c r="C125" s="241"/>
      <c r="D125" s="241"/>
      <c r="E125" s="241"/>
      <c r="F125" s="241"/>
      <c r="G125" s="241"/>
      <c r="H125" s="24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customHeight="1" x14ac:dyDescent="0.2">
      <c r="A126"/>
      <c r="B126" s="2"/>
      <c r="C126" s="241"/>
      <c r="D126" s="241"/>
      <c r="E126" s="241"/>
      <c r="F126" s="241"/>
      <c r="G126" s="241"/>
      <c r="H126" s="24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A127"/>
      <c r="B127" s="2"/>
      <c r="C127" s="241"/>
      <c r="D127" s="241"/>
      <c r="E127" s="241"/>
      <c r="F127" s="241"/>
      <c r="G127" s="241"/>
      <c r="H127" s="24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A128"/>
      <c r="B128" s="2"/>
      <c r="C128" s="241"/>
      <c r="D128" s="241"/>
      <c r="E128" s="241"/>
      <c r="F128" s="241"/>
      <c r="G128" s="241"/>
      <c r="H128" s="24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A129"/>
      <c r="B129" s="2"/>
      <c r="C129" s="241"/>
      <c r="D129" s="241"/>
      <c r="E129" s="241"/>
      <c r="F129" s="241"/>
      <c r="G129" s="241"/>
      <c r="H129" s="24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A130"/>
      <c r="B130" s="2"/>
      <c r="C130" s="241"/>
      <c r="D130" s="241"/>
      <c r="E130" s="241"/>
      <c r="F130" s="241"/>
      <c r="G130" s="241"/>
      <c r="H130" s="24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A131"/>
      <c r="B131" s="2"/>
      <c r="C131" s="241"/>
      <c r="D131" s="241"/>
      <c r="E131" s="241"/>
      <c r="F131" s="241"/>
      <c r="G131" s="241"/>
      <c r="H131" s="24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A132"/>
      <c r="B132" s="2"/>
      <c r="C132" s="241"/>
      <c r="D132" s="241"/>
      <c r="E132" s="241"/>
      <c r="F132" s="241"/>
      <c r="G132" s="241"/>
      <c r="H132" s="24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A133"/>
      <c r="B133" s="2"/>
      <c r="C133" s="241"/>
      <c r="D133" s="241"/>
      <c r="E133" s="241"/>
      <c r="F133" s="241"/>
      <c r="G133" s="241"/>
      <c r="H133" s="24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A134"/>
      <c r="B134" s="2"/>
      <c r="C134" s="241"/>
      <c r="D134" s="241"/>
      <c r="E134" s="241"/>
      <c r="F134" s="241"/>
      <c r="G134" s="241"/>
      <c r="H134" s="24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41"/>
      <c r="D135" s="241"/>
      <c r="E135" s="241"/>
      <c r="F135" s="241"/>
      <c r="G135" s="241"/>
      <c r="H135" s="24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41"/>
      <c r="D136" s="241"/>
      <c r="E136" s="241"/>
      <c r="F136" s="241"/>
      <c r="G136" s="241"/>
      <c r="H136" s="24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41"/>
      <c r="D137" s="241"/>
      <c r="E137" s="241"/>
      <c r="F137" s="241"/>
      <c r="G137" s="241"/>
      <c r="H137" s="24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41"/>
      <c r="D138" s="241"/>
      <c r="E138" s="241"/>
      <c r="F138" s="241"/>
      <c r="G138" s="241"/>
      <c r="H138" s="24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41"/>
      <c r="D139" s="241"/>
      <c r="E139" s="241"/>
      <c r="F139" s="241"/>
      <c r="G139" s="241"/>
      <c r="H139" s="24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41"/>
      <c r="D140" s="241"/>
      <c r="E140" s="241"/>
      <c r="F140" s="241"/>
      <c r="G140" s="241"/>
      <c r="H140" s="24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41"/>
      <c r="D141" s="241"/>
      <c r="E141" s="241"/>
      <c r="F141" s="241"/>
      <c r="G141" s="241"/>
      <c r="H141" s="24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41"/>
      <c r="D142" s="241"/>
      <c r="E142" s="241"/>
      <c r="F142" s="241"/>
      <c r="G142" s="241"/>
      <c r="H142" s="24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41"/>
      <c r="D143" s="241"/>
      <c r="E143" s="241"/>
      <c r="F143" s="241"/>
      <c r="G143" s="241"/>
      <c r="H143" s="24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41"/>
      <c r="D144" s="241"/>
      <c r="E144" s="241"/>
      <c r="F144" s="241"/>
      <c r="G144" s="241"/>
      <c r="H144" s="24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42"/>
      <c r="D145" s="242"/>
      <c r="E145" s="242"/>
      <c r="F145" s="242"/>
      <c r="G145" s="242"/>
      <c r="H145" s="24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42"/>
      <c r="D146" s="242"/>
      <c r="E146" s="242"/>
      <c r="F146" s="242"/>
      <c r="G146" s="242"/>
      <c r="H146" s="24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42"/>
      <c r="D147" s="242"/>
      <c r="E147" s="242"/>
      <c r="F147" s="242"/>
      <c r="G147" s="242"/>
      <c r="H147" s="24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42"/>
      <c r="D148" s="242"/>
      <c r="E148" s="242"/>
      <c r="F148" s="242"/>
      <c r="G148" s="242"/>
      <c r="H148" s="24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42"/>
      <c r="D149" s="242"/>
      <c r="E149" s="242"/>
      <c r="F149" s="242"/>
      <c r="G149" s="242"/>
      <c r="H149" s="24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42"/>
      <c r="D150" s="242"/>
      <c r="E150" s="242"/>
      <c r="F150" s="242"/>
      <c r="G150" s="242"/>
      <c r="H150" s="24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42"/>
      <c r="D151" s="242"/>
      <c r="E151" s="242"/>
      <c r="F151" s="242"/>
      <c r="G151" s="242"/>
      <c r="H151" s="24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42"/>
      <c r="D152" s="242"/>
      <c r="E152" s="242"/>
      <c r="F152" s="242"/>
      <c r="G152" s="242"/>
      <c r="H152" s="24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42"/>
      <c r="D153" s="242"/>
      <c r="E153" s="242"/>
      <c r="F153" s="242"/>
      <c r="G153" s="242"/>
      <c r="H153" s="24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42"/>
      <c r="D154" s="242"/>
      <c r="E154" s="242"/>
      <c r="F154" s="242"/>
      <c r="G154" s="242"/>
      <c r="H154" s="24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42"/>
      <c r="D155" s="242"/>
      <c r="E155" s="242"/>
      <c r="F155" s="242"/>
      <c r="G155" s="242"/>
      <c r="H155" s="24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42"/>
      <c r="D156" s="242"/>
      <c r="E156" s="242"/>
      <c r="F156" s="242"/>
      <c r="G156" s="242"/>
      <c r="H156" s="24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42"/>
      <c r="D157" s="242"/>
      <c r="E157" s="242"/>
      <c r="F157" s="242"/>
      <c r="G157" s="242"/>
      <c r="H157" s="24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42"/>
      <c r="D158" s="242"/>
      <c r="E158" s="242"/>
      <c r="F158" s="242"/>
      <c r="G158" s="242"/>
      <c r="H158" s="24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42"/>
      <c r="D159" s="242"/>
      <c r="E159" s="242"/>
      <c r="F159" s="242"/>
      <c r="G159" s="242"/>
      <c r="H159" s="24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42"/>
      <c r="D160" s="242"/>
      <c r="E160" s="242"/>
      <c r="F160" s="242"/>
      <c r="G160" s="242"/>
      <c r="H160" s="24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42"/>
      <c r="D161" s="242"/>
      <c r="E161" s="242"/>
      <c r="F161" s="242"/>
      <c r="G161" s="242"/>
      <c r="H161" s="24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42"/>
      <c r="D162" s="242"/>
      <c r="E162" s="242"/>
      <c r="F162" s="242"/>
      <c r="G162" s="242"/>
      <c r="H162" s="24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42"/>
      <c r="D163" s="242"/>
      <c r="E163" s="242"/>
      <c r="F163" s="242"/>
      <c r="G163" s="242"/>
      <c r="H163" s="24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42"/>
      <c r="D164" s="242"/>
      <c r="E164" s="242"/>
      <c r="F164" s="242"/>
      <c r="G164" s="242"/>
      <c r="H164" s="24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42"/>
      <c r="D165" s="242"/>
      <c r="E165" s="242"/>
      <c r="F165" s="242"/>
      <c r="G165" s="242"/>
      <c r="H165" s="24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42"/>
      <c r="D166" s="242"/>
      <c r="E166" s="242"/>
      <c r="F166" s="242"/>
      <c r="G166" s="242"/>
      <c r="H166" s="24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42"/>
      <c r="D167" s="242"/>
      <c r="E167" s="242"/>
      <c r="F167" s="242"/>
      <c r="G167" s="242"/>
      <c r="H167" s="24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42"/>
      <c r="D168" s="242"/>
      <c r="E168" s="242"/>
      <c r="F168" s="242"/>
      <c r="G168" s="242"/>
      <c r="H168" s="24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42"/>
      <c r="D169" s="242"/>
      <c r="E169" s="242"/>
      <c r="F169" s="242"/>
      <c r="G169" s="242"/>
      <c r="H169" s="24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42"/>
      <c r="D170" s="242"/>
      <c r="E170" s="242"/>
      <c r="F170" s="242"/>
      <c r="G170" s="242"/>
      <c r="H170" s="24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42"/>
      <c r="D171" s="242"/>
      <c r="E171" s="242"/>
      <c r="F171" s="242"/>
      <c r="G171" s="242"/>
      <c r="H171" s="24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42"/>
      <c r="D172" s="242"/>
      <c r="E172" s="242"/>
      <c r="F172" s="242"/>
      <c r="G172" s="242"/>
      <c r="H172" s="24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42"/>
      <c r="D173" s="242"/>
      <c r="E173" s="242"/>
      <c r="F173" s="242"/>
      <c r="G173" s="242"/>
      <c r="H173" s="24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42"/>
      <c r="D174" s="242"/>
      <c r="E174" s="242"/>
      <c r="F174" s="242"/>
      <c r="G174" s="242"/>
      <c r="H174" s="24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42"/>
      <c r="D175" s="242"/>
      <c r="E175" s="242"/>
      <c r="F175" s="242"/>
      <c r="G175" s="242"/>
      <c r="H175" s="24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42"/>
      <c r="D176" s="242"/>
      <c r="E176" s="242"/>
      <c r="F176" s="242"/>
      <c r="G176" s="242"/>
      <c r="H176" s="24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42"/>
      <c r="D177" s="242"/>
      <c r="E177" s="242"/>
      <c r="F177" s="242"/>
      <c r="G177" s="242"/>
      <c r="H177" s="24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42"/>
      <c r="D178" s="242"/>
      <c r="E178" s="242"/>
      <c r="F178" s="242"/>
      <c r="G178" s="242"/>
      <c r="H178" s="24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42"/>
      <c r="D179" s="242"/>
      <c r="E179" s="242"/>
      <c r="F179" s="242"/>
      <c r="G179" s="242"/>
      <c r="H179" s="24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42"/>
      <c r="D180" s="242"/>
      <c r="E180" s="242"/>
      <c r="F180" s="242"/>
      <c r="G180" s="242"/>
      <c r="H180" s="24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42"/>
      <c r="D181" s="242"/>
      <c r="E181" s="242"/>
      <c r="F181" s="242"/>
      <c r="G181" s="242"/>
      <c r="H181" s="24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42"/>
      <c r="D182" s="242"/>
      <c r="E182" s="242"/>
      <c r="F182" s="242"/>
      <c r="G182" s="242"/>
      <c r="H182" s="24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42"/>
      <c r="D183" s="242"/>
      <c r="E183" s="242"/>
      <c r="F183" s="242"/>
      <c r="G183" s="242"/>
      <c r="H183" s="24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42"/>
      <c r="D184" s="242"/>
      <c r="E184" s="242"/>
      <c r="F184" s="242"/>
      <c r="G184" s="242"/>
      <c r="H184" s="24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42"/>
      <c r="D185" s="242"/>
      <c r="E185" s="242"/>
      <c r="F185" s="242"/>
      <c r="G185" s="242"/>
      <c r="H185" s="24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42"/>
      <c r="D186" s="242"/>
      <c r="E186" s="242"/>
      <c r="F186" s="242"/>
      <c r="G186" s="242"/>
      <c r="H186" s="24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42"/>
      <c r="D187" s="242"/>
      <c r="E187" s="242"/>
      <c r="F187" s="242"/>
      <c r="G187" s="242"/>
      <c r="H187" s="24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42"/>
      <c r="D188" s="242"/>
      <c r="E188" s="242"/>
      <c r="F188" s="242"/>
      <c r="G188" s="242"/>
      <c r="H188" s="24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42"/>
      <c r="D189" s="242"/>
      <c r="E189" s="242"/>
      <c r="F189" s="242"/>
      <c r="G189" s="242"/>
      <c r="H189" s="24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42"/>
      <c r="D190" s="242"/>
      <c r="E190" s="242"/>
      <c r="F190" s="242"/>
      <c r="G190" s="242"/>
      <c r="H190" s="24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42"/>
      <c r="D191" s="242"/>
      <c r="E191" s="242"/>
      <c r="F191" s="242"/>
      <c r="G191" s="242"/>
      <c r="H191" s="24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42"/>
      <c r="D192" s="242"/>
      <c r="E192" s="242"/>
      <c r="F192" s="242"/>
      <c r="G192" s="242"/>
      <c r="H192" s="24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42"/>
      <c r="D193" s="242"/>
      <c r="E193" s="242"/>
      <c r="F193" s="242"/>
      <c r="G193" s="242"/>
      <c r="H193" s="24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42"/>
      <c r="D194" s="242"/>
      <c r="E194" s="242"/>
      <c r="F194" s="242"/>
      <c r="G194" s="242"/>
      <c r="H194" s="24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42"/>
      <c r="D195" s="242"/>
      <c r="E195" s="242"/>
      <c r="F195" s="242"/>
      <c r="G195" s="242"/>
      <c r="H195" s="24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42"/>
      <c r="D196" s="242"/>
      <c r="E196" s="242"/>
      <c r="F196" s="242"/>
      <c r="G196" s="242"/>
      <c r="H196" s="24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42"/>
      <c r="D197" s="242"/>
      <c r="E197" s="242"/>
      <c r="F197" s="242"/>
      <c r="G197" s="242"/>
      <c r="H197" s="24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42"/>
      <c r="D198" s="242"/>
      <c r="E198" s="242"/>
      <c r="F198" s="242"/>
      <c r="G198" s="242"/>
      <c r="H198" s="24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42"/>
      <c r="D199" s="242"/>
      <c r="E199" s="242"/>
      <c r="F199" s="242"/>
      <c r="G199" s="242"/>
      <c r="H199" s="24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42"/>
      <c r="D200" s="242"/>
      <c r="E200" s="242"/>
      <c r="F200" s="242"/>
      <c r="G200" s="242"/>
      <c r="H200" s="24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42"/>
      <c r="D201" s="242"/>
      <c r="E201" s="242"/>
      <c r="F201" s="242"/>
      <c r="G201" s="242"/>
      <c r="H201" s="24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42"/>
      <c r="D202" s="242"/>
      <c r="E202" s="242"/>
      <c r="F202" s="242"/>
      <c r="G202" s="242"/>
      <c r="H202" s="24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42"/>
      <c r="D203" s="242"/>
      <c r="E203" s="242"/>
      <c r="F203" s="242"/>
      <c r="G203" s="242"/>
      <c r="H203" s="24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42"/>
      <c r="D204" s="242"/>
      <c r="E204" s="242"/>
      <c r="F204" s="242"/>
      <c r="G204" s="242"/>
      <c r="H204" s="24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42"/>
      <c r="D205" s="242"/>
      <c r="E205" s="242"/>
      <c r="F205" s="242"/>
      <c r="G205" s="242"/>
      <c r="H205" s="24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42"/>
      <c r="D206" s="242"/>
      <c r="E206" s="242"/>
      <c r="F206" s="242"/>
      <c r="G206" s="242"/>
      <c r="H206" s="24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42"/>
      <c r="D207" s="242"/>
      <c r="E207" s="242"/>
      <c r="F207" s="242"/>
      <c r="G207" s="242"/>
      <c r="H207" s="24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42"/>
      <c r="D208" s="242"/>
      <c r="E208" s="242"/>
      <c r="F208" s="242"/>
      <c r="G208" s="242"/>
      <c r="H208" s="24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42"/>
      <c r="D209" s="242"/>
      <c r="E209" s="242"/>
      <c r="F209" s="242"/>
      <c r="G209" s="242"/>
      <c r="H209" s="24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42"/>
      <c r="D210" s="242"/>
      <c r="E210" s="242"/>
      <c r="F210" s="242"/>
      <c r="G210" s="242"/>
      <c r="H210" s="24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42"/>
      <c r="D211" s="242"/>
      <c r="E211" s="242"/>
      <c r="F211" s="242"/>
      <c r="G211" s="242"/>
      <c r="H211" s="24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42"/>
      <c r="D212" s="242"/>
      <c r="E212" s="242"/>
      <c r="F212" s="242"/>
      <c r="G212" s="242"/>
      <c r="H212" s="24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42"/>
      <c r="D213" s="242"/>
      <c r="E213" s="242"/>
      <c r="F213" s="242"/>
      <c r="G213" s="242"/>
      <c r="H213" s="24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42"/>
      <c r="D214" s="242"/>
      <c r="E214" s="242"/>
      <c r="F214" s="242"/>
      <c r="G214" s="242"/>
      <c r="H214" s="24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42"/>
      <c r="D215" s="242"/>
      <c r="E215" s="242"/>
      <c r="F215" s="242"/>
      <c r="G215" s="242"/>
      <c r="H215" s="24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42"/>
      <c r="D216" s="242"/>
      <c r="E216" s="242"/>
      <c r="F216" s="242"/>
      <c r="G216" s="242"/>
      <c r="H216" s="24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42"/>
      <c r="D217" s="242"/>
      <c r="E217" s="242"/>
      <c r="F217" s="242"/>
      <c r="G217" s="242"/>
      <c r="H217" s="24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42"/>
      <c r="D218" s="242"/>
      <c r="E218" s="242"/>
      <c r="F218" s="242"/>
      <c r="G218" s="242"/>
      <c r="H218" s="24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42"/>
      <c r="D219" s="242"/>
      <c r="E219" s="242"/>
      <c r="F219" s="242"/>
      <c r="G219" s="242"/>
      <c r="H219" s="24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42"/>
      <c r="D220" s="242"/>
      <c r="E220" s="242"/>
      <c r="F220" s="242"/>
      <c r="G220" s="242"/>
      <c r="H220" s="24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42"/>
      <c r="D221" s="242"/>
      <c r="E221" s="242"/>
      <c r="F221" s="242"/>
      <c r="G221" s="242"/>
      <c r="H221" s="24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42"/>
      <c r="D222" s="242"/>
      <c r="E222" s="242"/>
      <c r="F222" s="242"/>
      <c r="G222" s="242"/>
      <c r="H222" s="24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42"/>
      <c r="D223" s="242"/>
      <c r="E223" s="242"/>
      <c r="F223" s="242"/>
      <c r="G223" s="242"/>
      <c r="H223" s="24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42"/>
      <c r="D224" s="242"/>
      <c r="E224" s="242"/>
      <c r="F224" s="242"/>
      <c r="G224" s="242"/>
      <c r="H224" s="24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42"/>
      <c r="D225" s="242"/>
      <c r="E225" s="242"/>
      <c r="F225" s="242"/>
      <c r="G225" s="242"/>
      <c r="H225" s="24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42"/>
      <c r="D226" s="242"/>
      <c r="E226" s="242"/>
      <c r="F226" s="242"/>
      <c r="G226" s="242"/>
      <c r="H226" s="24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42"/>
      <c r="D227" s="242"/>
      <c r="E227" s="242"/>
      <c r="F227" s="242"/>
      <c r="G227" s="242"/>
      <c r="H227" s="24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42"/>
      <c r="D228" s="242"/>
      <c r="E228" s="242"/>
      <c r="F228" s="242"/>
      <c r="G228" s="242"/>
      <c r="H228" s="24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42"/>
      <c r="D229" s="242"/>
      <c r="E229" s="242"/>
      <c r="F229" s="242"/>
      <c r="G229" s="242"/>
      <c r="H229" s="24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42"/>
      <c r="D230" s="242"/>
      <c r="E230" s="242"/>
      <c r="F230" s="242"/>
      <c r="G230" s="242"/>
      <c r="H230" s="24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42"/>
      <c r="D231" s="242"/>
      <c r="E231" s="242"/>
      <c r="F231" s="242"/>
      <c r="G231" s="242"/>
      <c r="H231" s="24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42"/>
      <c r="D232" s="242"/>
      <c r="E232" s="242"/>
      <c r="F232" s="242"/>
      <c r="G232" s="242"/>
      <c r="H232" s="24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42"/>
      <c r="D233" s="242"/>
      <c r="E233" s="242"/>
      <c r="F233" s="242"/>
      <c r="G233" s="242"/>
      <c r="H233" s="24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42"/>
      <c r="D234" s="242"/>
      <c r="E234" s="242"/>
      <c r="F234" s="242"/>
      <c r="G234" s="242"/>
      <c r="H234" s="24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42"/>
      <c r="D235" s="242"/>
      <c r="E235" s="242"/>
      <c r="F235" s="242"/>
      <c r="G235" s="242"/>
      <c r="H235" s="24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42"/>
      <c r="D236" s="242"/>
      <c r="E236" s="242"/>
      <c r="F236" s="242"/>
      <c r="G236" s="242"/>
      <c r="H236" s="24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42"/>
      <c r="D237" s="242"/>
      <c r="E237" s="242"/>
      <c r="F237" s="242"/>
      <c r="G237" s="242"/>
      <c r="H237" s="24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42"/>
      <c r="D238" s="242"/>
      <c r="E238" s="242"/>
      <c r="F238" s="242"/>
      <c r="G238" s="242"/>
      <c r="H238" s="24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42"/>
      <c r="D239" s="242"/>
      <c r="E239" s="242"/>
      <c r="F239" s="242"/>
      <c r="G239" s="242"/>
      <c r="H239" s="24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42"/>
      <c r="D240" s="242"/>
      <c r="E240" s="242"/>
      <c r="F240" s="242"/>
      <c r="G240" s="242"/>
      <c r="H240" s="24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42"/>
      <c r="D241" s="242"/>
      <c r="E241" s="242"/>
      <c r="F241" s="242"/>
      <c r="G241" s="242"/>
      <c r="H241" s="24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42"/>
      <c r="D242" s="242"/>
      <c r="E242" s="242"/>
      <c r="F242" s="242"/>
      <c r="G242" s="242"/>
      <c r="H242" s="24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42"/>
      <c r="D243" s="242"/>
      <c r="E243" s="242"/>
      <c r="F243" s="242"/>
      <c r="G243" s="242"/>
      <c r="H243" s="24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42"/>
      <c r="D244" s="242"/>
      <c r="E244" s="242"/>
      <c r="F244" s="242"/>
      <c r="G244" s="242"/>
      <c r="H244" s="24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42"/>
      <c r="D245" s="242"/>
      <c r="E245" s="242"/>
      <c r="F245" s="242"/>
      <c r="G245" s="242"/>
      <c r="H245" s="24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42"/>
      <c r="D246" s="242"/>
      <c r="E246" s="242"/>
      <c r="F246" s="242"/>
      <c r="G246" s="242"/>
      <c r="H246" s="24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42"/>
      <c r="D247" s="242"/>
      <c r="E247" s="242"/>
      <c r="F247" s="242"/>
      <c r="G247" s="242"/>
      <c r="H247" s="24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42"/>
      <c r="D248" s="242"/>
      <c r="E248" s="242"/>
      <c r="F248" s="242"/>
      <c r="G248" s="242"/>
      <c r="H248" s="24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42"/>
      <c r="D249" s="242"/>
      <c r="E249" s="242"/>
      <c r="F249" s="242"/>
      <c r="G249" s="242"/>
      <c r="H249" s="24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42"/>
      <c r="D250" s="242"/>
      <c r="E250" s="242"/>
      <c r="F250" s="242"/>
      <c r="G250" s="242"/>
      <c r="H250" s="24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42"/>
      <c r="D251" s="242"/>
      <c r="E251" s="242"/>
      <c r="F251" s="242"/>
      <c r="G251" s="242"/>
      <c r="H251" s="24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42"/>
      <c r="D252" s="242"/>
      <c r="E252" s="242"/>
      <c r="F252" s="242"/>
      <c r="G252" s="242"/>
      <c r="H252" s="24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42"/>
      <c r="D253" s="242"/>
      <c r="E253" s="242"/>
      <c r="F253" s="242"/>
      <c r="G253" s="242"/>
      <c r="H253" s="24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42"/>
      <c r="D254" s="242"/>
      <c r="E254" s="242"/>
      <c r="F254" s="242"/>
      <c r="G254" s="242"/>
      <c r="H254" s="24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42"/>
      <c r="D255" s="242"/>
      <c r="E255" s="242"/>
      <c r="F255" s="242"/>
      <c r="G255" s="242"/>
      <c r="H255" s="24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42"/>
      <c r="D256" s="242"/>
      <c r="E256" s="242"/>
      <c r="F256" s="242"/>
      <c r="G256" s="242"/>
      <c r="H256" s="24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42"/>
      <c r="D257" s="242"/>
      <c r="E257" s="242"/>
      <c r="F257" s="242"/>
      <c r="G257" s="242"/>
      <c r="H257" s="24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42"/>
      <c r="D258" s="242"/>
      <c r="E258" s="242"/>
      <c r="F258" s="242"/>
      <c r="G258" s="242"/>
      <c r="H258" s="24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42"/>
      <c r="D259" s="242"/>
      <c r="E259" s="242"/>
      <c r="F259" s="242"/>
      <c r="G259" s="242"/>
      <c r="H259" s="24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42"/>
      <c r="D260" s="242"/>
      <c r="E260" s="242"/>
      <c r="F260" s="242"/>
      <c r="G260" s="242"/>
      <c r="H260" s="24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42"/>
      <c r="D261" s="242"/>
      <c r="E261" s="242"/>
      <c r="F261" s="242"/>
      <c r="G261" s="242"/>
      <c r="H261" s="24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42"/>
      <c r="D262" s="242"/>
      <c r="E262" s="242"/>
      <c r="F262" s="242"/>
      <c r="G262" s="242"/>
      <c r="H262" s="24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42"/>
      <c r="D263" s="242"/>
      <c r="E263" s="242"/>
      <c r="F263" s="242"/>
      <c r="G263" s="242"/>
      <c r="H263" s="24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42"/>
      <c r="D264" s="242"/>
      <c r="E264" s="242"/>
      <c r="F264" s="242"/>
      <c r="G264" s="242"/>
      <c r="H264" s="24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42"/>
      <c r="D265" s="242"/>
      <c r="E265" s="242"/>
      <c r="F265" s="242"/>
      <c r="G265" s="242"/>
      <c r="H265" s="24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42"/>
      <c r="D266" s="242"/>
      <c r="E266" s="242"/>
      <c r="F266" s="242"/>
      <c r="G266" s="242"/>
      <c r="H266" s="24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42"/>
      <c r="D267" s="242"/>
      <c r="E267" s="242"/>
      <c r="F267" s="242"/>
      <c r="G267" s="242"/>
      <c r="H267" s="24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42"/>
      <c r="D268" s="242"/>
      <c r="E268" s="242"/>
      <c r="F268" s="242"/>
      <c r="G268" s="242"/>
      <c r="H268" s="24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42"/>
      <c r="D269" s="242"/>
      <c r="E269" s="242"/>
      <c r="F269" s="242"/>
      <c r="G269" s="242"/>
      <c r="H269" s="24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42"/>
      <c r="D270" s="242"/>
      <c r="E270" s="242"/>
      <c r="F270" s="242"/>
      <c r="G270" s="242"/>
      <c r="H270" s="24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42"/>
      <c r="D271" s="242"/>
      <c r="E271" s="242"/>
      <c r="F271" s="242"/>
      <c r="G271" s="242"/>
      <c r="H271" s="24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42"/>
      <c r="D272" s="242"/>
      <c r="E272" s="242"/>
      <c r="F272" s="242"/>
      <c r="G272" s="242"/>
      <c r="H272" s="24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42"/>
      <c r="D273" s="242"/>
      <c r="E273" s="242"/>
      <c r="F273" s="242"/>
      <c r="G273" s="242"/>
      <c r="H273" s="24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42"/>
      <c r="D274" s="242"/>
      <c r="E274" s="242"/>
      <c r="F274" s="242"/>
      <c r="G274" s="242"/>
      <c r="H274" s="24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42"/>
      <c r="D275" s="242"/>
      <c r="E275" s="242"/>
      <c r="F275" s="242"/>
      <c r="G275" s="242"/>
      <c r="H275" s="24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42"/>
      <c r="D276" s="242"/>
      <c r="E276" s="242"/>
      <c r="F276" s="242"/>
      <c r="G276" s="242"/>
      <c r="H276" s="24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42"/>
      <c r="D277" s="242"/>
      <c r="E277" s="242"/>
      <c r="F277" s="242"/>
      <c r="G277" s="242"/>
      <c r="H277" s="24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42"/>
      <c r="D278" s="242"/>
      <c r="E278" s="242"/>
      <c r="F278" s="242"/>
      <c r="G278" s="242"/>
      <c r="H278" s="24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42"/>
      <c r="D279" s="242"/>
      <c r="E279" s="242"/>
      <c r="F279" s="242"/>
      <c r="G279" s="242"/>
      <c r="H279" s="24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42"/>
      <c r="D280" s="242"/>
      <c r="E280" s="242"/>
      <c r="F280" s="242"/>
      <c r="G280" s="242"/>
      <c r="H280" s="24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42"/>
      <c r="D281" s="242"/>
      <c r="E281" s="242"/>
      <c r="F281" s="242"/>
      <c r="G281" s="242"/>
      <c r="H281" s="24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42"/>
      <c r="D282" s="242"/>
      <c r="E282" s="242"/>
      <c r="F282" s="242"/>
      <c r="G282" s="242"/>
      <c r="H282" s="24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42"/>
      <c r="D283" s="242"/>
      <c r="E283" s="242"/>
      <c r="F283" s="242"/>
      <c r="G283" s="242"/>
      <c r="H283" s="24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42"/>
      <c r="D284" s="242"/>
      <c r="E284" s="242"/>
      <c r="F284" s="242"/>
      <c r="G284" s="242"/>
      <c r="H284" s="24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42"/>
      <c r="D285" s="242"/>
      <c r="E285" s="242"/>
      <c r="F285" s="242"/>
      <c r="G285" s="242"/>
      <c r="H285" s="24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42"/>
      <c r="D286" s="242"/>
      <c r="E286" s="242"/>
      <c r="F286" s="242"/>
      <c r="G286" s="242"/>
      <c r="H286" s="24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42"/>
      <c r="D287" s="242"/>
      <c r="E287" s="242"/>
      <c r="F287" s="242"/>
      <c r="G287" s="242"/>
      <c r="H287" s="24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42"/>
      <c r="D288" s="242"/>
      <c r="E288" s="242"/>
      <c r="F288" s="242"/>
      <c r="G288" s="242"/>
      <c r="H288" s="24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42"/>
      <c r="D289" s="242"/>
      <c r="E289" s="242"/>
      <c r="F289" s="242"/>
      <c r="G289" s="242"/>
      <c r="H289" s="24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42"/>
      <c r="D290" s="242"/>
      <c r="E290" s="242"/>
      <c r="F290" s="242"/>
      <c r="G290" s="242"/>
      <c r="H290" s="24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42"/>
      <c r="D291" s="242"/>
      <c r="E291" s="242"/>
      <c r="F291" s="242"/>
      <c r="G291" s="242"/>
      <c r="H291" s="24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42"/>
      <c r="D292" s="242"/>
      <c r="E292" s="242"/>
      <c r="F292" s="242"/>
      <c r="G292" s="242"/>
      <c r="H292" s="24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42"/>
      <c r="D293" s="242"/>
      <c r="E293" s="242"/>
      <c r="F293" s="242"/>
      <c r="G293" s="242"/>
      <c r="H293" s="24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42"/>
      <c r="D294" s="242"/>
      <c r="E294" s="242"/>
      <c r="F294" s="242"/>
      <c r="G294" s="242"/>
      <c r="H294" s="24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42"/>
      <c r="D295" s="242"/>
      <c r="E295" s="242"/>
      <c r="F295" s="242"/>
      <c r="G295" s="242"/>
      <c r="H295" s="24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42"/>
      <c r="D296" s="242"/>
      <c r="E296" s="242"/>
      <c r="F296" s="242"/>
      <c r="G296" s="242"/>
      <c r="H296" s="24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42"/>
      <c r="D297" s="242"/>
      <c r="E297" s="242"/>
      <c r="F297" s="242"/>
      <c r="G297" s="242"/>
      <c r="H297" s="24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42"/>
      <c r="D298" s="242"/>
      <c r="E298" s="242"/>
      <c r="F298" s="242"/>
      <c r="G298" s="242"/>
      <c r="H298" s="24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42"/>
      <c r="D299" s="242"/>
      <c r="E299" s="242"/>
      <c r="F299" s="242"/>
      <c r="G299" s="242"/>
      <c r="H299" s="24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42"/>
      <c r="D300" s="242"/>
      <c r="E300" s="242"/>
      <c r="F300" s="242"/>
      <c r="G300" s="242"/>
      <c r="H300" s="24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42"/>
      <c r="D301" s="242"/>
      <c r="E301" s="242"/>
      <c r="F301" s="242"/>
      <c r="G301" s="242"/>
      <c r="H301" s="24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42"/>
      <c r="D302" s="242"/>
      <c r="E302" s="242"/>
      <c r="F302" s="242"/>
      <c r="G302" s="242"/>
      <c r="H302" s="24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42"/>
      <c r="D303" s="242"/>
      <c r="E303" s="242"/>
      <c r="F303" s="242"/>
      <c r="G303" s="242"/>
      <c r="H303" s="24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42"/>
      <c r="D304" s="242"/>
      <c r="E304" s="242"/>
      <c r="F304" s="242"/>
      <c r="G304" s="242"/>
      <c r="H304" s="24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42"/>
      <c r="D305" s="242"/>
      <c r="E305" s="242"/>
      <c r="F305" s="242"/>
      <c r="G305" s="242"/>
      <c r="H305" s="24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42"/>
      <c r="D306" s="242"/>
      <c r="E306" s="242"/>
      <c r="F306" s="242"/>
      <c r="G306" s="242"/>
      <c r="H306" s="24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42"/>
      <c r="D307" s="242"/>
      <c r="E307" s="242"/>
      <c r="F307" s="242"/>
      <c r="G307" s="242"/>
      <c r="H307" s="24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42"/>
      <c r="D308" s="242"/>
      <c r="E308" s="242"/>
      <c r="F308" s="242"/>
      <c r="G308" s="242"/>
      <c r="H308" s="24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42"/>
      <c r="D309" s="242"/>
      <c r="E309" s="242"/>
      <c r="F309" s="242"/>
      <c r="G309" s="242"/>
      <c r="H309" s="24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42"/>
      <c r="D310" s="242"/>
      <c r="E310" s="242"/>
      <c r="F310" s="242"/>
      <c r="G310" s="242"/>
      <c r="H310" s="24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42"/>
      <c r="D311" s="242"/>
      <c r="E311" s="242"/>
      <c r="F311" s="242"/>
      <c r="G311" s="242"/>
      <c r="H311" s="24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42"/>
      <c r="D312" s="242"/>
      <c r="E312" s="242"/>
      <c r="F312" s="242"/>
      <c r="G312" s="242"/>
      <c r="H312" s="24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42"/>
      <c r="D313" s="242"/>
      <c r="E313" s="242"/>
      <c r="F313" s="242"/>
      <c r="G313" s="242"/>
      <c r="H313" s="24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42"/>
      <c r="D314" s="242"/>
      <c r="E314" s="242"/>
      <c r="F314" s="242"/>
      <c r="G314" s="242"/>
      <c r="H314" s="24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42"/>
      <c r="D315" s="242"/>
      <c r="E315" s="242"/>
      <c r="F315" s="242"/>
      <c r="G315" s="242"/>
      <c r="H315" s="24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42"/>
      <c r="D316" s="242"/>
      <c r="E316" s="242"/>
      <c r="F316" s="242"/>
      <c r="G316" s="242"/>
      <c r="H316" s="24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42"/>
      <c r="D317" s="242"/>
      <c r="E317" s="242"/>
      <c r="F317" s="242"/>
      <c r="G317" s="242"/>
      <c r="H317" s="24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42"/>
      <c r="D318" s="242"/>
      <c r="E318" s="242"/>
      <c r="F318" s="242"/>
      <c r="G318" s="242"/>
      <c r="H318" s="24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42"/>
      <c r="D319" s="242"/>
      <c r="E319" s="242"/>
      <c r="F319" s="242"/>
      <c r="G319" s="242"/>
      <c r="H319" s="24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42"/>
      <c r="D320" s="242"/>
      <c r="E320" s="242"/>
      <c r="F320" s="242"/>
      <c r="G320" s="242"/>
      <c r="H320" s="24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42"/>
      <c r="D321" s="242"/>
      <c r="E321" s="242"/>
      <c r="F321" s="242"/>
      <c r="G321" s="242"/>
      <c r="H321" s="24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42"/>
      <c r="D322" s="242"/>
      <c r="E322" s="242"/>
      <c r="F322" s="242"/>
      <c r="G322" s="242"/>
      <c r="H322" s="24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42"/>
      <c r="D323" s="242"/>
      <c r="E323" s="242"/>
      <c r="F323" s="242"/>
      <c r="G323" s="242"/>
      <c r="H323" s="24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42"/>
      <c r="D324" s="242"/>
      <c r="E324" s="242"/>
      <c r="F324" s="242"/>
      <c r="G324" s="242"/>
      <c r="H324" s="24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42"/>
      <c r="D325" s="242"/>
      <c r="E325" s="242"/>
      <c r="F325" s="242"/>
      <c r="G325" s="242"/>
      <c r="H325" s="24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42"/>
      <c r="D326" s="242"/>
      <c r="E326" s="242"/>
      <c r="F326" s="242"/>
      <c r="G326" s="242"/>
      <c r="H326" s="24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42"/>
      <c r="D327" s="242"/>
      <c r="E327" s="242"/>
      <c r="F327" s="242"/>
      <c r="G327" s="242"/>
      <c r="H327" s="24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42"/>
      <c r="D328" s="242"/>
      <c r="E328" s="242"/>
      <c r="F328" s="242"/>
      <c r="G328" s="242"/>
      <c r="H328" s="24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42"/>
      <c r="D329" s="242"/>
      <c r="E329" s="242"/>
      <c r="F329" s="242"/>
      <c r="G329" s="242"/>
      <c r="H329" s="24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42"/>
      <c r="D330" s="242"/>
      <c r="E330" s="242"/>
      <c r="F330" s="242"/>
      <c r="G330" s="242"/>
      <c r="H330" s="24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42"/>
      <c r="D331" s="242"/>
      <c r="E331" s="242"/>
      <c r="F331" s="242"/>
      <c r="G331" s="242"/>
      <c r="H331" s="24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42"/>
      <c r="D332" s="242"/>
      <c r="E332" s="242"/>
      <c r="F332" s="242"/>
      <c r="G332" s="242"/>
      <c r="H332" s="24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42"/>
      <c r="D333" s="242"/>
      <c r="E333" s="242"/>
      <c r="F333" s="242"/>
      <c r="G333" s="242"/>
      <c r="H333" s="24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42"/>
      <c r="D334" s="242"/>
      <c r="E334" s="242"/>
      <c r="F334" s="242"/>
      <c r="G334" s="242"/>
      <c r="H334" s="24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42"/>
      <c r="D335" s="242"/>
      <c r="E335" s="242"/>
      <c r="F335" s="242"/>
      <c r="G335" s="242"/>
      <c r="H335" s="24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42"/>
      <c r="D336" s="242"/>
      <c r="E336" s="242"/>
      <c r="F336" s="242"/>
      <c r="G336" s="242"/>
      <c r="H336" s="24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42"/>
      <c r="D337" s="242"/>
      <c r="E337" s="242"/>
      <c r="F337" s="242"/>
      <c r="G337" s="242"/>
      <c r="H337" s="24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42"/>
      <c r="D338" s="242"/>
      <c r="E338" s="242"/>
      <c r="F338" s="242"/>
      <c r="G338" s="242"/>
      <c r="H338" s="24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42"/>
      <c r="D339" s="242"/>
      <c r="E339" s="242"/>
      <c r="F339" s="242"/>
      <c r="G339" s="242"/>
      <c r="H339" s="24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42"/>
      <c r="D340" s="242"/>
      <c r="E340" s="242"/>
      <c r="F340" s="242"/>
      <c r="G340" s="242"/>
      <c r="H340" s="24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42"/>
      <c r="D341" s="242"/>
      <c r="E341" s="242"/>
      <c r="F341" s="242"/>
      <c r="G341" s="242"/>
      <c r="H341" s="24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42"/>
      <c r="D342" s="242"/>
      <c r="E342" s="242"/>
      <c r="F342" s="242"/>
      <c r="G342" s="242"/>
      <c r="H342" s="24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42"/>
      <c r="D343" s="242"/>
      <c r="E343" s="242"/>
      <c r="F343" s="242"/>
      <c r="G343" s="242"/>
      <c r="H343" s="24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42"/>
      <c r="D344" s="242"/>
      <c r="E344" s="242"/>
      <c r="F344" s="242"/>
      <c r="G344" s="242"/>
      <c r="H344" s="24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42"/>
      <c r="D345" s="242"/>
      <c r="E345" s="242"/>
      <c r="F345" s="242"/>
      <c r="G345" s="242"/>
      <c r="H345" s="24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42"/>
      <c r="D346" s="242"/>
      <c r="E346" s="242"/>
      <c r="F346" s="242"/>
      <c r="G346" s="242"/>
      <c r="H346" s="24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42"/>
      <c r="D347" s="242"/>
      <c r="E347" s="242"/>
      <c r="F347" s="242"/>
      <c r="G347" s="242"/>
      <c r="H347" s="24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42"/>
      <c r="D348" s="242"/>
      <c r="E348" s="242"/>
      <c r="F348" s="242"/>
      <c r="G348" s="242"/>
      <c r="H348" s="24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42"/>
      <c r="D349" s="242"/>
      <c r="E349" s="242"/>
      <c r="F349" s="242"/>
      <c r="G349" s="242"/>
      <c r="H349" s="24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42"/>
      <c r="D350" s="242"/>
      <c r="E350" s="242"/>
      <c r="F350" s="242"/>
      <c r="G350" s="242"/>
      <c r="H350" s="24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42"/>
      <c r="D351" s="242"/>
      <c r="E351" s="242"/>
      <c r="F351" s="242"/>
      <c r="G351" s="242"/>
      <c r="H351" s="24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42"/>
      <c r="D352" s="242"/>
      <c r="E352" s="242"/>
      <c r="F352" s="242"/>
      <c r="G352" s="242"/>
      <c r="H352" s="24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42"/>
      <c r="D353" s="242"/>
      <c r="E353" s="242"/>
      <c r="F353" s="242"/>
      <c r="G353" s="242"/>
      <c r="H353" s="24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42"/>
      <c r="D354" s="242"/>
      <c r="E354" s="242"/>
      <c r="F354" s="242"/>
      <c r="G354" s="242"/>
      <c r="H354" s="24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42"/>
      <c r="D355" s="242"/>
      <c r="E355" s="242"/>
      <c r="F355" s="242"/>
      <c r="G355" s="242"/>
      <c r="H355" s="24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42"/>
      <c r="D356" s="242"/>
      <c r="E356" s="242"/>
      <c r="F356" s="242"/>
      <c r="G356" s="242"/>
      <c r="H356" s="24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42"/>
      <c r="D357" s="242"/>
      <c r="E357" s="242"/>
      <c r="F357" s="242"/>
      <c r="G357" s="242"/>
      <c r="H357" s="24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42"/>
      <c r="D358" s="242"/>
      <c r="E358" s="242"/>
      <c r="F358" s="242"/>
      <c r="G358" s="242"/>
      <c r="H358" s="24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42"/>
      <c r="D359" s="242"/>
      <c r="E359" s="242"/>
      <c r="F359" s="242"/>
      <c r="G359" s="242"/>
      <c r="H359" s="24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42"/>
      <c r="D360" s="242"/>
      <c r="E360" s="242"/>
      <c r="F360" s="242"/>
      <c r="G360" s="242"/>
      <c r="H360" s="24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42"/>
      <c r="D361" s="242"/>
      <c r="E361" s="242"/>
      <c r="F361" s="242"/>
      <c r="G361" s="242"/>
      <c r="H361" s="24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42"/>
      <c r="D362" s="242"/>
      <c r="E362" s="242"/>
      <c r="F362" s="242"/>
      <c r="G362" s="242"/>
      <c r="H362" s="24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42"/>
      <c r="D363" s="242"/>
      <c r="E363" s="242"/>
      <c r="F363" s="242"/>
      <c r="G363" s="242"/>
      <c r="H363" s="24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42"/>
      <c r="D364" s="242"/>
      <c r="E364" s="242"/>
      <c r="F364" s="242"/>
      <c r="G364" s="242"/>
      <c r="H364" s="24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42"/>
      <c r="D365" s="242"/>
      <c r="E365" s="242"/>
      <c r="F365" s="242"/>
      <c r="G365" s="242"/>
      <c r="H365" s="24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42"/>
      <c r="D366" s="242"/>
      <c r="E366" s="242"/>
      <c r="F366" s="242"/>
      <c r="G366" s="242"/>
      <c r="H366" s="24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42"/>
      <c r="D367" s="242"/>
      <c r="E367" s="242"/>
      <c r="F367" s="242"/>
      <c r="G367" s="242"/>
      <c r="H367" s="24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42"/>
      <c r="D368" s="242"/>
      <c r="E368" s="242"/>
      <c r="F368" s="242"/>
      <c r="G368" s="242"/>
      <c r="H368" s="24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42"/>
      <c r="D369" s="242"/>
      <c r="E369" s="242"/>
      <c r="F369" s="242"/>
      <c r="G369" s="242"/>
      <c r="H369" s="24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42"/>
      <c r="D370" s="242"/>
      <c r="E370" s="242"/>
      <c r="F370" s="242"/>
      <c r="G370" s="242"/>
      <c r="H370" s="24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42"/>
      <c r="D371" s="242"/>
      <c r="E371" s="242"/>
      <c r="F371" s="242"/>
      <c r="G371" s="242"/>
      <c r="H371" s="24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42"/>
      <c r="D372" s="242"/>
      <c r="E372" s="242"/>
      <c r="F372" s="242"/>
      <c r="G372" s="242"/>
      <c r="H372" s="24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42"/>
      <c r="D373" s="242"/>
      <c r="E373" s="242"/>
      <c r="F373" s="242"/>
      <c r="G373" s="242"/>
      <c r="H373" s="24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42"/>
      <c r="D374" s="242"/>
      <c r="E374" s="242"/>
      <c r="F374" s="242"/>
      <c r="G374" s="242"/>
      <c r="H374" s="24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42"/>
      <c r="D375" s="242"/>
      <c r="E375" s="242"/>
      <c r="F375" s="242"/>
      <c r="G375" s="242"/>
      <c r="H375" s="24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42"/>
      <c r="D376" s="242"/>
      <c r="E376" s="242"/>
      <c r="F376" s="242"/>
      <c r="G376" s="242"/>
      <c r="H376" s="24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42"/>
      <c r="D377" s="242"/>
      <c r="E377" s="242"/>
      <c r="F377" s="242"/>
      <c r="G377" s="242"/>
      <c r="H377" s="24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42"/>
      <c r="D378" s="242"/>
      <c r="E378" s="242"/>
      <c r="F378" s="242"/>
      <c r="G378" s="242"/>
      <c r="H378" s="24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42"/>
      <c r="D379" s="242"/>
      <c r="E379" s="242"/>
      <c r="F379" s="242"/>
      <c r="G379" s="242"/>
      <c r="H379" s="24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42"/>
      <c r="D380" s="242"/>
      <c r="E380" s="242"/>
      <c r="F380" s="242"/>
      <c r="G380" s="242"/>
      <c r="H380" s="24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42"/>
      <c r="D381" s="242"/>
      <c r="E381" s="242"/>
      <c r="F381" s="242"/>
      <c r="G381" s="242"/>
      <c r="H381" s="24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42"/>
      <c r="D382" s="242"/>
      <c r="E382" s="242"/>
      <c r="F382" s="242"/>
      <c r="G382" s="242"/>
      <c r="H382" s="24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42"/>
      <c r="D383" s="242"/>
      <c r="E383" s="242"/>
      <c r="F383" s="242"/>
      <c r="G383" s="242"/>
      <c r="H383" s="24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42"/>
      <c r="D384" s="242"/>
      <c r="E384" s="242"/>
      <c r="F384" s="242"/>
      <c r="G384" s="242"/>
      <c r="H384" s="24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42"/>
      <c r="D385" s="242"/>
      <c r="E385" s="242"/>
      <c r="F385" s="242"/>
      <c r="G385" s="242"/>
      <c r="H385" s="24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42"/>
      <c r="D386" s="242"/>
      <c r="E386" s="242"/>
      <c r="F386" s="242"/>
      <c r="G386" s="242"/>
      <c r="H386" s="24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42"/>
      <c r="D387" s="242"/>
      <c r="E387" s="242"/>
      <c r="F387" s="242"/>
      <c r="G387" s="242"/>
      <c r="H387" s="24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42"/>
      <c r="D388" s="242"/>
      <c r="E388" s="242"/>
      <c r="F388" s="242"/>
      <c r="G388" s="242"/>
      <c r="H388" s="24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42"/>
      <c r="D389" s="242"/>
      <c r="E389" s="242"/>
      <c r="F389" s="242"/>
      <c r="G389" s="242"/>
      <c r="H389" s="24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42"/>
      <c r="D390" s="242"/>
      <c r="E390" s="242"/>
      <c r="F390" s="242"/>
      <c r="G390" s="242"/>
      <c r="H390" s="24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42"/>
      <c r="D391" s="242"/>
      <c r="E391" s="242"/>
      <c r="F391" s="242"/>
      <c r="G391" s="242"/>
      <c r="H391" s="24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42"/>
      <c r="D392" s="242"/>
      <c r="E392" s="242"/>
      <c r="F392" s="242"/>
      <c r="G392" s="242"/>
      <c r="H392" s="24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42"/>
      <c r="D393" s="242"/>
      <c r="E393" s="242"/>
      <c r="F393" s="242"/>
      <c r="G393" s="242"/>
      <c r="H393" s="24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42"/>
      <c r="D394" s="242"/>
      <c r="E394" s="242"/>
      <c r="F394" s="242"/>
      <c r="G394" s="242"/>
      <c r="H394" s="24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42"/>
      <c r="D395" s="242"/>
      <c r="E395" s="242"/>
      <c r="F395" s="242"/>
      <c r="G395" s="242"/>
      <c r="H395" s="24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42"/>
      <c r="D396" s="242"/>
      <c r="E396" s="242"/>
      <c r="F396" s="242"/>
      <c r="G396" s="242"/>
      <c r="H396" s="24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42"/>
      <c r="D397" s="242"/>
      <c r="E397" s="242"/>
      <c r="F397" s="242"/>
      <c r="G397" s="242"/>
      <c r="H397" s="24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42"/>
      <c r="D398" s="242"/>
      <c r="E398" s="242"/>
      <c r="F398" s="242"/>
      <c r="G398" s="242"/>
      <c r="H398" s="24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42"/>
      <c r="D399" s="242"/>
      <c r="E399" s="242"/>
      <c r="F399" s="242"/>
      <c r="G399" s="242"/>
      <c r="H399" s="24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42"/>
      <c r="D400" s="242"/>
      <c r="E400" s="242"/>
      <c r="F400" s="242"/>
      <c r="G400" s="242"/>
      <c r="H400" s="24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42"/>
      <c r="D401" s="242"/>
      <c r="E401" s="242"/>
      <c r="F401" s="242"/>
      <c r="G401" s="242"/>
      <c r="H401" s="24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42"/>
      <c r="D402" s="242"/>
      <c r="E402" s="242"/>
      <c r="F402" s="242"/>
      <c r="G402" s="242"/>
      <c r="H402" s="24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42"/>
      <c r="D403" s="242"/>
      <c r="E403" s="242"/>
      <c r="F403" s="242"/>
      <c r="G403" s="242"/>
      <c r="H403" s="24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42"/>
      <c r="D404" s="242"/>
      <c r="E404" s="242"/>
      <c r="F404" s="242"/>
      <c r="G404" s="242"/>
      <c r="H404" s="24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42"/>
      <c r="D405" s="242"/>
      <c r="E405" s="242"/>
      <c r="F405" s="242"/>
      <c r="G405" s="242"/>
      <c r="H405" s="24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42"/>
      <c r="D406" s="242"/>
      <c r="E406" s="242"/>
      <c r="F406" s="242"/>
      <c r="G406" s="242"/>
      <c r="H406" s="24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42"/>
      <c r="D407" s="242"/>
      <c r="E407" s="242"/>
      <c r="F407" s="242"/>
      <c r="G407" s="242"/>
      <c r="H407" s="24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42"/>
      <c r="D408" s="242"/>
      <c r="E408" s="242"/>
      <c r="F408" s="242"/>
      <c r="G408" s="242"/>
      <c r="H408" s="24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42"/>
      <c r="D409" s="242"/>
      <c r="E409" s="242"/>
      <c r="F409" s="242"/>
      <c r="G409" s="242"/>
      <c r="H409" s="24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42"/>
      <c r="D410" s="242"/>
      <c r="E410" s="242"/>
      <c r="F410" s="242"/>
      <c r="G410" s="242"/>
      <c r="H410" s="24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42"/>
      <c r="D411" s="242"/>
      <c r="E411" s="242"/>
      <c r="F411" s="242"/>
      <c r="G411" s="242"/>
      <c r="H411" s="24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42"/>
      <c r="D412" s="242"/>
      <c r="E412" s="242"/>
      <c r="F412" s="242"/>
      <c r="G412" s="242"/>
      <c r="H412" s="24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42"/>
      <c r="D413" s="242"/>
      <c r="E413" s="242"/>
      <c r="F413" s="242"/>
      <c r="G413" s="242"/>
      <c r="H413" s="24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42"/>
      <c r="D414" s="242"/>
      <c r="E414" s="242"/>
      <c r="F414" s="242"/>
      <c r="G414" s="242"/>
      <c r="H414" s="24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42"/>
      <c r="D415" s="242"/>
      <c r="E415" s="242"/>
      <c r="F415" s="242"/>
      <c r="G415" s="242"/>
      <c r="H415" s="24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42"/>
      <c r="D416" s="242"/>
      <c r="E416" s="242"/>
      <c r="F416" s="242"/>
      <c r="G416" s="242"/>
      <c r="H416" s="24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42"/>
      <c r="D417" s="242"/>
      <c r="E417" s="242"/>
      <c r="F417" s="242"/>
      <c r="G417" s="242"/>
      <c r="H417" s="24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42"/>
      <c r="D418" s="242"/>
      <c r="E418" s="242"/>
      <c r="F418" s="242"/>
      <c r="G418" s="242"/>
      <c r="H418" s="24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42"/>
      <c r="D419" s="242"/>
      <c r="E419" s="242"/>
      <c r="F419" s="242"/>
      <c r="G419" s="242"/>
      <c r="H419" s="24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42"/>
      <c r="D420" s="242"/>
      <c r="E420" s="242"/>
      <c r="F420" s="242"/>
      <c r="G420" s="242"/>
      <c r="H420" s="24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42"/>
      <c r="D421" s="242"/>
      <c r="E421" s="242"/>
      <c r="F421" s="242"/>
      <c r="G421" s="242"/>
      <c r="H421" s="24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42"/>
      <c r="D422" s="242"/>
      <c r="E422" s="242"/>
      <c r="F422" s="242"/>
      <c r="G422" s="242"/>
      <c r="H422" s="24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42"/>
      <c r="D423" s="242"/>
      <c r="E423" s="242"/>
      <c r="F423" s="242"/>
      <c r="G423" s="242"/>
      <c r="H423" s="24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42"/>
      <c r="D424" s="242"/>
      <c r="E424" s="242"/>
      <c r="F424" s="242"/>
      <c r="G424" s="242"/>
      <c r="H424" s="24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42"/>
      <c r="D425" s="242"/>
      <c r="E425" s="242"/>
      <c r="F425" s="242"/>
      <c r="G425" s="242"/>
      <c r="H425" s="24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42"/>
      <c r="D426" s="242"/>
      <c r="E426" s="242"/>
      <c r="F426" s="242"/>
      <c r="G426" s="242"/>
      <c r="H426" s="24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42"/>
      <c r="D427" s="242"/>
      <c r="E427" s="242"/>
      <c r="F427" s="242"/>
      <c r="G427" s="242"/>
      <c r="H427" s="24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42"/>
      <c r="D428" s="242"/>
      <c r="E428" s="242"/>
      <c r="F428" s="242"/>
      <c r="G428" s="242"/>
      <c r="H428" s="24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42"/>
      <c r="D429" s="242"/>
      <c r="E429" s="242"/>
      <c r="F429" s="242"/>
      <c r="G429" s="242"/>
      <c r="H429" s="24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42"/>
      <c r="D430" s="242"/>
      <c r="E430" s="242"/>
      <c r="F430" s="242"/>
      <c r="G430" s="242"/>
      <c r="H430" s="24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42"/>
      <c r="D431" s="242"/>
      <c r="E431" s="242"/>
      <c r="F431" s="242"/>
      <c r="G431" s="242"/>
      <c r="H431" s="24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42"/>
      <c r="D432" s="242"/>
      <c r="E432" s="242"/>
      <c r="F432" s="242"/>
      <c r="G432" s="242"/>
      <c r="H432" s="24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42"/>
      <c r="D433" s="242"/>
      <c r="E433" s="242"/>
      <c r="F433" s="242"/>
      <c r="G433" s="242"/>
      <c r="H433" s="24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42"/>
      <c r="D434" s="242"/>
      <c r="E434" s="242"/>
      <c r="F434" s="242"/>
      <c r="G434" s="242"/>
      <c r="H434" s="24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42"/>
      <c r="D435" s="242"/>
      <c r="E435" s="242"/>
      <c r="F435" s="242"/>
      <c r="G435" s="242"/>
      <c r="H435" s="24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42"/>
      <c r="D436" s="242"/>
      <c r="E436" s="242"/>
      <c r="F436" s="242"/>
      <c r="G436" s="242"/>
      <c r="H436" s="24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42"/>
      <c r="D437" s="242"/>
      <c r="E437" s="242"/>
      <c r="F437" s="242"/>
      <c r="G437" s="242"/>
      <c r="H437" s="24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42"/>
      <c r="D438" s="242"/>
      <c r="E438" s="242"/>
      <c r="F438" s="242"/>
      <c r="G438" s="242"/>
      <c r="H438" s="24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42"/>
      <c r="D439" s="242"/>
      <c r="E439" s="242"/>
      <c r="F439" s="242"/>
      <c r="G439" s="242"/>
      <c r="H439" s="24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42"/>
      <c r="D440" s="242"/>
      <c r="E440" s="242"/>
      <c r="F440" s="242"/>
      <c r="G440" s="242"/>
      <c r="H440" s="24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42"/>
      <c r="D441" s="242"/>
      <c r="E441" s="242"/>
      <c r="F441" s="242"/>
      <c r="G441" s="242"/>
      <c r="H441" s="24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42"/>
      <c r="D442" s="242"/>
      <c r="E442" s="242"/>
      <c r="F442" s="242"/>
      <c r="G442" s="242"/>
      <c r="H442" s="24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42"/>
      <c r="D443" s="242"/>
      <c r="E443" s="242"/>
      <c r="F443" s="242"/>
      <c r="G443" s="242"/>
      <c r="H443" s="24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42"/>
      <c r="D444" s="242"/>
      <c r="E444" s="242"/>
      <c r="F444" s="242"/>
      <c r="G444" s="242"/>
      <c r="H444" s="24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42"/>
      <c r="D445" s="242"/>
      <c r="E445" s="242"/>
      <c r="F445" s="242"/>
      <c r="G445" s="242"/>
      <c r="H445" s="24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42"/>
      <c r="D446" s="242"/>
      <c r="E446" s="242"/>
      <c r="F446" s="242"/>
      <c r="G446" s="242"/>
      <c r="H446" s="24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42"/>
      <c r="D447" s="242"/>
      <c r="E447" s="242"/>
      <c r="F447" s="242"/>
      <c r="G447" s="242"/>
      <c r="H447" s="24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42"/>
      <c r="D448" s="242"/>
      <c r="E448" s="242"/>
      <c r="F448" s="242"/>
      <c r="G448" s="242"/>
      <c r="H448" s="24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42"/>
      <c r="D449" s="242"/>
      <c r="E449" s="242"/>
      <c r="F449" s="242"/>
      <c r="G449" s="242"/>
      <c r="H449" s="24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42"/>
      <c r="D450" s="242"/>
      <c r="E450" s="242"/>
      <c r="F450" s="242"/>
      <c r="G450" s="242"/>
      <c r="H450" s="24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42"/>
      <c r="D451" s="242"/>
      <c r="E451" s="242"/>
      <c r="F451" s="242"/>
      <c r="G451" s="242"/>
      <c r="H451" s="24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42"/>
      <c r="D452" s="242"/>
      <c r="E452" s="242"/>
      <c r="F452" s="242"/>
      <c r="G452" s="242"/>
      <c r="H452" s="24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42"/>
      <c r="D453" s="242"/>
      <c r="E453" s="242"/>
      <c r="F453" s="242"/>
      <c r="G453" s="242"/>
      <c r="H453" s="24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42"/>
      <c r="D454" s="242"/>
      <c r="E454" s="242"/>
      <c r="F454" s="242"/>
      <c r="G454" s="242"/>
      <c r="H454" s="24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42"/>
      <c r="D455" s="242"/>
      <c r="E455" s="242"/>
      <c r="F455" s="242"/>
      <c r="G455" s="242"/>
      <c r="H455" s="24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42"/>
      <c r="D456" s="242"/>
      <c r="E456" s="242"/>
      <c r="F456" s="242"/>
      <c r="G456" s="242"/>
      <c r="H456" s="24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42"/>
      <c r="D457" s="242"/>
      <c r="E457" s="242"/>
      <c r="F457" s="242"/>
      <c r="G457" s="242"/>
      <c r="H457" s="24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42"/>
      <c r="D458" s="242"/>
      <c r="E458" s="242"/>
      <c r="F458" s="242"/>
      <c r="G458" s="242"/>
      <c r="H458" s="24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42"/>
      <c r="D459" s="242"/>
      <c r="E459" s="242"/>
      <c r="F459" s="242"/>
      <c r="G459" s="242"/>
      <c r="H459" s="24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42"/>
      <c r="D460" s="242"/>
      <c r="E460" s="242"/>
      <c r="F460" s="242"/>
      <c r="G460" s="242"/>
      <c r="H460" s="24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42"/>
      <c r="D461" s="242"/>
      <c r="E461" s="242"/>
      <c r="F461" s="242"/>
      <c r="G461" s="242"/>
      <c r="H461" s="24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42"/>
      <c r="D462" s="242"/>
      <c r="E462" s="242"/>
      <c r="F462" s="242"/>
      <c r="G462" s="242"/>
      <c r="H462" s="24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42"/>
      <c r="D463" s="242"/>
      <c r="E463" s="242"/>
      <c r="F463" s="242"/>
      <c r="G463" s="242"/>
      <c r="H463" s="24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42"/>
      <c r="D464" s="242"/>
      <c r="E464" s="242"/>
      <c r="F464" s="242"/>
      <c r="G464" s="242"/>
      <c r="H464" s="24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42"/>
      <c r="D465" s="242"/>
      <c r="E465" s="242"/>
      <c r="F465" s="242"/>
      <c r="G465" s="242"/>
      <c r="H465" s="24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42"/>
      <c r="D466" s="242"/>
      <c r="E466" s="242"/>
      <c r="F466" s="242"/>
      <c r="G466" s="242"/>
      <c r="H466" s="24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42"/>
      <c r="D467" s="242"/>
      <c r="E467" s="242"/>
      <c r="F467" s="242"/>
      <c r="G467" s="242"/>
      <c r="H467" s="24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42"/>
      <c r="D468" s="242"/>
      <c r="E468" s="242"/>
      <c r="F468" s="242"/>
      <c r="G468" s="242"/>
      <c r="H468" s="24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42"/>
      <c r="D469" s="242"/>
      <c r="E469" s="242"/>
      <c r="F469" s="242"/>
      <c r="G469" s="242"/>
      <c r="H469" s="24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42"/>
      <c r="D470" s="242"/>
      <c r="E470" s="242"/>
      <c r="F470" s="242"/>
      <c r="G470" s="242"/>
      <c r="H470" s="24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42"/>
      <c r="D471" s="242"/>
      <c r="E471" s="242"/>
      <c r="F471" s="242"/>
      <c r="G471" s="242"/>
      <c r="H471" s="24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42"/>
      <c r="D472" s="242"/>
      <c r="E472" s="242"/>
      <c r="F472" s="242"/>
      <c r="G472" s="242"/>
      <c r="H472" s="24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42"/>
      <c r="D473" s="242"/>
      <c r="E473" s="242"/>
      <c r="F473" s="242"/>
      <c r="G473" s="242"/>
      <c r="H473" s="24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42"/>
      <c r="D474" s="242"/>
      <c r="E474" s="242"/>
      <c r="F474" s="242"/>
      <c r="G474" s="242"/>
      <c r="H474" s="24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42"/>
      <c r="D475" s="242"/>
      <c r="E475" s="242"/>
      <c r="F475" s="242"/>
      <c r="G475" s="242"/>
      <c r="H475" s="24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42"/>
      <c r="D476" s="242"/>
      <c r="E476" s="242"/>
      <c r="F476" s="242"/>
      <c r="G476" s="242"/>
      <c r="H476" s="24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42"/>
      <c r="D477" s="242"/>
      <c r="E477" s="242"/>
      <c r="F477" s="242"/>
      <c r="G477" s="242"/>
      <c r="H477" s="24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42"/>
      <c r="D478" s="242"/>
      <c r="E478" s="242"/>
      <c r="F478" s="242"/>
      <c r="G478" s="242"/>
      <c r="H478" s="24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42"/>
      <c r="D479" s="242"/>
      <c r="E479" s="242"/>
      <c r="F479" s="242"/>
      <c r="G479" s="242"/>
      <c r="H479" s="24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42"/>
      <c r="D480" s="242"/>
      <c r="E480" s="242"/>
      <c r="F480" s="242"/>
      <c r="G480" s="242"/>
      <c r="H480" s="24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42"/>
      <c r="D481" s="242"/>
      <c r="E481" s="242"/>
      <c r="F481" s="242"/>
      <c r="G481" s="242"/>
      <c r="H481" s="24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42"/>
      <c r="D482" s="242"/>
      <c r="E482" s="242"/>
      <c r="F482" s="242"/>
      <c r="G482" s="242"/>
      <c r="H482" s="24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42"/>
      <c r="D483" s="242"/>
      <c r="E483" s="242"/>
      <c r="F483" s="242"/>
      <c r="G483" s="242"/>
      <c r="H483" s="24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42"/>
      <c r="D484" s="242"/>
      <c r="E484" s="242"/>
      <c r="F484" s="242"/>
      <c r="G484" s="242"/>
      <c r="H484" s="24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42"/>
      <c r="D485" s="242"/>
      <c r="E485" s="242"/>
      <c r="F485" s="242"/>
      <c r="G485" s="242"/>
      <c r="H485" s="24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42"/>
      <c r="D486" s="242"/>
      <c r="E486" s="242"/>
      <c r="F486" s="242"/>
      <c r="G486" s="242"/>
      <c r="H486" s="24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42"/>
      <c r="D487" s="242"/>
      <c r="E487" s="242"/>
      <c r="F487" s="242"/>
      <c r="G487" s="242"/>
      <c r="H487" s="24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42"/>
      <c r="D488" s="242"/>
      <c r="E488" s="242"/>
      <c r="F488" s="242"/>
      <c r="G488" s="242"/>
      <c r="H488" s="24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42"/>
      <c r="D489" s="242"/>
      <c r="E489" s="242"/>
      <c r="F489" s="242"/>
      <c r="G489" s="242"/>
      <c r="H489" s="24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42"/>
      <c r="D490" s="242"/>
      <c r="E490" s="242"/>
      <c r="F490" s="242"/>
      <c r="G490" s="242"/>
      <c r="H490" s="24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42"/>
      <c r="D491" s="242"/>
      <c r="E491" s="242"/>
      <c r="F491" s="242"/>
      <c r="G491" s="242"/>
      <c r="H491" s="24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42"/>
      <c r="D492" s="242"/>
      <c r="E492" s="242"/>
      <c r="F492" s="242"/>
      <c r="G492" s="242"/>
      <c r="H492" s="24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42"/>
      <c r="D493" s="242"/>
      <c r="E493" s="242"/>
      <c r="F493" s="242"/>
      <c r="G493" s="242"/>
      <c r="H493" s="24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42"/>
      <c r="D494" s="242"/>
      <c r="E494" s="242"/>
      <c r="F494" s="242"/>
      <c r="G494" s="242"/>
      <c r="H494" s="24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42"/>
      <c r="D495" s="242"/>
      <c r="E495" s="242"/>
      <c r="F495" s="242"/>
      <c r="G495" s="242"/>
      <c r="H495" s="24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42"/>
      <c r="D496" s="242"/>
      <c r="E496" s="242"/>
      <c r="F496" s="242"/>
      <c r="G496" s="242"/>
      <c r="H496" s="24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42"/>
      <c r="D497" s="242"/>
      <c r="E497" s="242"/>
      <c r="F497" s="242"/>
      <c r="G497" s="242"/>
      <c r="H497" s="24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42"/>
      <c r="D498" s="242"/>
      <c r="E498" s="242"/>
      <c r="F498" s="242"/>
      <c r="G498" s="242"/>
      <c r="H498" s="24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42"/>
      <c r="D499" s="242"/>
      <c r="E499" s="242"/>
      <c r="F499" s="242"/>
      <c r="G499" s="242"/>
      <c r="H499" s="24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42"/>
      <c r="D500" s="242"/>
      <c r="E500" s="242"/>
      <c r="F500" s="242"/>
      <c r="G500" s="242"/>
      <c r="H500" s="24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42"/>
      <c r="D501" s="242"/>
      <c r="E501" s="242"/>
      <c r="F501" s="242"/>
      <c r="G501" s="242"/>
      <c r="H501" s="24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42"/>
      <c r="D502" s="242"/>
      <c r="E502" s="242"/>
      <c r="F502" s="242"/>
      <c r="G502" s="242"/>
      <c r="H502" s="24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42"/>
      <c r="D503" s="242"/>
      <c r="E503" s="242"/>
      <c r="F503" s="242"/>
      <c r="G503" s="242"/>
      <c r="H503" s="24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42"/>
      <c r="D504" s="242"/>
      <c r="E504" s="242"/>
      <c r="F504" s="242"/>
      <c r="G504" s="242"/>
      <c r="H504" s="24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42"/>
      <c r="D505" s="242"/>
      <c r="E505" s="242"/>
      <c r="F505" s="242"/>
      <c r="G505" s="242"/>
      <c r="H505" s="24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42"/>
      <c r="D506" s="242"/>
      <c r="E506" s="242"/>
      <c r="F506" s="242"/>
      <c r="G506" s="242"/>
      <c r="H506" s="24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42"/>
      <c r="D507" s="242"/>
      <c r="E507" s="242"/>
      <c r="F507" s="242"/>
      <c r="G507" s="242"/>
      <c r="H507" s="24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42"/>
      <c r="D508" s="242"/>
      <c r="E508" s="242"/>
      <c r="F508" s="242"/>
      <c r="G508" s="242"/>
      <c r="H508" s="24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42"/>
      <c r="D509" s="242"/>
      <c r="E509" s="242"/>
      <c r="F509" s="242"/>
      <c r="G509" s="242"/>
      <c r="H509" s="24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42"/>
      <c r="D510" s="242"/>
      <c r="E510" s="242"/>
      <c r="F510" s="242"/>
      <c r="G510" s="242"/>
      <c r="H510" s="24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42"/>
      <c r="D511" s="242"/>
      <c r="E511" s="242"/>
      <c r="F511" s="242"/>
      <c r="G511" s="242"/>
      <c r="H511" s="24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42"/>
      <c r="D512" s="242"/>
      <c r="E512" s="242"/>
      <c r="F512" s="242"/>
      <c r="G512" s="242"/>
      <c r="H512" s="24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42"/>
      <c r="D513" s="242"/>
      <c r="E513" s="242"/>
      <c r="F513" s="242"/>
      <c r="G513" s="242"/>
      <c r="H513" s="24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42"/>
      <c r="D514" s="242"/>
      <c r="E514" s="242"/>
      <c r="F514" s="242"/>
      <c r="G514" s="242"/>
      <c r="H514" s="24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42"/>
      <c r="D515" s="242"/>
      <c r="E515" s="242"/>
      <c r="F515" s="242"/>
      <c r="G515" s="242"/>
      <c r="H515" s="24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42"/>
      <c r="D516" s="242"/>
      <c r="E516" s="242"/>
      <c r="F516" s="242"/>
      <c r="G516" s="242"/>
      <c r="H516" s="24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42"/>
      <c r="D517" s="242"/>
      <c r="E517" s="242"/>
      <c r="F517" s="242"/>
      <c r="G517" s="242"/>
      <c r="H517" s="24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42"/>
      <c r="D518" s="242"/>
      <c r="E518" s="242"/>
      <c r="F518" s="242"/>
      <c r="G518" s="242"/>
      <c r="H518" s="24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42"/>
      <c r="D519" s="242"/>
      <c r="E519" s="242"/>
      <c r="F519" s="242"/>
      <c r="G519" s="242"/>
      <c r="H519" s="24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42"/>
      <c r="D520" s="242"/>
      <c r="E520" s="242"/>
      <c r="F520" s="242"/>
      <c r="G520" s="242"/>
      <c r="H520" s="24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42"/>
      <c r="D521" s="242"/>
      <c r="E521" s="242"/>
      <c r="F521" s="242"/>
      <c r="G521" s="242"/>
      <c r="H521" s="24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42"/>
      <c r="D522" s="242"/>
      <c r="E522" s="242"/>
      <c r="F522" s="242"/>
      <c r="G522" s="242"/>
      <c r="H522" s="24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42"/>
      <c r="D523" s="242"/>
      <c r="E523" s="242"/>
      <c r="F523" s="242"/>
      <c r="G523" s="242"/>
      <c r="H523" s="24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42"/>
      <c r="D524" s="242"/>
      <c r="E524" s="242"/>
      <c r="F524" s="242"/>
      <c r="G524" s="242"/>
      <c r="H524" s="24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42"/>
      <c r="D525" s="242"/>
      <c r="E525" s="242"/>
      <c r="F525" s="242"/>
      <c r="G525" s="242"/>
      <c r="H525" s="24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42"/>
      <c r="D526" s="242"/>
      <c r="E526" s="242"/>
      <c r="F526" s="242"/>
      <c r="G526" s="242"/>
      <c r="H526" s="24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42"/>
      <c r="D527" s="242"/>
      <c r="E527" s="242"/>
      <c r="F527" s="242"/>
      <c r="G527" s="242"/>
      <c r="H527" s="24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42"/>
      <c r="D528" s="242"/>
      <c r="E528" s="242"/>
      <c r="F528" s="242"/>
      <c r="G528" s="242"/>
      <c r="H528" s="24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42"/>
      <c r="D529" s="242"/>
      <c r="E529" s="242"/>
      <c r="F529" s="242"/>
      <c r="G529" s="242"/>
      <c r="H529" s="24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42"/>
      <c r="D530" s="242"/>
      <c r="E530" s="242"/>
      <c r="F530" s="242"/>
      <c r="G530" s="242"/>
      <c r="H530" s="24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42"/>
      <c r="D531" s="242"/>
      <c r="E531" s="242"/>
      <c r="F531" s="242"/>
      <c r="G531" s="242"/>
      <c r="H531" s="24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42"/>
      <c r="D532" s="242"/>
      <c r="E532" s="242"/>
      <c r="F532" s="242"/>
      <c r="G532" s="242"/>
      <c r="H532" s="24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42"/>
      <c r="D533" s="242"/>
      <c r="E533" s="242"/>
      <c r="F533" s="242"/>
      <c r="G533" s="242"/>
      <c r="H533" s="24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42"/>
      <c r="D534" s="242"/>
      <c r="E534" s="242"/>
      <c r="F534" s="242"/>
      <c r="G534" s="242"/>
      <c r="H534" s="24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42"/>
      <c r="D535" s="242"/>
      <c r="E535" s="242"/>
      <c r="F535" s="242"/>
      <c r="G535" s="242"/>
      <c r="H535" s="24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42"/>
      <c r="D536" s="242"/>
      <c r="E536" s="242"/>
      <c r="F536" s="242"/>
      <c r="G536" s="242"/>
      <c r="H536" s="24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42"/>
      <c r="D537" s="242"/>
      <c r="E537" s="242"/>
      <c r="F537" s="242"/>
      <c r="G537" s="242"/>
      <c r="H537" s="24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42"/>
      <c r="D538" s="242"/>
      <c r="E538" s="242"/>
      <c r="F538" s="242"/>
      <c r="G538" s="242"/>
      <c r="H538" s="24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42"/>
      <c r="D539" s="242"/>
      <c r="E539" s="242"/>
      <c r="F539" s="242"/>
      <c r="G539" s="242"/>
      <c r="H539" s="24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42"/>
      <c r="D540" s="242"/>
      <c r="E540" s="242"/>
      <c r="F540" s="242"/>
      <c r="G540" s="242"/>
      <c r="H540" s="24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42"/>
      <c r="D541" s="242"/>
      <c r="E541" s="242"/>
      <c r="F541" s="242"/>
      <c r="G541" s="242"/>
      <c r="H541" s="24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42"/>
      <c r="D542" s="242"/>
      <c r="E542" s="242"/>
      <c r="F542" s="242"/>
      <c r="G542" s="242"/>
      <c r="H542" s="24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42"/>
      <c r="D543" s="242"/>
      <c r="E543" s="242"/>
      <c r="F543" s="242"/>
      <c r="G543" s="242"/>
      <c r="H543" s="24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42"/>
      <c r="D544" s="242"/>
      <c r="E544" s="242"/>
      <c r="F544" s="242"/>
      <c r="G544" s="242"/>
      <c r="H544" s="24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42"/>
      <c r="D545" s="242"/>
      <c r="E545" s="242"/>
      <c r="F545" s="242"/>
      <c r="G545" s="242"/>
      <c r="H545" s="24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42"/>
      <c r="D546" s="242"/>
      <c r="E546" s="242"/>
      <c r="F546" s="242"/>
      <c r="G546" s="242"/>
      <c r="H546" s="24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42"/>
      <c r="D547" s="242"/>
      <c r="E547" s="242"/>
      <c r="F547" s="242"/>
      <c r="G547" s="242"/>
      <c r="H547" s="24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42"/>
      <c r="D548" s="242"/>
      <c r="E548" s="242"/>
      <c r="F548" s="242"/>
      <c r="G548" s="242"/>
      <c r="H548" s="24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42"/>
      <c r="D549" s="242"/>
      <c r="E549" s="242"/>
      <c r="F549" s="242"/>
      <c r="G549" s="242"/>
      <c r="H549" s="24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42"/>
      <c r="D550" s="242"/>
      <c r="E550" s="242"/>
      <c r="F550" s="242"/>
      <c r="G550" s="242"/>
      <c r="H550" s="24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42"/>
      <c r="D551" s="242"/>
      <c r="E551" s="242"/>
      <c r="F551" s="242"/>
      <c r="G551" s="242"/>
      <c r="H551" s="24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42"/>
      <c r="D552" s="242"/>
      <c r="E552" s="242"/>
      <c r="F552" s="242"/>
      <c r="G552" s="242"/>
      <c r="H552" s="24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42"/>
      <c r="D553" s="242"/>
      <c r="E553" s="242"/>
      <c r="F553" s="242"/>
      <c r="G553" s="242"/>
      <c r="H553" s="24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42"/>
      <c r="D554" s="242"/>
      <c r="E554" s="242"/>
      <c r="F554" s="242"/>
      <c r="G554" s="242"/>
      <c r="H554" s="24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42"/>
      <c r="D555" s="242"/>
      <c r="E555" s="242"/>
      <c r="F555" s="242"/>
      <c r="G555" s="242"/>
      <c r="H555" s="24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42"/>
      <c r="D556" s="242"/>
      <c r="E556" s="242"/>
      <c r="F556" s="242"/>
      <c r="G556" s="242"/>
      <c r="H556" s="24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42"/>
      <c r="D557" s="242"/>
      <c r="E557" s="242"/>
      <c r="F557" s="242"/>
      <c r="G557" s="242"/>
      <c r="H557" s="24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42"/>
      <c r="D558" s="242"/>
      <c r="E558" s="242"/>
      <c r="F558" s="242"/>
      <c r="G558" s="242"/>
      <c r="H558" s="24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42"/>
      <c r="D559" s="242"/>
      <c r="E559" s="242"/>
      <c r="F559" s="242"/>
      <c r="G559" s="242"/>
      <c r="H559" s="24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42"/>
      <c r="D560" s="242"/>
      <c r="E560" s="242"/>
      <c r="F560" s="242"/>
      <c r="G560" s="242"/>
      <c r="H560" s="24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42"/>
      <c r="D561" s="242"/>
      <c r="E561" s="242"/>
      <c r="F561" s="242"/>
      <c r="G561" s="242"/>
      <c r="H561" s="24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42"/>
      <c r="D562" s="242"/>
      <c r="E562" s="242"/>
      <c r="F562" s="242"/>
      <c r="G562" s="242"/>
      <c r="H562" s="24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42"/>
      <c r="D563" s="242"/>
      <c r="E563" s="242"/>
      <c r="F563" s="242"/>
      <c r="G563" s="242"/>
      <c r="H563" s="24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42"/>
      <c r="D564" s="242"/>
      <c r="E564" s="242"/>
      <c r="F564" s="242"/>
      <c r="G564" s="242"/>
      <c r="H564" s="24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42"/>
      <c r="D565" s="242"/>
      <c r="E565" s="242"/>
      <c r="F565" s="242"/>
      <c r="G565" s="242"/>
      <c r="H565" s="24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42"/>
      <c r="D566" s="242"/>
      <c r="E566" s="242"/>
      <c r="F566" s="242"/>
      <c r="G566" s="242"/>
      <c r="H566" s="24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42"/>
      <c r="D567" s="242"/>
      <c r="E567" s="242"/>
      <c r="F567" s="242"/>
      <c r="G567" s="242"/>
      <c r="H567" s="24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42"/>
      <c r="D568" s="242"/>
      <c r="E568" s="242"/>
      <c r="F568" s="242"/>
      <c r="G568" s="242"/>
      <c r="H568" s="24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42"/>
      <c r="D569" s="242"/>
      <c r="E569" s="242"/>
      <c r="F569" s="242"/>
      <c r="G569" s="242"/>
      <c r="H569" s="24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42"/>
      <c r="D570" s="242"/>
      <c r="E570" s="242"/>
      <c r="F570" s="242"/>
      <c r="G570" s="242"/>
      <c r="H570" s="24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42"/>
      <c r="D571" s="242"/>
      <c r="E571" s="242"/>
      <c r="F571" s="242"/>
      <c r="G571" s="242"/>
      <c r="H571" s="24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42"/>
      <c r="D572" s="242"/>
      <c r="E572" s="242"/>
      <c r="F572" s="242"/>
      <c r="G572" s="242"/>
      <c r="H572" s="24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42"/>
      <c r="D573" s="242"/>
      <c r="E573" s="242"/>
      <c r="F573" s="242"/>
      <c r="G573" s="242"/>
      <c r="H573" s="24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42"/>
      <c r="D574" s="242"/>
      <c r="E574" s="242"/>
      <c r="F574" s="242"/>
      <c r="G574" s="242"/>
      <c r="H574" s="24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42"/>
      <c r="D575" s="242"/>
      <c r="E575" s="242"/>
      <c r="F575" s="242"/>
      <c r="G575" s="242"/>
      <c r="H575" s="24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42"/>
      <c r="D576" s="242"/>
      <c r="E576" s="242"/>
      <c r="F576" s="242"/>
      <c r="G576" s="242"/>
      <c r="H576" s="24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42"/>
      <c r="D577" s="242"/>
      <c r="E577" s="242"/>
      <c r="F577" s="242"/>
      <c r="G577" s="242"/>
      <c r="H577" s="24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42"/>
      <c r="D578" s="242"/>
      <c r="E578" s="242"/>
      <c r="F578" s="242"/>
      <c r="G578" s="242"/>
      <c r="H578" s="24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42"/>
      <c r="D579" s="242"/>
      <c r="E579" s="242"/>
      <c r="F579" s="242"/>
      <c r="G579" s="242"/>
      <c r="H579" s="24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42"/>
      <c r="D580" s="242"/>
      <c r="E580" s="242"/>
      <c r="F580" s="242"/>
      <c r="G580" s="242"/>
      <c r="H580" s="24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42"/>
      <c r="D581" s="242"/>
      <c r="E581" s="242"/>
      <c r="F581" s="242"/>
      <c r="G581" s="242"/>
      <c r="H581" s="24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42"/>
      <c r="D582" s="242"/>
      <c r="E582" s="242"/>
      <c r="F582" s="242"/>
      <c r="G582" s="242"/>
      <c r="H582" s="24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42"/>
      <c r="D583" s="242"/>
      <c r="E583" s="242"/>
      <c r="F583" s="242"/>
      <c r="G583" s="242"/>
      <c r="H583" s="24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42"/>
      <c r="D584" s="242"/>
      <c r="E584" s="242"/>
      <c r="F584" s="242"/>
      <c r="G584" s="242"/>
      <c r="H584" s="24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42"/>
      <c r="D585" s="242"/>
      <c r="E585" s="242"/>
      <c r="F585" s="242"/>
      <c r="G585" s="242"/>
      <c r="H585" s="24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42"/>
      <c r="D586" s="242"/>
      <c r="E586" s="242"/>
      <c r="F586" s="242"/>
      <c r="G586" s="242"/>
      <c r="H586" s="24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42"/>
      <c r="D587" s="242"/>
      <c r="E587" s="242"/>
      <c r="F587" s="242"/>
      <c r="G587" s="242"/>
      <c r="H587" s="24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42"/>
      <c r="D588" s="242"/>
      <c r="E588" s="242"/>
      <c r="F588" s="242"/>
      <c r="G588" s="242"/>
      <c r="H588" s="24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42"/>
      <c r="D589" s="242"/>
      <c r="E589" s="242"/>
      <c r="F589" s="242"/>
      <c r="G589" s="242"/>
      <c r="H589" s="24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42"/>
      <c r="D590" s="242"/>
      <c r="E590" s="242"/>
      <c r="F590" s="242"/>
      <c r="G590" s="242"/>
      <c r="H590" s="24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42"/>
      <c r="D591" s="242"/>
      <c r="E591" s="242"/>
      <c r="F591" s="242"/>
      <c r="G591" s="242"/>
      <c r="H591" s="24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42"/>
      <c r="D592" s="242"/>
      <c r="E592" s="242"/>
      <c r="F592" s="242"/>
      <c r="G592" s="242"/>
      <c r="H592" s="24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42"/>
      <c r="D593" s="242"/>
      <c r="E593" s="242"/>
      <c r="F593" s="242"/>
      <c r="G593" s="242"/>
      <c r="H593" s="24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42"/>
      <c r="D594" s="242"/>
      <c r="E594" s="242"/>
      <c r="F594" s="242"/>
      <c r="G594" s="242"/>
      <c r="H594" s="24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42"/>
      <c r="D595" s="242"/>
      <c r="E595" s="242"/>
      <c r="F595" s="242"/>
      <c r="G595" s="242"/>
      <c r="H595" s="24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42"/>
      <c r="D596" s="242"/>
      <c r="E596" s="242"/>
      <c r="F596" s="242"/>
      <c r="G596" s="242"/>
      <c r="H596" s="24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42"/>
      <c r="D597" s="242"/>
      <c r="E597" s="242"/>
      <c r="F597" s="242"/>
      <c r="G597" s="242"/>
      <c r="H597" s="24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42"/>
      <c r="D598" s="242"/>
      <c r="E598" s="242"/>
      <c r="F598" s="242"/>
      <c r="G598" s="242"/>
      <c r="H598" s="24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42"/>
      <c r="D599" s="242"/>
      <c r="E599" s="242"/>
      <c r="F599" s="242"/>
      <c r="G599" s="242"/>
      <c r="H599" s="24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42"/>
      <c r="D600" s="242"/>
      <c r="E600" s="242"/>
      <c r="F600" s="242"/>
      <c r="G600" s="242"/>
      <c r="H600" s="24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42"/>
      <c r="D601" s="242"/>
      <c r="E601" s="242"/>
      <c r="F601" s="242"/>
      <c r="G601" s="242"/>
      <c r="H601" s="24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42"/>
      <c r="D602" s="242"/>
      <c r="E602" s="242"/>
      <c r="F602" s="242"/>
      <c r="G602" s="242"/>
      <c r="H602" s="24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42"/>
      <c r="D603" s="242"/>
      <c r="E603" s="242"/>
      <c r="F603" s="242"/>
      <c r="G603" s="242"/>
      <c r="H603" s="24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42"/>
      <c r="D604" s="242"/>
      <c r="E604" s="242"/>
      <c r="F604" s="242"/>
      <c r="G604" s="242"/>
      <c r="H604" s="24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42"/>
      <c r="D605" s="242"/>
      <c r="E605" s="242"/>
      <c r="F605" s="242"/>
      <c r="G605" s="242"/>
      <c r="H605" s="24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42"/>
      <c r="D606" s="242"/>
      <c r="E606" s="242"/>
      <c r="F606" s="242"/>
      <c r="G606" s="242"/>
      <c r="H606" s="24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42"/>
      <c r="D607" s="242"/>
      <c r="E607" s="242"/>
      <c r="F607" s="242"/>
      <c r="G607" s="242"/>
      <c r="H607" s="24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42"/>
      <c r="D608" s="242"/>
      <c r="E608" s="242"/>
      <c r="F608" s="242"/>
      <c r="G608" s="242"/>
      <c r="H608" s="24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42"/>
      <c r="D609" s="242"/>
      <c r="E609" s="242"/>
      <c r="F609" s="242"/>
      <c r="G609" s="242"/>
      <c r="H609" s="24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42"/>
      <c r="D610" s="242"/>
      <c r="E610" s="242"/>
      <c r="F610" s="242"/>
      <c r="G610" s="242"/>
      <c r="H610" s="24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42"/>
      <c r="D611" s="242"/>
      <c r="E611" s="242"/>
      <c r="F611" s="242"/>
      <c r="G611" s="242"/>
      <c r="H611" s="24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42"/>
      <c r="D612" s="242"/>
      <c r="E612" s="242"/>
      <c r="F612" s="242"/>
      <c r="G612" s="242"/>
      <c r="H612" s="24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42"/>
      <c r="D613" s="242"/>
      <c r="E613" s="242"/>
      <c r="F613" s="242"/>
      <c r="G613" s="242"/>
      <c r="H613" s="24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42"/>
      <c r="D614" s="242"/>
      <c r="E614" s="242"/>
      <c r="F614" s="242"/>
      <c r="G614" s="242"/>
      <c r="H614" s="24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42"/>
      <c r="D615" s="242"/>
      <c r="E615" s="242"/>
      <c r="F615" s="242"/>
      <c r="G615" s="242"/>
      <c r="H615" s="24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42"/>
      <c r="D616" s="242"/>
      <c r="E616" s="242"/>
      <c r="F616" s="242"/>
      <c r="G616" s="242"/>
      <c r="H616" s="24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42"/>
      <c r="D617" s="242"/>
      <c r="E617" s="242"/>
      <c r="F617" s="242"/>
      <c r="G617" s="242"/>
      <c r="H617" s="24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</row>
    <row r="619" spans="1:42" ht="15.75" customHeight="1" x14ac:dyDescent="0.2">
      <c r="A619"/>
    </row>
    <row r="620" spans="1:42" ht="15.75" customHeight="1" x14ac:dyDescent="0.2">
      <c r="A620"/>
    </row>
    <row r="621" spans="1:42" ht="15.75" customHeight="1" x14ac:dyDescent="0.2">
      <c r="A621"/>
    </row>
    <row r="622" spans="1:42" ht="15.75" customHeight="1" x14ac:dyDescent="0.2">
      <c r="A622"/>
      <c r="C622" s="91"/>
      <c r="D622" s="91"/>
      <c r="E622" s="91"/>
      <c r="F622" s="91"/>
      <c r="G622" s="91"/>
      <c r="H622" s="91"/>
    </row>
    <row r="623" spans="1:42" ht="15.75" customHeight="1" x14ac:dyDescent="0.2">
      <c r="A623"/>
      <c r="C623" s="91"/>
      <c r="D623" s="91"/>
      <c r="E623" s="91"/>
      <c r="F623" s="91"/>
      <c r="G623" s="91"/>
      <c r="H623" s="91"/>
    </row>
    <row r="624" spans="1:42" ht="15.75" customHeight="1" x14ac:dyDescent="0.2">
      <c r="A624"/>
      <c r="C624" s="91"/>
      <c r="D624" s="91"/>
      <c r="E624" s="91"/>
      <c r="F624" s="91"/>
      <c r="G624" s="91"/>
      <c r="H624" s="91"/>
    </row>
    <row r="625" spans="1:8" ht="15.75" customHeight="1" x14ac:dyDescent="0.2">
      <c r="A625"/>
      <c r="C625" s="91"/>
      <c r="D625" s="91"/>
      <c r="E625" s="91"/>
      <c r="F625" s="91"/>
      <c r="G625" s="91"/>
      <c r="H625" s="91"/>
    </row>
    <row r="626" spans="1:8" ht="15.75" customHeight="1" x14ac:dyDescent="0.2">
      <c r="A626"/>
      <c r="C626" s="91"/>
      <c r="D626" s="91"/>
      <c r="E626" s="91"/>
      <c r="F626" s="91"/>
      <c r="G626" s="91"/>
      <c r="H626" s="91"/>
    </row>
    <row r="627" spans="1:8" ht="15.75" customHeight="1" x14ac:dyDescent="0.2">
      <c r="A627"/>
      <c r="C627" s="91"/>
      <c r="D627" s="91"/>
      <c r="E627" s="91"/>
      <c r="F627" s="91"/>
      <c r="G627" s="91"/>
      <c r="H627" s="91"/>
    </row>
    <row r="628" spans="1:8" ht="15.75" customHeight="1" x14ac:dyDescent="0.2">
      <c r="A628"/>
      <c r="C628" s="91"/>
      <c r="D628" s="91"/>
      <c r="E628" s="91"/>
      <c r="F628" s="91"/>
      <c r="G628" s="91"/>
      <c r="H628" s="91"/>
    </row>
    <row r="629" spans="1:8" ht="15.75" customHeight="1" x14ac:dyDescent="0.2">
      <c r="A629"/>
      <c r="C629" s="91"/>
      <c r="D629" s="91"/>
      <c r="E629" s="91"/>
      <c r="F629" s="91"/>
      <c r="G629" s="91"/>
      <c r="H629" s="91"/>
    </row>
    <row r="630" spans="1:8" ht="15.75" customHeight="1" x14ac:dyDescent="0.2">
      <c r="A630"/>
      <c r="C630" s="91"/>
      <c r="D630" s="91"/>
      <c r="E630" s="91"/>
      <c r="F630" s="91"/>
      <c r="G630" s="91"/>
      <c r="H630" s="91"/>
    </row>
    <row r="631" spans="1:8" ht="15.75" customHeight="1" x14ac:dyDescent="0.2">
      <c r="A631"/>
      <c r="C631" s="91"/>
      <c r="D631" s="91"/>
      <c r="E631" s="91"/>
      <c r="F631" s="91"/>
      <c r="G631" s="91"/>
      <c r="H631" s="91"/>
    </row>
    <row r="632" spans="1:8" ht="15.75" customHeight="1" x14ac:dyDescent="0.2">
      <c r="A632"/>
      <c r="C632" s="91"/>
      <c r="D632" s="91"/>
      <c r="E632" s="91"/>
      <c r="F632" s="91"/>
      <c r="G632" s="91"/>
      <c r="H632" s="91"/>
    </row>
    <row r="633" spans="1:8" ht="15.75" customHeight="1" x14ac:dyDescent="0.2">
      <c r="A633"/>
      <c r="C633" s="91"/>
      <c r="D633" s="91"/>
      <c r="E633" s="91"/>
      <c r="F633" s="91"/>
      <c r="G633" s="91"/>
      <c r="H633" s="91"/>
    </row>
    <row r="634" spans="1:8" ht="15.75" customHeight="1" x14ac:dyDescent="0.2">
      <c r="A634"/>
      <c r="C634" s="91"/>
      <c r="D634" s="91"/>
      <c r="E634" s="91"/>
      <c r="F634" s="91"/>
      <c r="G634" s="91"/>
      <c r="H634" s="91"/>
    </row>
    <row r="635" spans="1:8" ht="15.75" customHeight="1" x14ac:dyDescent="0.2">
      <c r="A635"/>
      <c r="C635" s="91"/>
      <c r="D635" s="91"/>
      <c r="E635" s="91"/>
      <c r="F635" s="91"/>
      <c r="G635" s="91"/>
      <c r="H635" s="91"/>
    </row>
    <row r="636" spans="1:8" ht="15.75" customHeight="1" x14ac:dyDescent="0.2">
      <c r="A636"/>
      <c r="C636" s="91"/>
      <c r="D636" s="91"/>
      <c r="E636" s="91"/>
      <c r="F636" s="91"/>
      <c r="G636" s="91"/>
      <c r="H636" s="91"/>
    </row>
    <row r="637" spans="1:8" ht="15.75" customHeight="1" x14ac:dyDescent="0.2">
      <c r="A637"/>
      <c r="C637" s="91"/>
      <c r="D637" s="91"/>
      <c r="E637" s="91"/>
      <c r="F637" s="91"/>
      <c r="G637" s="91"/>
      <c r="H637" s="91"/>
    </row>
    <row r="638" spans="1:8" ht="15.75" customHeight="1" x14ac:dyDescent="0.2">
      <c r="A638"/>
      <c r="C638" s="91"/>
      <c r="D638" s="91"/>
      <c r="E638" s="91"/>
      <c r="F638" s="91"/>
      <c r="G638" s="91"/>
      <c r="H638" s="91"/>
    </row>
    <row r="639" spans="1:8" ht="15.75" customHeight="1" x14ac:dyDescent="0.2">
      <c r="A639"/>
      <c r="C639" s="91"/>
      <c r="D639" s="91"/>
      <c r="E639" s="91"/>
      <c r="F639" s="91"/>
      <c r="G639" s="91"/>
      <c r="H639" s="91"/>
    </row>
    <row r="640" spans="1:8" ht="15.75" customHeight="1" x14ac:dyDescent="0.2">
      <c r="A640"/>
      <c r="C640" s="91"/>
      <c r="D640" s="91"/>
      <c r="E640" s="91"/>
      <c r="F640" s="91"/>
      <c r="G640" s="91"/>
      <c r="H640" s="91"/>
    </row>
    <row r="641" spans="1:8" ht="15.75" customHeight="1" x14ac:dyDescent="0.2">
      <c r="A641"/>
      <c r="C641" s="91"/>
      <c r="D641" s="91"/>
      <c r="E641" s="91"/>
      <c r="F641" s="91"/>
      <c r="G641" s="91"/>
      <c r="H641" s="91"/>
    </row>
    <row r="642" spans="1:8" ht="15.75" customHeight="1" x14ac:dyDescent="0.2">
      <c r="A642"/>
      <c r="C642" s="91"/>
      <c r="D642" s="91"/>
      <c r="E642" s="91"/>
      <c r="F642" s="91"/>
      <c r="G642" s="91"/>
      <c r="H642" s="91"/>
    </row>
    <row r="643" spans="1:8" ht="15.75" customHeight="1" x14ac:dyDescent="0.2">
      <c r="A643"/>
      <c r="C643" s="91"/>
      <c r="D643" s="91"/>
      <c r="E643" s="91"/>
      <c r="F643" s="91"/>
      <c r="G643" s="91"/>
      <c r="H643" s="91"/>
    </row>
    <row r="644" spans="1:8" ht="15.75" customHeight="1" x14ac:dyDescent="0.2">
      <c r="A644"/>
      <c r="C644" s="91"/>
      <c r="D644" s="91"/>
      <c r="E644" s="91"/>
      <c r="F644" s="91"/>
      <c r="G644" s="91"/>
      <c r="H644" s="91"/>
    </row>
    <row r="645" spans="1:8" ht="15.75" customHeight="1" x14ac:dyDescent="0.2">
      <c r="A645"/>
      <c r="C645" s="91"/>
      <c r="D645" s="91"/>
      <c r="E645" s="91"/>
      <c r="F645" s="91"/>
      <c r="G645" s="91"/>
      <c r="H645" s="91"/>
    </row>
    <row r="646" spans="1:8" ht="15.75" customHeight="1" x14ac:dyDescent="0.2">
      <c r="A646"/>
      <c r="C646" s="91"/>
      <c r="D646" s="91"/>
      <c r="E646" s="91"/>
      <c r="F646" s="91"/>
      <c r="G646" s="91"/>
      <c r="H646" s="91"/>
    </row>
    <row r="647" spans="1:8" ht="15.75" customHeight="1" x14ac:dyDescent="0.2">
      <c r="A647"/>
      <c r="C647" s="91"/>
      <c r="D647" s="91"/>
      <c r="E647" s="91"/>
      <c r="F647" s="91"/>
      <c r="G647" s="91"/>
      <c r="H647" s="91"/>
    </row>
    <row r="648" spans="1:8" ht="15.75" customHeight="1" x14ac:dyDescent="0.2">
      <c r="A648"/>
      <c r="C648" s="91"/>
      <c r="D648" s="91"/>
      <c r="E648" s="91"/>
      <c r="F648" s="91"/>
      <c r="G648" s="91"/>
      <c r="H648" s="91"/>
    </row>
    <row r="649" spans="1:8" ht="15.75" customHeight="1" x14ac:dyDescent="0.2">
      <c r="A649"/>
      <c r="C649" s="91"/>
      <c r="D649" s="91"/>
      <c r="E649" s="91"/>
      <c r="F649" s="91"/>
      <c r="G649" s="91"/>
      <c r="H649" s="91"/>
    </row>
    <row r="650" spans="1:8" ht="15.75" customHeight="1" x14ac:dyDescent="0.2">
      <c r="A650"/>
      <c r="C650" s="91"/>
      <c r="D650" s="91"/>
      <c r="E650" s="91"/>
      <c r="F650" s="91"/>
      <c r="G650" s="91"/>
      <c r="H650" s="91"/>
    </row>
    <row r="651" spans="1:8" ht="15.75" customHeight="1" x14ac:dyDescent="0.2">
      <c r="A651"/>
      <c r="C651" s="91"/>
      <c r="D651" s="91"/>
      <c r="E651" s="91"/>
      <c r="F651" s="91"/>
      <c r="G651" s="91"/>
      <c r="H651" s="91"/>
    </row>
    <row r="652" spans="1:8" ht="15.75" customHeight="1" x14ac:dyDescent="0.2">
      <c r="A652"/>
      <c r="C652" s="91"/>
      <c r="D652" s="91"/>
      <c r="E652" s="91"/>
      <c r="F652" s="91"/>
      <c r="G652" s="91"/>
      <c r="H652" s="91"/>
    </row>
    <row r="653" spans="1:8" ht="15.75" customHeight="1" x14ac:dyDescent="0.2">
      <c r="A653"/>
      <c r="C653" s="91"/>
      <c r="D653" s="91"/>
      <c r="E653" s="91"/>
      <c r="F653" s="91"/>
      <c r="G653" s="91"/>
      <c r="H653" s="91"/>
    </row>
    <row r="654" spans="1:8" ht="15.75" customHeight="1" x14ac:dyDescent="0.2">
      <c r="A654"/>
      <c r="C654" s="91"/>
      <c r="D654" s="91"/>
      <c r="E654" s="91"/>
      <c r="F654" s="91"/>
      <c r="G654" s="91"/>
      <c r="H654" s="91"/>
    </row>
    <row r="655" spans="1:8" ht="15.75" customHeight="1" x14ac:dyDescent="0.2">
      <c r="A655"/>
      <c r="C655" s="91"/>
      <c r="D655" s="91"/>
      <c r="E655" s="91"/>
      <c r="F655" s="91"/>
      <c r="G655" s="91"/>
      <c r="H655" s="91"/>
    </row>
    <row r="656" spans="1:8" ht="15.75" customHeight="1" x14ac:dyDescent="0.2">
      <c r="A656"/>
      <c r="C656" s="91"/>
      <c r="D656" s="91"/>
      <c r="E656" s="91"/>
      <c r="F656" s="91"/>
      <c r="G656" s="91"/>
      <c r="H656" s="91"/>
    </row>
    <row r="657" spans="1:8" ht="15.75" customHeight="1" x14ac:dyDescent="0.2">
      <c r="A657"/>
      <c r="C657" s="91"/>
      <c r="D657" s="91"/>
      <c r="E657" s="91"/>
      <c r="F657" s="91"/>
      <c r="G657" s="91"/>
      <c r="H657" s="91"/>
    </row>
    <row r="658" spans="1:8" ht="15.75" customHeight="1" x14ac:dyDescent="0.2">
      <c r="A658"/>
      <c r="C658" s="91"/>
      <c r="D658" s="91"/>
      <c r="E658" s="91"/>
      <c r="F658" s="91"/>
      <c r="G658" s="91"/>
      <c r="H658" s="91"/>
    </row>
    <row r="659" spans="1:8" ht="15.75" customHeight="1" x14ac:dyDescent="0.2">
      <c r="A659"/>
      <c r="C659" s="91"/>
      <c r="D659" s="91"/>
      <c r="E659" s="91"/>
      <c r="F659" s="91"/>
      <c r="G659" s="91"/>
      <c r="H659" s="91"/>
    </row>
    <row r="660" spans="1:8" ht="15.75" customHeight="1" x14ac:dyDescent="0.2">
      <c r="A660"/>
      <c r="C660" s="91"/>
      <c r="D660" s="91"/>
      <c r="E660" s="91"/>
      <c r="F660" s="91"/>
      <c r="G660" s="91"/>
      <c r="H660" s="91"/>
    </row>
    <row r="661" spans="1:8" ht="15.75" customHeight="1" x14ac:dyDescent="0.2">
      <c r="A661"/>
      <c r="C661" s="91"/>
      <c r="D661" s="91"/>
      <c r="E661" s="91"/>
      <c r="F661" s="91"/>
      <c r="G661" s="91"/>
      <c r="H661" s="91"/>
    </row>
    <row r="662" spans="1:8" ht="15.75" customHeight="1" x14ac:dyDescent="0.2">
      <c r="A662"/>
      <c r="C662" s="91"/>
      <c r="D662" s="91"/>
      <c r="E662" s="91"/>
      <c r="F662" s="91"/>
      <c r="G662" s="91"/>
      <c r="H662" s="91"/>
    </row>
    <row r="663" spans="1:8" ht="15.75" customHeight="1" x14ac:dyDescent="0.2">
      <c r="A663"/>
      <c r="C663" s="91"/>
      <c r="D663" s="91"/>
      <c r="E663" s="91"/>
      <c r="F663" s="91"/>
      <c r="G663" s="91"/>
      <c r="H663" s="91"/>
    </row>
    <row r="664" spans="1:8" ht="15.75" customHeight="1" x14ac:dyDescent="0.2">
      <c r="A664"/>
      <c r="C664" s="91"/>
      <c r="D664" s="91"/>
      <c r="E664" s="91"/>
      <c r="F664" s="91"/>
      <c r="G664" s="91"/>
      <c r="H664" s="91"/>
    </row>
    <row r="665" spans="1:8" ht="15.75" customHeight="1" x14ac:dyDescent="0.2">
      <c r="A665"/>
      <c r="C665" s="91"/>
      <c r="D665" s="91"/>
      <c r="E665" s="91"/>
      <c r="F665" s="91"/>
      <c r="G665" s="91"/>
      <c r="H665" s="91"/>
    </row>
    <row r="666" spans="1:8" ht="15.75" customHeight="1" x14ac:dyDescent="0.2">
      <c r="A666"/>
      <c r="C666" s="91"/>
      <c r="D666" s="91"/>
      <c r="E666" s="91"/>
      <c r="F666" s="91"/>
      <c r="G666" s="91"/>
      <c r="H666" s="91"/>
    </row>
    <row r="667" spans="1:8" ht="15.75" customHeight="1" x14ac:dyDescent="0.2">
      <c r="A667"/>
      <c r="C667" s="91"/>
      <c r="D667" s="91"/>
      <c r="E667" s="91"/>
      <c r="F667" s="91"/>
      <c r="G667" s="91"/>
      <c r="H667" s="91"/>
    </row>
    <row r="668" spans="1:8" ht="15.75" customHeight="1" x14ac:dyDescent="0.2">
      <c r="A668"/>
      <c r="C668" s="91"/>
      <c r="D668" s="91"/>
      <c r="E668" s="91"/>
      <c r="F668" s="91"/>
      <c r="G668" s="91"/>
      <c r="H668" s="91"/>
    </row>
    <row r="669" spans="1:8" ht="15.75" customHeight="1" x14ac:dyDescent="0.2">
      <c r="A669"/>
      <c r="C669" s="91"/>
      <c r="D669" s="91"/>
      <c r="E669" s="91"/>
      <c r="F669" s="91"/>
      <c r="G669" s="91"/>
      <c r="H669" s="91"/>
    </row>
    <row r="670" spans="1:8" ht="15.75" customHeight="1" x14ac:dyDescent="0.2">
      <c r="A670"/>
      <c r="C670" s="91"/>
      <c r="D670" s="91"/>
      <c r="E670" s="91"/>
      <c r="F670" s="91"/>
      <c r="G670" s="91"/>
      <c r="H670" s="91"/>
    </row>
    <row r="671" spans="1:8" ht="15.75" customHeight="1" x14ac:dyDescent="0.2">
      <c r="A671"/>
      <c r="C671" s="91"/>
      <c r="D671" s="91"/>
      <c r="E671" s="91"/>
      <c r="F671" s="91"/>
      <c r="G671" s="91"/>
      <c r="H671" s="91"/>
    </row>
    <row r="672" spans="1:8" ht="15.75" customHeight="1" x14ac:dyDescent="0.2">
      <c r="A672"/>
      <c r="C672" s="91"/>
      <c r="D672" s="91"/>
      <c r="E672" s="91"/>
      <c r="F672" s="91"/>
      <c r="G672" s="91"/>
      <c r="H672" s="91"/>
    </row>
    <row r="673" spans="1:8" ht="15.75" customHeight="1" x14ac:dyDescent="0.2">
      <c r="A673"/>
      <c r="C673" s="91"/>
      <c r="D673" s="91"/>
      <c r="E673" s="91"/>
      <c r="F673" s="91"/>
      <c r="G673" s="91"/>
      <c r="H673" s="91"/>
    </row>
    <row r="674" spans="1:8" ht="15.75" customHeight="1" x14ac:dyDescent="0.2">
      <c r="A674"/>
      <c r="C674" s="91"/>
      <c r="D674" s="91"/>
      <c r="E674" s="91"/>
      <c r="F674" s="91"/>
      <c r="G674" s="91"/>
      <c r="H674" s="91"/>
    </row>
    <row r="675" spans="1:8" ht="15.75" customHeight="1" x14ac:dyDescent="0.2">
      <c r="A675"/>
      <c r="C675" s="91"/>
      <c r="D675" s="91"/>
      <c r="E675" s="91"/>
      <c r="F675" s="91"/>
      <c r="G675" s="91"/>
      <c r="H675" s="91"/>
    </row>
    <row r="676" spans="1:8" ht="15.75" customHeight="1" x14ac:dyDescent="0.2">
      <c r="A676"/>
      <c r="C676" s="91"/>
      <c r="D676" s="91"/>
      <c r="E676" s="91"/>
      <c r="F676" s="91"/>
      <c r="G676" s="91"/>
      <c r="H676" s="91"/>
    </row>
    <row r="677" spans="1:8" ht="15.75" customHeight="1" x14ac:dyDescent="0.2">
      <c r="A677"/>
      <c r="C677" s="91"/>
      <c r="D677" s="91"/>
      <c r="E677" s="91"/>
      <c r="F677" s="91"/>
      <c r="G677" s="91"/>
      <c r="H677" s="91"/>
    </row>
    <row r="678" spans="1:8" ht="15.75" customHeight="1" x14ac:dyDescent="0.2">
      <c r="A678"/>
      <c r="C678" s="91"/>
      <c r="D678" s="91"/>
      <c r="E678" s="91"/>
      <c r="F678" s="91"/>
      <c r="G678" s="91"/>
      <c r="H678" s="91"/>
    </row>
    <row r="679" spans="1:8" ht="15.75" customHeight="1" x14ac:dyDescent="0.2">
      <c r="A679"/>
      <c r="C679" s="91"/>
      <c r="D679" s="91"/>
      <c r="E679" s="91"/>
      <c r="F679" s="91"/>
      <c r="G679" s="91"/>
      <c r="H679" s="91"/>
    </row>
    <row r="680" spans="1:8" ht="15.75" customHeight="1" x14ac:dyDescent="0.2">
      <c r="A680"/>
      <c r="C680" s="91"/>
      <c r="D680" s="91"/>
      <c r="E680" s="91"/>
      <c r="F680" s="91"/>
      <c r="G680" s="91"/>
      <c r="H680" s="91"/>
    </row>
    <row r="681" spans="1:8" ht="15.75" customHeight="1" x14ac:dyDescent="0.2">
      <c r="A681"/>
      <c r="C681" s="91"/>
      <c r="D681" s="91"/>
      <c r="E681" s="91"/>
      <c r="F681" s="91"/>
      <c r="G681" s="91"/>
      <c r="H681" s="91"/>
    </row>
    <row r="682" spans="1:8" ht="15.75" customHeight="1" x14ac:dyDescent="0.2">
      <c r="A682"/>
      <c r="C682" s="91"/>
      <c r="D682" s="91"/>
      <c r="E682" s="91"/>
      <c r="F682" s="91"/>
      <c r="G682" s="91"/>
      <c r="H682" s="91"/>
    </row>
    <row r="683" spans="1:8" ht="15.75" customHeight="1" x14ac:dyDescent="0.2">
      <c r="A683"/>
      <c r="C683" s="91"/>
      <c r="D683" s="91"/>
      <c r="E683" s="91"/>
      <c r="F683" s="91"/>
      <c r="G683" s="91"/>
      <c r="H683" s="91"/>
    </row>
    <row r="684" spans="1:8" ht="15.75" customHeight="1" x14ac:dyDescent="0.2">
      <c r="A684"/>
      <c r="C684" s="91"/>
      <c r="D684" s="91"/>
      <c r="E684" s="91"/>
      <c r="F684" s="91"/>
      <c r="G684" s="91"/>
      <c r="H684" s="91"/>
    </row>
    <row r="685" spans="1:8" ht="15.75" customHeight="1" x14ac:dyDescent="0.2">
      <c r="A685"/>
      <c r="C685" s="91"/>
      <c r="D685" s="91"/>
      <c r="E685" s="91"/>
      <c r="F685" s="91"/>
      <c r="G685" s="91"/>
      <c r="H685" s="91"/>
    </row>
    <row r="686" spans="1:8" ht="15.75" customHeight="1" x14ac:dyDescent="0.2">
      <c r="A686"/>
      <c r="C686" s="91"/>
      <c r="D686" s="91"/>
      <c r="E686" s="91"/>
      <c r="F686" s="91"/>
      <c r="G686" s="91"/>
      <c r="H686" s="91"/>
    </row>
    <row r="687" spans="1:8" ht="15.75" customHeight="1" x14ac:dyDescent="0.2">
      <c r="A687"/>
      <c r="C687" s="91"/>
      <c r="D687" s="91"/>
      <c r="E687" s="91"/>
      <c r="F687" s="91"/>
      <c r="G687" s="91"/>
      <c r="H687" s="91"/>
    </row>
    <row r="688" spans="1:8" ht="15.75" customHeight="1" x14ac:dyDescent="0.2">
      <c r="A688"/>
      <c r="C688" s="91"/>
      <c r="D688" s="91"/>
      <c r="E688" s="91"/>
      <c r="F688" s="91"/>
      <c r="G688" s="91"/>
      <c r="H688" s="91"/>
    </row>
    <row r="689" spans="1:8" ht="15.75" customHeight="1" x14ac:dyDescent="0.2">
      <c r="A689"/>
      <c r="C689" s="91"/>
      <c r="D689" s="91"/>
      <c r="E689" s="91"/>
      <c r="F689" s="91"/>
      <c r="G689" s="91"/>
      <c r="H689" s="91"/>
    </row>
    <row r="690" spans="1:8" ht="15.75" customHeight="1" x14ac:dyDescent="0.2">
      <c r="A690"/>
      <c r="C690" s="91"/>
      <c r="D690" s="91"/>
      <c r="E690" s="91"/>
      <c r="F690" s="91"/>
      <c r="G690" s="91"/>
      <c r="H690" s="91"/>
    </row>
    <row r="691" spans="1:8" ht="15.75" customHeight="1" x14ac:dyDescent="0.2">
      <c r="A691"/>
      <c r="C691" s="91"/>
      <c r="D691" s="91"/>
      <c r="E691" s="91"/>
      <c r="F691" s="91"/>
      <c r="G691" s="91"/>
      <c r="H691" s="91"/>
    </row>
    <row r="692" spans="1:8" ht="15.75" customHeight="1" x14ac:dyDescent="0.2">
      <c r="A692"/>
      <c r="C692" s="91"/>
      <c r="D692" s="91"/>
      <c r="E692" s="91"/>
      <c r="F692" s="91"/>
      <c r="G692" s="91"/>
      <c r="H692" s="91"/>
    </row>
    <row r="693" spans="1:8" ht="15.75" customHeight="1" x14ac:dyDescent="0.2">
      <c r="A693"/>
      <c r="C693" s="91"/>
      <c r="D693" s="91"/>
      <c r="E693" s="91"/>
      <c r="F693" s="91"/>
      <c r="G693" s="91"/>
      <c r="H693" s="91"/>
    </row>
    <row r="694" spans="1:8" ht="15.75" customHeight="1" x14ac:dyDescent="0.2">
      <c r="A694"/>
      <c r="C694" s="91"/>
      <c r="D694" s="91"/>
      <c r="E694" s="91"/>
      <c r="F694" s="91"/>
      <c r="G694" s="91"/>
      <c r="H694" s="91"/>
    </row>
    <row r="695" spans="1:8" ht="15.75" customHeight="1" x14ac:dyDescent="0.2">
      <c r="A695"/>
      <c r="C695" s="91"/>
      <c r="D695" s="91"/>
      <c r="E695" s="91"/>
      <c r="F695" s="91"/>
      <c r="G695" s="91"/>
      <c r="H695" s="91"/>
    </row>
    <row r="696" spans="1:8" ht="15.75" customHeight="1" x14ac:dyDescent="0.2">
      <c r="A696"/>
      <c r="C696" s="91"/>
      <c r="D696" s="91"/>
      <c r="E696" s="91"/>
      <c r="F696" s="91"/>
      <c r="G696" s="91"/>
      <c r="H696" s="91"/>
    </row>
    <row r="697" spans="1:8" ht="15.75" customHeight="1" x14ac:dyDescent="0.2">
      <c r="A697"/>
      <c r="C697" s="91"/>
      <c r="D697" s="91"/>
      <c r="E697" s="91"/>
      <c r="F697" s="91"/>
      <c r="G697" s="91"/>
      <c r="H697" s="91"/>
    </row>
    <row r="698" spans="1:8" ht="15.75" customHeight="1" x14ac:dyDescent="0.2">
      <c r="A698"/>
      <c r="C698" s="91"/>
      <c r="D698" s="91"/>
      <c r="E698" s="91"/>
      <c r="F698" s="91"/>
      <c r="G698" s="91"/>
      <c r="H698" s="91"/>
    </row>
    <row r="699" spans="1:8" ht="15.75" customHeight="1" x14ac:dyDescent="0.2">
      <c r="A699"/>
      <c r="C699" s="91"/>
      <c r="D699" s="91"/>
      <c r="E699" s="91"/>
      <c r="F699" s="91"/>
      <c r="G699" s="91"/>
      <c r="H699" s="91"/>
    </row>
    <row r="700" spans="1:8" ht="15.75" customHeight="1" x14ac:dyDescent="0.2">
      <c r="A700"/>
      <c r="C700" s="91"/>
      <c r="D700" s="91"/>
      <c r="E700" s="91"/>
      <c r="F700" s="91"/>
      <c r="G700" s="91"/>
      <c r="H700" s="91"/>
    </row>
    <row r="701" spans="1:8" ht="15.75" customHeight="1" x14ac:dyDescent="0.2">
      <c r="A701"/>
      <c r="C701" s="91"/>
      <c r="D701" s="91"/>
      <c r="E701" s="91"/>
      <c r="F701" s="91"/>
      <c r="G701" s="91"/>
      <c r="H701" s="91"/>
    </row>
    <row r="702" spans="1:8" ht="15.75" customHeight="1" x14ac:dyDescent="0.2">
      <c r="A702"/>
      <c r="C702" s="91"/>
      <c r="D702" s="91"/>
      <c r="E702" s="91"/>
      <c r="F702" s="91"/>
      <c r="G702" s="91"/>
      <c r="H702" s="91"/>
    </row>
    <row r="703" spans="1:8" ht="15.75" customHeight="1" x14ac:dyDescent="0.2">
      <c r="A703"/>
      <c r="C703" s="91"/>
      <c r="D703" s="91"/>
      <c r="E703" s="91"/>
      <c r="F703" s="91"/>
      <c r="G703" s="91"/>
      <c r="H703" s="91"/>
    </row>
    <row r="704" spans="1:8" ht="15.75" customHeight="1" x14ac:dyDescent="0.2">
      <c r="A704"/>
      <c r="C704" s="91"/>
      <c r="D704" s="91"/>
      <c r="E704" s="91"/>
      <c r="F704" s="91"/>
      <c r="G704" s="91"/>
      <c r="H704" s="91"/>
    </row>
    <row r="705" spans="1:8" ht="15.75" customHeight="1" x14ac:dyDescent="0.2">
      <c r="A705"/>
      <c r="C705" s="91"/>
      <c r="D705" s="91"/>
      <c r="E705" s="91"/>
      <c r="F705" s="91"/>
      <c r="G705" s="91"/>
      <c r="H705" s="91"/>
    </row>
    <row r="706" spans="1:8" ht="15.75" customHeight="1" x14ac:dyDescent="0.2">
      <c r="A706"/>
      <c r="C706" s="91"/>
      <c r="D706" s="91"/>
      <c r="E706" s="91"/>
      <c r="F706" s="91"/>
      <c r="G706" s="91"/>
      <c r="H706" s="91"/>
    </row>
    <row r="707" spans="1:8" ht="15.75" customHeight="1" x14ac:dyDescent="0.2">
      <c r="A707"/>
      <c r="C707" s="91"/>
      <c r="D707" s="91"/>
      <c r="E707" s="91"/>
      <c r="F707" s="91"/>
      <c r="G707" s="91"/>
      <c r="H707" s="91"/>
    </row>
    <row r="708" spans="1:8" ht="15.75" customHeight="1" x14ac:dyDescent="0.2">
      <c r="A708"/>
      <c r="C708" s="91"/>
      <c r="D708" s="91"/>
      <c r="E708" s="91"/>
      <c r="F708" s="91"/>
      <c r="G708" s="91"/>
      <c r="H708" s="91"/>
    </row>
    <row r="709" spans="1:8" ht="15.75" customHeight="1" x14ac:dyDescent="0.2">
      <c r="A709"/>
      <c r="C709" s="91"/>
      <c r="D709" s="91"/>
      <c r="E709" s="91"/>
      <c r="F709" s="91"/>
      <c r="G709" s="91"/>
      <c r="H709" s="91"/>
    </row>
    <row r="710" spans="1:8" ht="15.75" customHeight="1" x14ac:dyDescent="0.2">
      <c r="A710"/>
      <c r="C710" s="91"/>
      <c r="D710" s="91"/>
      <c r="E710" s="91"/>
      <c r="F710" s="91"/>
      <c r="G710" s="91"/>
      <c r="H710" s="91"/>
    </row>
    <row r="711" spans="1:8" ht="15.75" customHeight="1" x14ac:dyDescent="0.2">
      <c r="A711"/>
      <c r="C711" s="91"/>
      <c r="D711" s="91"/>
      <c r="E711" s="91"/>
      <c r="F711" s="91"/>
      <c r="G711" s="91"/>
      <c r="H711" s="91"/>
    </row>
    <row r="712" spans="1:8" ht="15.75" customHeight="1" x14ac:dyDescent="0.2">
      <c r="A712"/>
      <c r="C712" s="91"/>
      <c r="D712" s="91"/>
      <c r="E712" s="91"/>
      <c r="F712" s="91"/>
      <c r="G712" s="91"/>
      <c r="H712" s="91"/>
    </row>
    <row r="713" spans="1:8" ht="15.75" customHeight="1" x14ac:dyDescent="0.2">
      <c r="A713"/>
      <c r="C713" s="91"/>
      <c r="D713" s="91"/>
      <c r="E713" s="91"/>
      <c r="F713" s="91"/>
      <c r="G713" s="91"/>
      <c r="H713" s="91"/>
    </row>
    <row r="714" spans="1:8" ht="15.75" customHeight="1" x14ac:dyDescent="0.2">
      <c r="A714"/>
      <c r="C714" s="91"/>
      <c r="D714" s="91"/>
      <c r="E714" s="91"/>
      <c r="F714" s="91"/>
      <c r="G714" s="91"/>
      <c r="H714" s="91"/>
    </row>
    <row r="715" spans="1:8" ht="15.75" customHeight="1" x14ac:dyDescent="0.2">
      <c r="A715"/>
      <c r="C715" s="91"/>
      <c r="D715" s="91"/>
      <c r="E715" s="91"/>
      <c r="F715" s="91"/>
      <c r="G715" s="91"/>
      <c r="H715" s="91"/>
    </row>
    <row r="716" spans="1:8" ht="15.75" customHeight="1" x14ac:dyDescent="0.2">
      <c r="A716"/>
      <c r="C716" s="91"/>
      <c r="D716" s="91"/>
      <c r="E716" s="91"/>
      <c r="F716" s="91"/>
      <c r="G716" s="91"/>
      <c r="H716" s="91"/>
    </row>
    <row r="717" spans="1:8" ht="15.75" customHeight="1" x14ac:dyDescent="0.2">
      <c r="A717"/>
      <c r="C717" s="91"/>
      <c r="D717" s="91"/>
      <c r="E717" s="91"/>
      <c r="F717" s="91"/>
      <c r="G717" s="91"/>
      <c r="H717" s="91"/>
    </row>
    <row r="718" spans="1:8" ht="15.75" customHeight="1" x14ac:dyDescent="0.2">
      <c r="A718"/>
      <c r="C718" s="91"/>
      <c r="D718" s="91"/>
      <c r="E718" s="91"/>
      <c r="F718" s="91"/>
      <c r="G718" s="91"/>
      <c r="H718" s="91"/>
    </row>
    <row r="719" spans="1:8" ht="15.75" customHeight="1" x14ac:dyDescent="0.2">
      <c r="A719"/>
      <c r="C719" s="91"/>
      <c r="D719" s="91"/>
      <c r="E719" s="91"/>
      <c r="F719" s="91"/>
      <c r="G719" s="91"/>
      <c r="H719" s="91"/>
    </row>
    <row r="720" spans="1:8" ht="15.75" customHeight="1" x14ac:dyDescent="0.2">
      <c r="A720"/>
      <c r="C720" s="91"/>
      <c r="D720" s="91"/>
      <c r="E720" s="91"/>
      <c r="F720" s="91"/>
      <c r="G720" s="91"/>
      <c r="H720" s="91"/>
    </row>
    <row r="721" spans="1:8" ht="15.75" customHeight="1" x14ac:dyDescent="0.2">
      <c r="A721"/>
      <c r="C721" s="91"/>
      <c r="D721" s="91"/>
      <c r="E721" s="91"/>
      <c r="F721" s="91"/>
      <c r="G721" s="91"/>
      <c r="H721" s="91"/>
    </row>
  </sheetData>
  <mergeCells count="2">
    <mergeCell ref="A3:D3"/>
    <mergeCell ref="A4:D4"/>
  </mergeCells>
  <phoneticPr fontId="11" type="noConversion"/>
  <pageMargins left="0.90551181102362199" right="0.19685039370078741" top="0.3543307086614173" bottom="0.39370078740157483" header="0.31496062992125984" footer="0.51181102362204722"/>
  <pageSetup paperSize="9" scale="67" orientation="portrait" r:id="rId1"/>
  <headerFooter alignWithMargins="0"/>
  <rowBreaks count="1" manualBreakCount="1">
    <brk id="8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8"/>
  <sheetViews>
    <sheetView zoomScaleNormal="100" zoomScaleSheetLayoutView="90" workbookViewId="0">
      <selection activeCell="C2" sqref="C2"/>
    </sheetView>
  </sheetViews>
  <sheetFormatPr defaultColWidth="0" defaultRowHeight="12.75" x14ac:dyDescent="0.2"/>
  <cols>
    <col min="1" max="1" width="79.7109375" customWidth="1"/>
    <col min="2" max="3" width="18.7109375" customWidth="1"/>
    <col min="4" max="4" width="14" style="10" hidden="1" customWidth="1"/>
    <col min="5" max="6" width="14" hidden="1" customWidth="1"/>
    <col min="7" max="7" width="6.140625" style="10" customWidth="1"/>
    <col min="8" max="8" width="12" customWidth="1"/>
    <col min="9" max="9" width="8.140625" style="10" customWidth="1"/>
    <col min="10" max="10" width="9.140625" customWidth="1"/>
    <col min="11" max="11" width="7.85546875" customWidth="1"/>
    <col min="12" max="12" width="15.28515625" customWidth="1"/>
    <col min="13" max="20" width="7.85546875" customWidth="1"/>
    <col min="21" max="226" width="9.140625" customWidth="1"/>
  </cols>
  <sheetData>
    <row r="1" spans="1:22" ht="15.75" customHeight="1" x14ac:dyDescent="0.2">
      <c r="A1" s="667"/>
      <c r="C1" s="210" t="s">
        <v>998</v>
      </c>
    </row>
    <row r="2" spans="1:22" ht="15.75" customHeight="1" x14ac:dyDescent="0.2">
      <c r="A2" s="667"/>
      <c r="C2" s="210"/>
    </row>
    <row r="3" spans="1:22" ht="19.5" x14ac:dyDescent="0.2">
      <c r="A3" s="941" t="s">
        <v>416</v>
      </c>
      <c r="B3" s="942"/>
      <c r="C3" s="942"/>
      <c r="D3" s="942"/>
      <c r="E3" s="942"/>
      <c r="F3" s="942"/>
    </row>
    <row r="4" spans="1:22" ht="19.5" customHeight="1" x14ac:dyDescent="0.35">
      <c r="A4" s="943" t="s">
        <v>1061</v>
      </c>
      <c r="B4" s="944"/>
      <c r="C4" s="944"/>
      <c r="D4" s="944"/>
      <c r="E4" s="944"/>
      <c r="F4" s="944"/>
    </row>
    <row r="5" spans="1:22" x14ac:dyDescent="0.2">
      <c r="A5" s="62"/>
      <c r="B5" s="63"/>
      <c r="C5" s="63"/>
      <c r="D5" s="659"/>
      <c r="E5" s="63"/>
      <c r="F5" s="63"/>
    </row>
    <row r="6" spans="1:22" ht="13.5" thickBot="1" x14ac:dyDescent="0.25">
      <c r="A6" s="62"/>
      <c r="C6" s="210" t="s">
        <v>0</v>
      </c>
      <c r="G6" s="11"/>
    </row>
    <row r="7" spans="1:22" s="5" customFormat="1" ht="54.75" customHeight="1" thickBot="1" x14ac:dyDescent="0.3">
      <c r="A7" s="53" t="s">
        <v>14</v>
      </c>
      <c r="B7" s="54" t="str">
        <f>'1.Bev-kiad.'!C6</f>
        <v>2021. évi eredeti előirányzat</v>
      </c>
      <c r="C7" s="54" t="str">
        <f>'1.Bev-kiad.'!D6</f>
        <v>Módosított előirányzat 2021.07. havi</v>
      </c>
      <c r="D7" s="54" t="str">
        <f>'1.Bev-kiad.'!E6</f>
        <v xml:space="preserve">Módosított előirányzat </v>
      </c>
      <c r="E7" s="54" t="str">
        <f>'1.Bev-kiad.'!F6</f>
        <v xml:space="preserve">Módosított előirányzat </v>
      </c>
      <c r="F7" s="55" t="str">
        <f>'1.Bev-kiad.'!G6</f>
        <v>Teljesítés 2021.12.31.</v>
      </c>
      <c r="G7" s="393"/>
      <c r="I7" s="10"/>
    </row>
    <row r="8" spans="1:22" s="5" customFormat="1" ht="18" customHeight="1" x14ac:dyDescent="0.25">
      <c r="A8" s="316" t="s">
        <v>15</v>
      </c>
      <c r="B8" s="317">
        <f>SUM(B9+B40+B41)</f>
        <v>249111</v>
      </c>
      <c r="C8" s="317">
        <f>SUM(C9+C40+C41)</f>
        <v>251987</v>
      </c>
      <c r="D8" s="317">
        <f>SUM(D9+D40)</f>
        <v>211346</v>
      </c>
      <c r="E8" s="317">
        <f>SUM(E9+E40)</f>
        <v>211346</v>
      </c>
      <c r="F8" s="317">
        <f>SUM(F9+F40)</f>
        <v>211346</v>
      </c>
      <c r="G8" s="394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s="5" customFormat="1" ht="14.25" customHeight="1" x14ac:dyDescent="0.25">
      <c r="A9" s="22" t="s">
        <v>3</v>
      </c>
      <c r="B9" s="6">
        <f>SUM(B10+B25)</f>
        <v>220861</v>
      </c>
      <c r="C9" s="6">
        <f>SUM(C10+C25)</f>
        <v>223737</v>
      </c>
      <c r="D9" s="6">
        <f>SUM(D10+D25)</f>
        <v>211096</v>
      </c>
      <c r="E9" s="6">
        <f>SUM(E10+E25)</f>
        <v>211096</v>
      </c>
      <c r="F9" s="6">
        <f>SUM(F10+F25)</f>
        <v>211096</v>
      </c>
      <c r="G9" s="394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s="5" customFormat="1" ht="14.25" customHeight="1" x14ac:dyDescent="0.25">
      <c r="A10" s="22" t="s">
        <v>423</v>
      </c>
      <c r="B10" s="6">
        <f>SUM(B11:B24)</f>
        <v>193967</v>
      </c>
      <c r="C10" s="6">
        <f>SUM(C11:C24)</f>
        <v>196986</v>
      </c>
      <c r="D10" s="6">
        <f>SUM(D11:D24)</f>
        <v>181944</v>
      </c>
      <c r="E10" s="6">
        <f>SUM(E11:E24)</f>
        <v>181944</v>
      </c>
      <c r="F10" s="6">
        <f>SUM(F11:F24)</f>
        <v>181944</v>
      </c>
      <c r="G10" s="394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s="5" customFormat="1" ht="14.25" customHeight="1" x14ac:dyDescent="0.25">
      <c r="A11" s="20" t="s">
        <v>346</v>
      </c>
      <c r="B11" s="16">
        <f>SUM('2.működés'!C22)</f>
        <v>79311</v>
      </c>
      <c r="C11" s="16">
        <f>SUM('2.működés'!D22)</f>
        <v>81306</v>
      </c>
      <c r="D11" s="16">
        <f>SUM('2.működés'!E22)</f>
        <v>67629</v>
      </c>
      <c r="E11" s="16">
        <f>SUM('2.működés'!F22)</f>
        <v>67629</v>
      </c>
      <c r="F11" s="16">
        <f>SUM('2.működés'!G22)</f>
        <v>67629</v>
      </c>
      <c r="G11" s="394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s="5" customFormat="1" ht="14.25" customHeight="1" x14ac:dyDescent="0.25">
      <c r="A12" s="20" t="s">
        <v>481</v>
      </c>
      <c r="B12" s="16">
        <f>SUM('2.működés'!C33)</f>
        <v>42432</v>
      </c>
      <c r="C12" s="16">
        <f>SUM('2.működés'!D33)</f>
        <v>41039</v>
      </c>
      <c r="D12" s="17">
        <f>(39001-5060)-3286+1355+924</f>
        <v>32934</v>
      </c>
      <c r="E12" s="17">
        <f>(39001-5060)-3286+1355+924</f>
        <v>32934</v>
      </c>
      <c r="F12" s="17">
        <f>(39001-5060)-3286+1355+924</f>
        <v>32934</v>
      </c>
      <c r="G12" s="394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s="5" customFormat="1" ht="12.75" customHeight="1" x14ac:dyDescent="0.25">
      <c r="A13" s="20" t="s">
        <v>482</v>
      </c>
      <c r="B13" s="16">
        <f>SUM('2.működés'!C26+'2.működés'!C30)</f>
        <v>52512</v>
      </c>
      <c r="C13" s="16">
        <f>SUM('2.működés'!D26+'2.működés'!D30)</f>
        <v>54646</v>
      </c>
      <c r="D13" s="17">
        <f>47070+1152+3346+2145</f>
        <v>53713</v>
      </c>
      <c r="E13" s="17">
        <f>47070+1152+3346+2145</f>
        <v>53713</v>
      </c>
      <c r="F13" s="17">
        <f>47070+1152+3346+2145</f>
        <v>53713</v>
      </c>
      <c r="G13" s="394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 s="5" customFormat="1" ht="14.25" customHeight="1" x14ac:dyDescent="0.25">
      <c r="A14" s="20" t="s">
        <v>961</v>
      </c>
      <c r="B14" s="16">
        <f>SUM('2.működés'!C28)</f>
        <v>8096</v>
      </c>
      <c r="C14" s="17">
        <f>8096+148+135</f>
        <v>8379</v>
      </c>
      <c r="D14" s="17">
        <f>(7451+327)+119+196</f>
        <v>8093</v>
      </c>
      <c r="E14" s="17">
        <f>(7451+327)+119+196</f>
        <v>8093</v>
      </c>
      <c r="F14" s="17">
        <f>(7451+327)+119+196</f>
        <v>8093</v>
      </c>
      <c r="G14" s="394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s="5" customFormat="1" ht="14.25" customHeight="1" x14ac:dyDescent="0.25">
      <c r="A15" s="20" t="s">
        <v>993</v>
      </c>
      <c r="B15" s="16">
        <v>236</v>
      </c>
      <c r="C15" s="17">
        <v>236</v>
      </c>
      <c r="D15" s="17">
        <f>1500+947</f>
        <v>2447</v>
      </c>
      <c r="E15" s="17">
        <f>1500+947</f>
        <v>2447</v>
      </c>
      <c r="F15" s="17">
        <f>1500+947</f>
        <v>2447</v>
      </c>
      <c r="G15" s="394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22" s="5" customFormat="1" ht="14.25" customHeight="1" x14ac:dyDescent="0.25">
      <c r="A16" s="20" t="s">
        <v>1169</v>
      </c>
      <c r="B16" s="16">
        <v>11380</v>
      </c>
      <c r="C16" s="17">
        <v>11380</v>
      </c>
      <c r="D16" s="17">
        <f>83+10500+3600</f>
        <v>14183</v>
      </c>
      <c r="E16" s="17">
        <f>83+10500+3600</f>
        <v>14183</v>
      </c>
      <c r="F16" s="17">
        <f>83+10500+3600</f>
        <v>14183</v>
      </c>
      <c r="G16" s="394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1:22" s="5" customFormat="1" ht="14.25" customHeight="1" x14ac:dyDescent="0.25">
      <c r="A17" s="20" t="s">
        <v>1132</v>
      </c>
      <c r="B17" s="17">
        <v>0</v>
      </c>
      <c r="C17" s="17">
        <v>0</v>
      </c>
      <c r="D17" s="17">
        <v>2945</v>
      </c>
      <c r="E17" s="17">
        <v>2945</v>
      </c>
      <c r="F17" s="17">
        <v>2945</v>
      </c>
      <c r="G17" s="394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1:22" s="5" customFormat="1" ht="14.25" hidden="1" customHeight="1" x14ac:dyDescent="0.25">
      <c r="A18" s="20"/>
      <c r="B18" s="17"/>
      <c r="C18" s="17"/>
      <c r="D18" s="17"/>
      <c r="E18" s="17"/>
      <c r="F18" s="17"/>
      <c r="G18" s="394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 s="5" customFormat="1" ht="14.25" hidden="1" customHeight="1" x14ac:dyDescent="0.25">
      <c r="A19" s="20"/>
      <c r="B19" s="17"/>
      <c r="C19" s="17"/>
      <c r="D19" s="17"/>
      <c r="E19" s="17"/>
      <c r="F19" s="17"/>
      <c r="G19" s="394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 s="5" customFormat="1" ht="14.25" hidden="1" customHeight="1" x14ac:dyDescent="0.25">
      <c r="A20" s="20"/>
      <c r="B20" s="17"/>
      <c r="C20" s="17"/>
      <c r="D20" s="17"/>
      <c r="E20" s="17"/>
      <c r="F20" s="17"/>
      <c r="G20" s="394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2" s="5" customFormat="1" ht="14.25" hidden="1" customHeight="1" x14ac:dyDescent="0.25">
      <c r="A21" s="20"/>
      <c r="B21" s="17"/>
      <c r="C21" s="17"/>
      <c r="D21" s="17"/>
      <c r="E21" s="17"/>
      <c r="F21" s="17"/>
      <c r="G21" s="394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s="5" customFormat="1" ht="14.25" hidden="1" customHeight="1" x14ac:dyDescent="0.25">
      <c r="A22" s="20"/>
      <c r="B22" s="17"/>
      <c r="C22" s="17"/>
      <c r="D22" s="17"/>
      <c r="E22" s="17"/>
      <c r="F22" s="17"/>
      <c r="G22" s="394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1:22" s="5" customFormat="1" ht="14.25" hidden="1" customHeight="1" x14ac:dyDescent="0.25">
      <c r="A23" s="20"/>
      <c r="B23" s="17"/>
      <c r="C23" s="17"/>
      <c r="D23" s="17"/>
      <c r="E23" s="17"/>
      <c r="F23" s="17"/>
      <c r="G23" s="394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2" s="5" customFormat="1" ht="14.25" hidden="1" customHeight="1" x14ac:dyDescent="0.25">
      <c r="A24" s="20"/>
      <c r="B24" s="17"/>
      <c r="C24" s="17"/>
      <c r="D24" s="17"/>
      <c r="E24" s="17"/>
      <c r="F24" s="17"/>
      <c r="G24" s="394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1:22" s="5" customFormat="1" ht="28.5" customHeight="1" x14ac:dyDescent="0.25">
      <c r="A25" s="276" t="s">
        <v>435</v>
      </c>
      <c r="B25" s="6">
        <f>SUM(B26+B36+B37+B39)</f>
        <v>26894</v>
      </c>
      <c r="C25" s="6">
        <f>SUM(C26+C36+C37+C39)</f>
        <v>26751</v>
      </c>
      <c r="D25" s="6">
        <f>SUM(D26+D36+D37+D39)</f>
        <v>29152</v>
      </c>
      <c r="E25" s="6">
        <f>SUM(E26+E36+E37+E39)</f>
        <v>29152</v>
      </c>
      <c r="F25" s="6">
        <f>SUM(F26+F36+F37+F39)</f>
        <v>29152</v>
      </c>
      <c r="G25" s="39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2" s="5" customFormat="1" ht="14.25" customHeight="1" x14ac:dyDescent="0.25">
      <c r="A26" s="20" t="s">
        <v>17</v>
      </c>
      <c r="B26" s="938">
        <v>26174</v>
      </c>
      <c r="C26" s="938">
        <v>26174</v>
      </c>
      <c r="D26" s="938">
        <f>25113+3160</f>
        <v>28273</v>
      </c>
      <c r="E26" s="938">
        <f>25113+3160</f>
        <v>28273</v>
      </c>
      <c r="F26" s="938">
        <f>25113+3160</f>
        <v>28273</v>
      </c>
      <c r="G26" s="394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2" s="5" customFormat="1" ht="14.25" customHeight="1" x14ac:dyDescent="0.25">
      <c r="A27" s="20" t="s">
        <v>18</v>
      </c>
      <c r="B27" s="939"/>
      <c r="C27" s="939"/>
      <c r="D27" s="939"/>
      <c r="E27" s="939"/>
      <c r="F27" s="939"/>
      <c r="G27" s="394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2" s="5" customFormat="1" ht="14.25" customHeight="1" x14ac:dyDescent="0.25">
      <c r="A28" s="27" t="s">
        <v>19</v>
      </c>
      <c r="B28" s="939"/>
      <c r="C28" s="939"/>
      <c r="D28" s="939"/>
      <c r="E28" s="939"/>
      <c r="F28" s="939"/>
      <c r="G28" s="394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2" s="5" customFormat="1" ht="14.25" customHeight="1" x14ac:dyDescent="0.25">
      <c r="A29" s="20" t="s">
        <v>20</v>
      </c>
      <c r="B29" s="939"/>
      <c r="C29" s="939"/>
      <c r="D29" s="939"/>
      <c r="E29" s="939"/>
      <c r="F29" s="939"/>
      <c r="G29" s="394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1:22" s="5" customFormat="1" ht="14.25" customHeight="1" x14ac:dyDescent="0.25">
      <c r="A30" s="20" t="s">
        <v>499</v>
      </c>
      <c r="B30" s="939"/>
      <c r="C30" s="939"/>
      <c r="D30" s="939"/>
      <c r="E30" s="939"/>
      <c r="F30" s="939"/>
      <c r="G30" s="394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1:22" s="5" customFormat="1" ht="14.25" customHeight="1" x14ac:dyDescent="0.25">
      <c r="A31" s="20" t="s">
        <v>21</v>
      </c>
      <c r="B31" s="939"/>
      <c r="C31" s="939"/>
      <c r="D31" s="939"/>
      <c r="E31" s="939"/>
      <c r="F31" s="939"/>
      <c r="G31" s="39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2" s="5" customFormat="1" ht="14.25" customHeight="1" x14ac:dyDescent="0.25">
      <c r="A32" s="20" t="s">
        <v>22</v>
      </c>
      <c r="B32" s="939"/>
      <c r="C32" s="939"/>
      <c r="D32" s="939"/>
      <c r="E32" s="939"/>
      <c r="F32" s="939"/>
      <c r="G32" s="39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22" s="5" customFormat="1" ht="14.25" customHeight="1" x14ac:dyDescent="0.25">
      <c r="A33" s="19" t="s">
        <v>23</v>
      </c>
      <c r="B33" s="939"/>
      <c r="C33" s="939"/>
      <c r="D33" s="939"/>
      <c r="E33" s="939"/>
      <c r="F33" s="939"/>
      <c r="G33" s="39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2" s="5" customFormat="1" ht="14.25" customHeight="1" x14ac:dyDescent="0.25">
      <c r="A34" s="20" t="s">
        <v>24</v>
      </c>
      <c r="B34" s="939"/>
      <c r="C34" s="939"/>
      <c r="D34" s="939"/>
      <c r="E34" s="939"/>
      <c r="F34" s="939"/>
      <c r="G34" s="39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2" s="5" customFormat="1" ht="14.25" customHeight="1" x14ac:dyDescent="0.25">
      <c r="A35" s="20" t="s">
        <v>25</v>
      </c>
      <c r="B35" s="940"/>
      <c r="C35" s="940"/>
      <c r="D35" s="940"/>
      <c r="E35" s="940"/>
      <c r="F35" s="940"/>
      <c r="G35" s="39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s="5" customFormat="1" ht="14.25" customHeight="1" x14ac:dyDescent="0.25">
      <c r="A36" s="20" t="s">
        <v>434</v>
      </c>
      <c r="B36" s="288">
        <v>100</v>
      </c>
      <c r="C36" s="288">
        <f>100+3</f>
        <v>103</v>
      </c>
      <c r="D36" s="288">
        <v>100</v>
      </c>
      <c r="E36" s="288">
        <v>100</v>
      </c>
      <c r="F36" s="288">
        <v>100</v>
      </c>
      <c r="G36" s="394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1:22" s="5" customFormat="1" ht="14.25" customHeight="1" x14ac:dyDescent="0.25">
      <c r="A37" s="9" t="s">
        <v>526</v>
      </c>
      <c r="B37" s="16">
        <v>474</v>
      </c>
      <c r="C37" s="16">
        <v>474</v>
      </c>
      <c r="D37" s="16">
        <v>633</v>
      </c>
      <c r="E37" s="16">
        <v>633</v>
      </c>
      <c r="F37" s="16">
        <v>633</v>
      </c>
      <c r="G37" s="394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1:22" s="5" customFormat="1" ht="14.25" hidden="1" customHeight="1" x14ac:dyDescent="0.25">
      <c r="A38" s="9"/>
      <c r="B38" s="16"/>
      <c r="C38" s="16"/>
      <c r="D38" s="16"/>
      <c r="E38" s="16"/>
      <c r="F38" s="16"/>
      <c r="G38" s="394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s="5" customFormat="1" ht="14.25" customHeight="1" x14ac:dyDescent="0.25">
      <c r="A39" s="9" t="s">
        <v>527</v>
      </c>
      <c r="B39" s="17">
        <v>146</v>
      </c>
      <c r="C39" s="17">
        <f>146-143-3</f>
        <v>0</v>
      </c>
      <c r="D39" s="17">
        <v>146</v>
      </c>
      <c r="E39" s="17">
        <v>146</v>
      </c>
      <c r="F39" s="17">
        <v>146</v>
      </c>
      <c r="G39" s="394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s="5" customFormat="1" ht="14.25" customHeight="1" x14ac:dyDescent="0.25">
      <c r="A40" s="22" t="s">
        <v>1043</v>
      </c>
      <c r="B40" s="197">
        <v>0</v>
      </c>
      <c r="C40" s="197">
        <v>0</v>
      </c>
      <c r="D40" s="197">
        <f>SUM(D41:D41)</f>
        <v>250</v>
      </c>
      <c r="E40" s="197">
        <f>SUM(E41:E41)</f>
        <v>250</v>
      </c>
      <c r="F40" s="197">
        <f>SUM(F41:F41)</f>
        <v>250</v>
      </c>
      <c r="G40" s="394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2" s="5" customFormat="1" ht="13.5" customHeight="1" thickBot="1" x14ac:dyDescent="0.3">
      <c r="A41" s="22" t="s">
        <v>1196</v>
      </c>
      <c r="B41" s="828">
        <v>28250</v>
      </c>
      <c r="C41" s="828">
        <v>28250</v>
      </c>
      <c r="D41" s="288">
        <v>250</v>
      </c>
      <c r="E41" s="288">
        <v>250</v>
      </c>
      <c r="F41" s="288">
        <v>250</v>
      </c>
      <c r="G41" s="394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1:22" s="5" customFormat="1" ht="18.75" customHeight="1" thickBot="1" x14ac:dyDescent="0.3">
      <c r="A42" s="321" t="s">
        <v>16</v>
      </c>
      <c r="B42" s="322">
        <f>SUM(B43+B58+B59)</f>
        <v>132946</v>
      </c>
      <c r="C42" s="322">
        <f>SUM(C43+C58+C59)</f>
        <v>133293</v>
      </c>
      <c r="D42" s="322">
        <f>SUM(D43+D58+D59)</f>
        <v>130848</v>
      </c>
      <c r="E42" s="322">
        <f>SUM(E43+E58+E59)</f>
        <v>130848</v>
      </c>
      <c r="F42" s="323">
        <f>SUM(F43+F58+F59)</f>
        <v>130848</v>
      </c>
      <c r="G42" s="394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2" s="5" customFormat="1" ht="14.25" customHeight="1" x14ac:dyDescent="0.25">
      <c r="A43" s="21" t="s">
        <v>4</v>
      </c>
      <c r="B43" s="49">
        <f>SUM(B44+B45+B54+B55+B56)</f>
        <v>91746</v>
      </c>
      <c r="C43" s="49">
        <f>SUM(C44+C45+C54+C55+C56)</f>
        <v>92093</v>
      </c>
      <c r="D43" s="49">
        <f>SUM(D44+D45+D54+D55+D56)</f>
        <v>89648</v>
      </c>
      <c r="E43" s="49">
        <f>SUM(E44+E45+E54+E55+E56)</f>
        <v>89648</v>
      </c>
      <c r="F43" s="49">
        <f>SUM(F44+F45+F54+F55+F56)</f>
        <v>89648</v>
      </c>
      <c r="G43" s="394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1:22" s="5" customFormat="1" ht="14.25" customHeight="1" x14ac:dyDescent="0.25">
      <c r="A44" s="27" t="s">
        <v>1133</v>
      </c>
      <c r="B44" s="16">
        <f>SUM(B46+B47+B50+B53)</f>
        <v>21346</v>
      </c>
      <c r="C44" s="16">
        <f>SUM(C46+C47+C50+C53)</f>
        <v>21693</v>
      </c>
      <c r="D44" s="16">
        <f>SUM(D46+D47+D50+D53)</f>
        <v>19248</v>
      </c>
      <c r="E44" s="16">
        <f>SUM(E46+E47+E50+E53)</f>
        <v>19248</v>
      </c>
      <c r="F44" s="16">
        <f>SUM(F46+F47+F50+F53)</f>
        <v>19248</v>
      </c>
      <c r="G44" s="39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spans="1:22" s="5" customFormat="1" ht="14.25" customHeight="1" x14ac:dyDescent="0.25">
      <c r="A45" s="27" t="s">
        <v>1134</v>
      </c>
      <c r="B45" s="16">
        <v>70000</v>
      </c>
      <c r="C45" s="16">
        <v>70000</v>
      </c>
      <c r="D45" s="16">
        <v>70000</v>
      </c>
      <c r="E45" s="16">
        <v>70000</v>
      </c>
      <c r="F45" s="16">
        <v>70000</v>
      </c>
      <c r="G45" s="394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spans="1:22" s="5" customFormat="1" ht="14.25" customHeight="1" x14ac:dyDescent="0.25">
      <c r="A46" s="27" t="s">
        <v>500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394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spans="1:22" s="5" customFormat="1" ht="14.25" customHeight="1" x14ac:dyDescent="0.25">
      <c r="A47" s="27" t="s">
        <v>806</v>
      </c>
      <c r="B47" s="16">
        <f>B48</f>
        <v>5086</v>
      </c>
      <c r="C47" s="16">
        <f>C48</f>
        <v>5170</v>
      </c>
      <c r="D47" s="16">
        <f>D48</f>
        <v>3870</v>
      </c>
      <c r="E47" s="16">
        <f>E48</f>
        <v>3870</v>
      </c>
      <c r="F47" s="16">
        <f>F48</f>
        <v>3870</v>
      </c>
      <c r="G47" s="394"/>
      <c r="H47" s="1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1:22" s="5" customFormat="1" ht="14.25" customHeight="1" x14ac:dyDescent="0.25">
      <c r="A48" s="27" t="s">
        <v>807</v>
      </c>
      <c r="B48" s="209">
        <f>SUM('2.működés'!C40)</f>
        <v>5086</v>
      </c>
      <c r="C48" s="209">
        <f>SUM('2.működés'!D40)</f>
        <v>5170</v>
      </c>
      <c r="D48" s="209">
        <f>SUM('2.működés'!E40)</f>
        <v>3870</v>
      </c>
      <c r="E48" s="209">
        <f>SUM('2.működés'!F40)</f>
        <v>3870</v>
      </c>
      <c r="F48" s="209">
        <f>SUM('2.működés'!G40)</f>
        <v>3870</v>
      </c>
      <c r="G48" s="39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1:22" s="5" customFormat="1" ht="14.25" hidden="1" customHeight="1" x14ac:dyDescent="0.25">
      <c r="A49" s="289" t="s">
        <v>501</v>
      </c>
      <c r="B49" s="339"/>
      <c r="C49" s="339"/>
      <c r="D49" s="339"/>
      <c r="E49" s="339"/>
      <c r="F49" s="339"/>
      <c r="G49" s="39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s="5" customFormat="1" ht="13.5" customHeight="1" x14ac:dyDescent="0.25">
      <c r="A50" s="27" t="s">
        <v>885</v>
      </c>
      <c r="B50" s="16">
        <f>SUM(B51:B52)</f>
        <v>16260</v>
      </c>
      <c r="C50" s="16">
        <f>SUM(C51:C52)</f>
        <v>16523</v>
      </c>
      <c r="D50" s="16">
        <f>SUM(D51:D52)</f>
        <v>15378</v>
      </c>
      <c r="E50" s="16">
        <f>SUM(E51:E52)</f>
        <v>15378</v>
      </c>
      <c r="F50" s="16">
        <f>SUM(F51:F52)</f>
        <v>15378</v>
      </c>
      <c r="G50" s="39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spans="1:22" s="5" customFormat="1" ht="13.5" customHeight="1" x14ac:dyDescent="0.25">
      <c r="A51" s="27" t="s">
        <v>502</v>
      </c>
      <c r="B51" s="209">
        <f>SUM('2.működés'!C13+'2.működés'!C15+'2.működés'!C16)</f>
        <v>16260</v>
      </c>
      <c r="C51" s="209">
        <f>SUM('2.működés'!D13+'2.működés'!D15+'2.működés'!D16)</f>
        <v>16523</v>
      </c>
      <c r="D51" s="209">
        <f>SUM('2.működés'!E13+'2.működés'!E15+'2.működés'!E16)</f>
        <v>15378</v>
      </c>
      <c r="E51" s="209">
        <f>SUM('2.működés'!F13+'2.működés'!F15+'2.működés'!F16)</f>
        <v>15378</v>
      </c>
      <c r="F51" s="209">
        <f>SUM('2.működés'!G13+'2.működés'!G15+'2.működés'!G16)</f>
        <v>15378</v>
      </c>
      <c r="G51" s="394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2" s="5" customFormat="1" ht="13.5" hidden="1" customHeight="1" x14ac:dyDescent="0.25">
      <c r="A52" s="289" t="s">
        <v>503</v>
      </c>
      <c r="B52" s="339"/>
      <c r="C52" s="339"/>
      <c r="D52" s="339"/>
      <c r="E52" s="339"/>
      <c r="F52" s="339"/>
      <c r="G52" s="394"/>
      <c r="H52" s="6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s="5" customFormat="1" ht="18" hidden="1" x14ac:dyDescent="0.25">
      <c r="A53" s="289"/>
      <c r="B53" s="244"/>
      <c r="C53" s="244"/>
      <c r="D53" s="244"/>
      <c r="E53" s="244"/>
      <c r="F53" s="244"/>
      <c r="G53" s="394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spans="1:22" s="5" customFormat="1" ht="15" customHeight="1" x14ac:dyDescent="0.25">
      <c r="A54" s="9" t="s">
        <v>464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394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spans="1:22" s="5" customFormat="1" ht="15" customHeight="1" x14ac:dyDescent="0.25">
      <c r="A55" s="9" t="s">
        <v>971</v>
      </c>
      <c r="B55" s="16"/>
      <c r="C55" s="16"/>
      <c r="D55" s="16"/>
      <c r="E55" s="16"/>
      <c r="F55" s="16"/>
      <c r="G55" s="394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2" s="5" customFormat="1" ht="13.5" customHeight="1" x14ac:dyDescent="0.25">
      <c r="A56" s="20" t="s">
        <v>525</v>
      </c>
      <c r="B56" s="288">
        <v>400</v>
      </c>
      <c r="C56" s="288">
        <v>400</v>
      </c>
      <c r="D56" s="288">
        <v>400</v>
      </c>
      <c r="E56" s="288">
        <v>400</v>
      </c>
      <c r="F56" s="288">
        <v>400</v>
      </c>
      <c r="G56" s="789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spans="1:22" s="5" customFormat="1" ht="14.25" hidden="1" customHeight="1" x14ac:dyDescent="0.25">
      <c r="A57" s="9"/>
      <c r="B57" s="16"/>
      <c r="C57" s="16"/>
      <c r="D57" s="16"/>
      <c r="E57" s="16"/>
      <c r="F57" s="16"/>
      <c r="G57" s="789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1:22" s="5" customFormat="1" ht="14.25" customHeight="1" x14ac:dyDescent="0.25">
      <c r="A58" s="22" t="s">
        <v>410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89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spans="1:22" s="5" customFormat="1" ht="14.25" customHeight="1" x14ac:dyDescent="0.25">
      <c r="A59" s="22" t="s">
        <v>26</v>
      </c>
      <c r="B59" s="15">
        <f>SUM(B60:B69)</f>
        <v>41200</v>
      </c>
      <c r="C59" s="15">
        <f>SUM(C60:C69)</f>
        <v>41200</v>
      </c>
      <c r="D59" s="15">
        <f>SUM(D60:D69)</f>
        <v>41200</v>
      </c>
      <c r="E59" s="15">
        <f>SUM(E60:E69)</f>
        <v>41200</v>
      </c>
      <c r="F59" s="15">
        <f>SUM(F60:F69)</f>
        <v>41200</v>
      </c>
      <c r="G59" s="394"/>
      <c r="H59" s="50"/>
      <c r="I59" s="50"/>
      <c r="J59" s="50"/>
      <c r="K59" s="50"/>
      <c r="L59" s="50"/>
      <c r="M59" s="50"/>
      <c r="N59" s="815"/>
      <c r="O59" s="50"/>
      <c r="P59" s="50"/>
      <c r="Q59" s="50"/>
      <c r="R59" s="50"/>
      <c r="S59" s="50"/>
      <c r="T59" s="50"/>
      <c r="U59" s="50"/>
      <c r="V59" s="50"/>
    </row>
    <row r="60" spans="1:22" s="5" customFormat="1" ht="13.5" customHeight="1" x14ac:dyDescent="0.25">
      <c r="A60" s="25" t="s">
        <v>899</v>
      </c>
      <c r="B60" s="16">
        <v>14500</v>
      </c>
      <c r="C60" s="16">
        <v>14500</v>
      </c>
      <c r="D60" s="16">
        <v>14500</v>
      </c>
      <c r="E60" s="16">
        <v>14500</v>
      </c>
      <c r="F60" s="16">
        <v>14500</v>
      </c>
      <c r="G60" s="793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spans="1:22" s="5" customFormat="1" ht="13.5" customHeight="1" x14ac:dyDescent="0.25">
      <c r="A61" s="194" t="s">
        <v>960</v>
      </c>
      <c r="B61" s="202"/>
      <c r="C61" s="202"/>
      <c r="D61" s="202"/>
      <c r="E61" s="202"/>
      <c r="F61" s="202"/>
      <c r="G61" s="394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spans="1:22" s="5" customFormat="1" ht="13.5" customHeight="1" x14ac:dyDescent="0.25">
      <c r="A62" s="194" t="s">
        <v>959</v>
      </c>
      <c r="B62" s="202"/>
      <c r="C62" s="202"/>
      <c r="D62" s="202"/>
      <c r="E62" s="202"/>
      <c r="F62" s="202"/>
      <c r="G62" s="394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spans="1:22" ht="13.5" customHeight="1" x14ac:dyDescent="0.2">
      <c r="A63" s="195" t="s">
        <v>524</v>
      </c>
      <c r="B63" s="748">
        <v>23000</v>
      </c>
      <c r="C63" s="748">
        <v>23000</v>
      </c>
      <c r="D63" s="748">
        <v>23000</v>
      </c>
      <c r="E63" s="748">
        <v>23000</v>
      </c>
      <c r="F63" s="748">
        <v>23000</v>
      </c>
      <c r="G63" s="394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spans="1:22" x14ac:dyDescent="0.2">
      <c r="A64" s="20" t="s">
        <v>1148</v>
      </c>
      <c r="B64" s="16">
        <v>3500</v>
      </c>
      <c r="C64" s="16">
        <v>3500</v>
      </c>
      <c r="D64" s="16">
        <v>3500</v>
      </c>
      <c r="E64" s="16">
        <v>3500</v>
      </c>
      <c r="F64" s="16">
        <v>3500</v>
      </c>
      <c r="G64" s="394"/>
      <c r="H64" s="50"/>
      <c r="I64" s="50"/>
      <c r="J64" s="50"/>
      <c r="K64" s="50"/>
      <c r="L64" s="815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spans="1:22" ht="12.75" customHeight="1" x14ac:dyDescent="0.2">
      <c r="A65" s="9" t="s">
        <v>869</v>
      </c>
      <c r="B65" s="17">
        <v>200</v>
      </c>
      <c r="C65" s="17">
        <v>200</v>
      </c>
      <c r="D65" s="17">
        <v>200</v>
      </c>
      <c r="E65" s="17">
        <v>200</v>
      </c>
      <c r="F65" s="17">
        <v>200</v>
      </c>
      <c r="G65" s="39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 spans="1:22" ht="12.75" customHeight="1" thickBot="1" x14ac:dyDescent="0.25">
      <c r="A66" s="9"/>
      <c r="B66" s="17"/>
      <c r="C66" s="17"/>
      <c r="D66" s="17"/>
      <c r="E66" s="17"/>
      <c r="F66" s="17"/>
      <c r="G66" s="39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</row>
    <row r="67" spans="1:22" ht="12.75" hidden="1" customHeight="1" thickBot="1" x14ac:dyDescent="0.25">
      <c r="A67" s="9"/>
      <c r="B67" s="17"/>
      <c r="C67" s="17"/>
      <c r="D67" s="660"/>
      <c r="E67" s="17"/>
      <c r="F67" s="17"/>
      <c r="G67" s="39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</row>
    <row r="68" spans="1:22" ht="12.75" hidden="1" customHeight="1" thickBot="1" x14ac:dyDescent="0.25">
      <c r="A68" s="9"/>
      <c r="B68" s="17"/>
      <c r="C68" s="17"/>
      <c r="D68" s="660"/>
      <c r="E68" s="17"/>
      <c r="F68" s="17"/>
      <c r="G68" s="39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 spans="1:22" ht="12.75" hidden="1" customHeight="1" thickBot="1" x14ac:dyDescent="0.25">
      <c r="A69" s="14"/>
      <c r="B69" s="40"/>
      <c r="C69" s="40"/>
      <c r="D69" s="661"/>
      <c r="E69" s="40"/>
      <c r="F69" s="40"/>
      <c r="G69" s="39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 spans="1:22" ht="16.5" thickBot="1" x14ac:dyDescent="0.25">
      <c r="A70" s="324" t="s">
        <v>461</v>
      </c>
      <c r="B70" s="390">
        <f>SUM(B71:B75)</f>
        <v>3279</v>
      </c>
      <c r="C70" s="390">
        <f>SUM(C71:C75)</f>
        <v>3608</v>
      </c>
      <c r="D70" s="390">
        <f>SUM(D71:D75)</f>
        <v>3958</v>
      </c>
      <c r="E70" s="390">
        <f>SUM(E71:E75)</f>
        <v>3958</v>
      </c>
      <c r="F70" s="391">
        <f>SUM(F71:F75)</f>
        <v>3958</v>
      </c>
      <c r="G70" s="394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 spans="1:22" x14ac:dyDescent="0.2">
      <c r="A71" s="24"/>
      <c r="B71" s="17">
        <v>0</v>
      </c>
      <c r="C71" s="17">
        <v>0</v>
      </c>
      <c r="D71" s="17"/>
      <c r="E71" s="17"/>
      <c r="F71" s="16"/>
      <c r="G71" s="394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 spans="1:22" x14ac:dyDescent="0.2">
      <c r="A72" s="25" t="s">
        <v>1131</v>
      </c>
      <c r="B72" s="16">
        <v>0</v>
      </c>
      <c r="C72" s="16">
        <v>317</v>
      </c>
      <c r="D72" s="16">
        <f>(3000+115+840)</f>
        <v>3955</v>
      </c>
      <c r="E72" s="16">
        <f>(3000+115+840)</f>
        <v>3955</v>
      </c>
      <c r="F72" s="16">
        <f>(3000+115+840)</f>
        <v>3955</v>
      </c>
      <c r="G72" s="394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 spans="1:22" x14ac:dyDescent="0.2">
      <c r="A73" s="25" t="s">
        <v>1324</v>
      </c>
      <c r="B73" s="16">
        <v>0</v>
      </c>
      <c r="C73" s="16">
        <v>12</v>
      </c>
      <c r="D73" s="16"/>
      <c r="E73" s="16"/>
      <c r="F73" s="16"/>
      <c r="G73" s="394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spans="1:22" x14ac:dyDescent="0.2">
      <c r="A74" s="25" t="s">
        <v>1197</v>
      </c>
      <c r="B74" s="16">
        <v>3279</v>
      </c>
      <c r="C74" s="16">
        <v>3279</v>
      </c>
      <c r="D74" s="16"/>
      <c r="E74" s="16"/>
      <c r="F74" s="16"/>
      <c r="G74" s="394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spans="1:22" ht="13.5" thickBot="1" x14ac:dyDescent="0.25">
      <c r="A75" s="9" t="s">
        <v>1203</v>
      </c>
      <c r="B75" s="17">
        <v>0</v>
      </c>
      <c r="C75" s="17">
        <v>0</v>
      </c>
      <c r="D75" s="17">
        <v>3</v>
      </c>
      <c r="E75" s="17">
        <v>3</v>
      </c>
      <c r="F75" s="17">
        <v>3</v>
      </c>
      <c r="G75" s="394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spans="1:22" ht="20.25" customHeight="1" thickBot="1" x14ac:dyDescent="0.3">
      <c r="A76" s="325" t="s">
        <v>462</v>
      </c>
      <c r="B76" s="322">
        <f>SUM(B8+B42+B70)</f>
        <v>385336</v>
      </c>
      <c r="C76" s="322">
        <f>SUM(C8+C42+C70)</f>
        <v>388888</v>
      </c>
      <c r="D76" s="322">
        <f>SUM(D8+D42+D70)</f>
        <v>346152</v>
      </c>
      <c r="E76" s="322">
        <f>SUM(E8+E42+E70)</f>
        <v>346152</v>
      </c>
      <c r="F76" s="323">
        <f>SUM(F8+F42+F70)</f>
        <v>346152</v>
      </c>
      <c r="G76" s="394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spans="1:22" x14ac:dyDescent="0.2">
      <c r="A77" s="1"/>
      <c r="B77" s="45"/>
      <c r="C77" s="45"/>
      <c r="D77" s="45"/>
      <c r="E77" s="45"/>
      <c r="F77" s="45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 spans="1:22" hidden="1" x14ac:dyDescent="0.2">
      <c r="A78" s="1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</row>
    <row r="79" spans="1:22" ht="15.75" hidden="1" x14ac:dyDescent="0.25">
      <c r="A79" s="191" t="s">
        <v>98</v>
      </c>
      <c r="B79" s="140"/>
      <c r="C79" s="140"/>
      <c r="D79" s="662"/>
      <c r="E79" s="140"/>
      <c r="F79" s="14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 spans="1:22" hidden="1" x14ac:dyDescent="0.2">
      <c r="A80" s="72" t="s">
        <v>99</v>
      </c>
      <c r="B80" s="71"/>
      <c r="C80" s="71"/>
      <c r="D80" s="663"/>
      <c r="E80" s="71"/>
      <c r="F80" s="71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</row>
    <row r="81" spans="1:22" hidden="1" x14ac:dyDescent="0.2">
      <c r="A81" s="72" t="s">
        <v>100</v>
      </c>
      <c r="B81" s="71"/>
      <c r="C81" s="71"/>
      <c r="D81" s="663"/>
      <c r="E81" s="71"/>
      <c r="F81" s="71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2" spans="1:22" hidden="1" x14ac:dyDescent="0.2">
      <c r="A82" s="72" t="s">
        <v>101</v>
      </c>
      <c r="B82" s="68"/>
      <c r="C82" s="68"/>
      <c r="D82" s="41"/>
      <c r="E82" s="68"/>
      <c r="F82" s="68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</row>
    <row r="83" spans="1:22" hidden="1" x14ac:dyDescent="0.2">
      <c r="A83" s="72" t="s">
        <v>102</v>
      </c>
      <c r="B83" s="71">
        <v>201</v>
      </c>
      <c r="C83" s="71">
        <v>201</v>
      </c>
      <c r="D83" s="663">
        <v>201</v>
      </c>
      <c r="E83" s="71">
        <v>201</v>
      </c>
      <c r="F83" s="71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spans="1:22" hidden="1" x14ac:dyDescent="0.2">
      <c r="A84" s="72" t="s">
        <v>109</v>
      </c>
      <c r="B84" s="68"/>
      <c r="C84" s="68"/>
      <c r="D84" s="41"/>
      <c r="E84" s="68"/>
      <c r="F84" s="68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 spans="1:22" hidden="1" x14ac:dyDescent="0.2">
      <c r="A85" s="71" t="s">
        <v>103</v>
      </c>
      <c r="B85" s="71"/>
      <c r="C85" s="71"/>
      <c r="D85" s="663"/>
      <c r="E85" s="71"/>
      <c r="F85" s="71"/>
    </row>
    <row r="86" spans="1:22" hidden="1" x14ac:dyDescent="0.2">
      <c r="A86" s="71" t="s">
        <v>104</v>
      </c>
      <c r="B86" s="71"/>
      <c r="C86" s="71"/>
      <c r="D86" s="663"/>
      <c r="E86" s="71"/>
      <c r="F86" s="71"/>
    </row>
    <row r="87" spans="1:22" hidden="1" x14ac:dyDescent="0.2">
      <c r="B87" s="86">
        <f>SUM(B8+B42+B70)</f>
        <v>385336</v>
      </c>
      <c r="C87" s="86">
        <f>SUM(C8+C42+C70)</f>
        <v>388888</v>
      </c>
      <c r="D87" s="45">
        <f>SUM(D8+D42+D70)</f>
        <v>346152</v>
      </c>
      <c r="E87" s="86">
        <f>SUM(E8+E42+E70)</f>
        <v>346152</v>
      </c>
    </row>
    <row r="88" spans="1:22" x14ac:dyDescent="0.2">
      <c r="A88" s="335"/>
    </row>
  </sheetData>
  <mergeCells count="7">
    <mergeCell ref="B26:B35"/>
    <mergeCell ref="F26:F35"/>
    <mergeCell ref="A3:F3"/>
    <mergeCell ref="A4:F4"/>
    <mergeCell ref="C26:C35"/>
    <mergeCell ref="D26:D35"/>
    <mergeCell ref="E26:E35"/>
  </mergeCells>
  <pageMargins left="0.9055118110236221" right="0.19685039370078741" top="0.35433070866141736" bottom="0.39370078740157483" header="0.31496062992125984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9"/>
  <sheetViews>
    <sheetView zoomScaleNormal="100" workbookViewId="0">
      <selection activeCell="A48" sqref="A48"/>
    </sheetView>
  </sheetViews>
  <sheetFormatPr defaultRowHeight="12.75" x14ac:dyDescent="0.2"/>
  <cols>
    <col min="1" max="1" width="51" style="245" customWidth="1"/>
    <col min="2" max="2" width="10" style="773" customWidth="1"/>
    <col min="3" max="3" width="12" style="773" customWidth="1"/>
    <col min="4" max="4" width="10.7109375" style="773" customWidth="1"/>
    <col min="5" max="6" width="10.42578125" style="773" customWidth="1"/>
    <col min="7" max="7" width="11.42578125" style="774" customWidth="1"/>
    <col min="8" max="8" width="9.85546875" style="773" customWidth="1"/>
    <col min="9" max="9" width="12" style="773" customWidth="1"/>
    <col min="10" max="10" width="11.42578125" style="773" customWidth="1"/>
    <col min="11" max="11" width="11.140625" style="773" customWidth="1"/>
    <col min="12" max="13" width="12.28515625" style="773" customWidth="1"/>
    <col min="14" max="16384" width="9.140625" style="245"/>
  </cols>
  <sheetData>
    <row r="1" spans="1:25" x14ac:dyDescent="0.2">
      <c r="A1" s="946" t="s">
        <v>263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771"/>
      <c r="O1" s="771"/>
      <c r="P1" s="771"/>
      <c r="Q1" s="771"/>
      <c r="R1" s="771"/>
      <c r="S1" s="771"/>
      <c r="T1" s="771"/>
      <c r="U1" s="771"/>
      <c r="V1" s="771"/>
      <c r="W1" s="771"/>
      <c r="X1" s="771"/>
      <c r="Y1" s="771"/>
    </row>
    <row r="2" spans="1:25" x14ac:dyDescent="0.2">
      <c r="A2" s="772"/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65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</row>
    <row r="3" spans="1:25" ht="15" customHeight="1" x14ac:dyDescent="0.2">
      <c r="A3" s="947" t="s">
        <v>1062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771"/>
      <c r="O3" s="771"/>
      <c r="P3" s="771"/>
      <c r="Q3" s="771"/>
      <c r="R3" s="771"/>
      <c r="S3" s="771"/>
      <c r="T3" s="771"/>
      <c r="U3" s="771"/>
      <c r="V3" s="771"/>
      <c r="W3" s="771"/>
      <c r="X3" s="771"/>
      <c r="Y3" s="771"/>
    </row>
    <row r="4" spans="1:25" ht="12.95" customHeight="1" thickBot="1" x14ac:dyDescent="0.25">
      <c r="M4" s="765" t="s">
        <v>0</v>
      </c>
    </row>
    <row r="5" spans="1:25" ht="16.5" customHeight="1" x14ac:dyDescent="0.2">
      <c r="A5" s="948"/>
      <c r="B5" s="950" t="s">
        <v>63</v>
      </c>
      <c r="C5" s="950"/>
      <c r="D5" s="950"/>
      <c r="E5" s="950"/>
      <c r="F5" s="950"/>
      <c r="G5" s="950"/>
      <c r="H5" s="950" t="s">
        <v>395</v>
      </c>
      <c r="I5" s="950"/>
      <c r="J5" s="950"/>
      <c r="K5" s="950"/>
      <c r="L5" s="950"/>
      <c r="M5" s="951" t="s">
        <v>64</v>
      </c>
    </row>
    <row r="6" spans="1:25" ht="27.75" customHeight="1" x14ac:dyDescent="0.2">
      <c r="A6" s="949"/>
      <c r="B6" s="945" t="s">
        <v>390</v>
      </c>
      <c r="C6" s="945" t="s">
        <v>437</v>
      </c>
      <c r="D6" s="945"/>
      <c r="E6" s="953" t="s">
        <v>508</v>
      </c>
      <c r="F6" s="945" t="s">
        <v>447</v>
      </c>
      <c r="G6" s="945" t="s">
        <v>6</v>
      </c>
      <c r="H6" s="945" t="s">
        <v>409</v>
      </c>
      <c r="I6" s="945" t="s">
        <v>391</v>
      </c>
      <c r="J6" s="945" t="s">
        <v>450</v>
      </c>
      <c r="K6" s="955" t="s">
        <v>512</v>
      </c>
      <c r="L6" s="945" t="s">
        <v>11</v>
      </c>
      <c r="M6" s="952"/>
    </row>
    <row r="7" spans="1:25" ht="42.75" customHeight="1" thickBot="1" x14ac:dyDescent="0.25">
      <c r="A7" s="949"/>
      <c r="B7" s="945"/>
      <c r="C7" s="76" t="s">
        <v>506</v>
      </c>
      <c r="D7" s="76" t="s">
        <v>507</v>
      </c>
      <c r="E7" s="954"/>
      <c r="F7" s="945"/>
      <c r="G7" s="945"/>
      <c r="H7" s="945"/>
      <c r="I7" s="945"/>
      <c r="J7" s="945"/>
      <c r="K7" s="956"/>
      <c r="L7" s="945"/>
      <c r="M7" s="952"/>
    </row>
    <row r="8" spans="1:25" ht="16.5" customHeight="1" thickBot="1" x14ac:dyDescent="0.25">
      <c r="A8" s="145" t="s">
        <v>1063</v>
      </c>
      <c r="B8" s="153">
        <f t="shared" ref="B8:L8" si="0">B14+B21+B27</f>
        <v>771691</v>
      </c>
      <c r="C8" s="153">
        <f t="shared" si="0"/>
        <v>0</v>
      </c>
      <c r="D8" s="153">
        <f t="shared" si="0"/>
        <v>17000</v>
      </c>
      <c r="E8" s="153">
        <f t="shared" si="0"/>
        <v>0</v>
      </c>
      <c r="F8" s="153">
        <f t="shared" si="0"/>
        <v>252154</v>
      </c>
      <c r="G8" s="153">
        <f t="shared" si="0"/>
        <v>1040845</v>
      </c>
      <c r="H8" s="153">
        <f t="shared" si="0"/>
        <v>23534</v>
      </c>
      <c r="I8" s="153">
        <f t="shared" si="0"/>
        <v>50300</v>
      </c>
      <c r="J8" s="153">
        <f t="shared" si="0"/>
        <v>729865</v>
      </c>
      <c r="K8" s="153">
        <f t="shared" si="0"/>
        <v>0</v>
      </c>
      <c r="L8" s="153">
        <f t="shared" si="0"/>
        <v>803699</v>
      </c>
      <c r="M8" s="147">
        <f t="shared" ref="M8:M27" si="1">SUM(L8,G8)</f>
        <v>1844544</v>
      </c>
    </row>
    <row r="9" spans="1:25" ht="16.5" customHeight="1" thickBot="1" x14ac:dyDescent="0.25">
      <c r="A9" s="145" t="s">
        <v>1336</v>
      </c>
      <c r="B9" s="153">
        <f t="shared" ref="B9:L9" si="2">B15+B22</f>
        <v>783731</v>
      </c>
      <c r="C9" s="153">
        <f t="shared" si="2"/>
        <v>0</v>
      </c>
      <c r="D9" s="153">
        <f t="shared" si="2"/>
        <v>22120</v>
      </c>
      <c r="E9" s="153">
        <f t="shared" si="2"/>
        <v>0</v>
      </c>
      <c r="F9" s="153">
        <f t="shared" si="2"/>
        <v>252154</v>
      </c>
      <c r="G9" s="153">
        <f t="shared" si="2"/>
        <v>1058005</v>
      </c>
      <c r="H9" s="153">
        <f t="shared" si="2"/>
        <v>144238</v>
      </c>
      <c r="I9" s="153">
        <f t="shared" si="2"/>
        <v>50300</v>
      </c>
      <c r="J9" s="153">
        <f t="shared" si="2"/>
        <v>729865</v>
      </c>
      <c r="K9" s="153">
        <f t="shared" si="2"/>
        <v>0</v>
      </c>
      <c r="L9" s="153">
        <f t="shared" si="2"/>
        <v>924403</v>
      </c>
      <c r="M9" s="147">
        <f t="shared" si="1"/>
        <v>1982408</v>
      </c>
    </row>
    <row r="10" spans="1:25" ht="16.5" hidden="1" customHeight="1" thickBot="1" x14ac:dyDescent="0.25">
      <c r="A10" s="145" t="s">
        <v>1064</v>
      </c>
      <c r="B10" s="153" t="e">
        <f t="shared" ref="B10:L10" si="3">B16+B23</f>
        <v>#REF!</v>
      </c>
      <c r="C10" s="153">
        <f t="shared" si="3"/>
        <v>0</v>
      </c>
      <c r="D10" s="153">
        <f t="shared" si="3"/>
        <v>14169</v>
      </c>
      <c r="E10" s="153">
        <f t="shared" si="3"/>
        <v>0</v>
      </c>
      <c r="F10" s="153">
        <f t="shared" si="3"/>
        <v>110802</v>
      </c>
      <c r="G10" s="153" t="e">
        <f t="shared" si="3"/>
        <v>#REF!</v>
      </c>
      <c r="H10" s="153">
        <f t="shared" si="3"/>
        <v>322402</v>
      </c>
      <c r="I10" s="153">
        <f t="shared" si="3"/>
        <v>28941</v>
      </c>
      <c r="J10" s="153">
        <f t="shared" si="3"/>
        <v>673890</v>
      </c>
      <c r="K10" s="153">
        <f t="shared" si="3"/>
        <v>0</v>
      </c>
      <c r="L10" s="153">
        <f t="shared" si="3"/>
        <v>1025233</v>
      </c>
      <c r="M10" s="147" t="e">
        <f>SUM(L10,G10)</f>
        <v>#REF!</v>
      </c>
    </row>
    <row r="11" spans="1:25" ht="16.5" hidden="1" customHeight="1" thickBot="1" x14ac:dyDescent="0.25">
      <c r="A11" s="145" t="s">
        <v>1065</v>
      </c>
      <c r="B11" s="153" t="e">
        <f t="shared" ref="B11:L11" si="4">B17+B24</f>
        <v>#REF!</v>
      </c>
      <c r="C11" s="153">
        <f t="shared" si="4"/>
        <v>0</v>
      </c>
      <c r="D11" s="153">
        <f t="shared" si="4"/>
        <v>14169</v>
      </c>
      <c r="E11" s="153">
        <f t="shared" si="4"/>
        <v>0</v>
      </c>
      <c r="F11" s="153">
        <f t="shared" si="4"/>
        <v>110802</v>
      </c>
      <c r="G11" s="153" t="e">
        <f t="shared" si="4"/>
        <v>#REF!</v>
      </c>
      <c r="H11" s="153">
        <f t="shared" si="4"/>
        <v>322402</v>
      </c>
      <c r="I11" s="153">
        <f t="shared" si="4"/>
        <v>28941</v>
      </c>
      <c r="J11" s="153">
        <f t="shared" si="4"/>
        <v>673890</v>
      </c>
      <c r="K11" s="153">
        <f t="shared" si="4"/>
        <v>0</v>
      </c>
      <c r="L11" s="153">
        <f t="shared" si="4"/>
        <v>1025233</v>
      </c>
      <c r="M11" s="147" t="e">
        <f>SUM(L11,G11)</f>
        <v>#REF!</v>
      </c>
    </row>
    <row r="12" spans="1:25" ht="16.5" hidden="1" customHeight="1" thickBot="1" x14ac:dyDescent="0.25">
      <c r="A12" s="145"/>
      <c r="B12" s="153">
        <f t="shared" ref="B12:L12" si="5">B18+B25</f>
        <v>0</v>
      </c>
      <c r="C12" s="153">
        <f t="shared" si="5"/>
        <v>0</v>
      </c>
      <c r="D12" s="153">
        <f t="shared" si="5"/>
        <v>0</v>
      </c>
      <c r="E12" s="153">
        <f t="shared" si="5"/>
        <v>0</v>
      </c>
      <c r="F12" s="153">
        <f t="shared" si="5"/>
        <v>0</v>
      </c>
      <c r="G12" s="153">
        <f t="shared" si="5"/>
        <v>0</v>
      </c>
      <c r="H12" s="153">
        <f t="shared" si="5"/>
        <v>0</v>
      </c>
      <c r="I12" s="153">
        <f t="shared" si="5"/>
        <v>0</v>
      </c>
      <c r="J12" s="153">
        <f t="shared" si="5"/>
        <v>0</v>
      </c>
      <c r="K12" s="153">
        <f t="shared" si="5"/>
        <v>0</v>
      </c>
      <c r="L12" s="153">
        <f t="shared" si="5"/>
        <v>0</v>
      </c>
      <c r="M12" s="147">
        <f>SUM(L12,G12)</f>
        <v>0</v>
      </c>
    </row>
    <row r="13" spans="1:25" ht="16.5" hidden="1" customHeight="1" thickBot="1" x14ac:dyDescent="0.25">
      <c r="A13" s="145" t="s">
        <v>1079</v>
      </c>
      <c r="B13" s="153" t="e">
        <f t="shared" ref="B13:L13" si="6">B19+B26</f>
        <v>#REF!</v>
      </c>
      <c r="C13" s="153">
        <f t="shared" si="6"/>
        <v>0</v>
      </c>
      <c r="D13" s="153">
        <f t="shared" si="6"/>
        <v>14169</v>
      </c>
      <c r="E13" s="153">
        <f t="shared" si="6"/>
        <v>0</v>
      </c>
      <c r="F13" s="153">
        <f t="shared" si="6"/>
        <v>110802</v>
      </c>
      <c r="G13" s="153" t="e">
        <f t="shared" si="6"/>
        <v>#REF!</v>
      </c>
      <c r="H13" s="153">
        <f t="shared" si="6"/>
        <v>322402</v>
      </c>
      <c r="I13" s="153">
        <f t="shared" si="6"/>
        <v>28941</v>
      </c>
      <c r="J13" s="153">
        <f t="shared" si="6"/>
        <v>673890</v>
      </c>
      <c r="K13" s="153">
        <f t="shared" si="6"/>
        <v>0</v>
      </c>
      <c r="L13" s="153">
        <f t="shared" si="6"/>
        <v>1025233</v>
      </c>
      <c r="M13" s="147" t="e">
        <f>SUM(L13,G13)</f>
        <v>#REF!</v>
      </c>
    </row>
    <row r="14" spans="1:25" ht="16.5" customHeight="1" x14ac:dyDescent="0.2">
      <c r="A14" s="775" t="s">
        <v>1066</v>
      </c>
      <c r="B14" s="329">
        <f>SUM('7.finanszírozás.'!C8-'2.működés'!C92)</f>
        <v>771691</v>
      </c>
      <c r="C14" s="360"/>
      <c r="D14" s="329">
        <f>SUM('2.működés'!C92)</f>
        <v>17000</v>
      </c>
      <c r="E14" s="329">
        <f>'2.működés'!C105</f>
        <v>0</v>
      </c>
      <c r="F14" s="329">
        <f>SUM('2.működés'!C100-'7.finanszírozás.'!D32)</f>
        <v>252154</v>
      </c>
      <c r="G14" s="329">
        <f>SUM(B14:F14)</f>
        <v>1040845</v>
      </c>
      <c r="H14" s="329"/>
      <c r="I14" s="329"/>
      <c r="J14" s="329">
        <f>'1.Bev-kiad.'!C57</f>
        <v>729865</v>
      </c>
      <c r="K14" s="329"/>
      <c r="L14" s="329">
        <f>SUM(H14:K14)</f>
        <v>729865</v>
      </c>
      <c r="M14" s="374">
        <f>SUM(L14,G14)</f>
        <v>1770710</v>
      </c>
    </row>
    <row r="15" spans="1:25" ht="16.5" customHeight="1" x14ac:dyDescent="0.2">
      <c r="A15" s="775" t="s">
        <v>1337</v>
      </c>
      <c r="B15" s="329">
        <f>SUM('7.finanszírozás.'!C9-'2.működés'!D92)</f>
        <v>783731</v>
      </c>
      <c r="C15" s="777"/>
      <c r="D15" s="329">
        <f>SUM('2.működés'!D92)</f>
        <v>22120</v>
      </c>
      <c r="E15" s="329">
        <f>'2.működés'!D105</f>
        <v>0</v>
      </c>
      <c r="F15" s="329">
        <f>SUM('2.működés'!D100-'7.finanszírozás.'!D33)</f>
        <v>252154</v>
      </c>
      <c r="G15" s="776">
        <f t="shared" ref="G15:G27" si="7">SUM(B15:F15)</f>
        <v>1058005</v>
      </c>
      <c r="H15" s="776"/>
      <c r="I15" s="776"/>
      <c r="J15" s="329">
        <f>'1.Bev-kiad.'!D57</f>
        <v>729865</v>
      </c>
      <c r="K15" s="776"/>
      <c r="L15" s="776">
        <f t="shared" ref="L15:L27" si="8">SUM(H15:K15)</f>
        <v>729865</v>
      </c>
      <c r="M15" s="778">
        <f t="shared" si="1"/>
        <v>1787870</v>
      </c>
    </row>
    <row r="16" spans="1:25" ht="16.5" hidden="1" customHeight="1" x14ac:dyDescent="0.2">
      <c r="A16" s="775" t="s">
        <v>1067</v>
      </c>
      <c r="B16" s="329" t="e">
        <f>SUM('7.finanszírozás.'!C10-'2.működés'!E96)</f>
        <v>#REF!</v>
      </c>
      <c r="C16" s="777"/>
      <c r="D16" s="329">
        <f>SUM('2.működés'!E96)</f>
        <v>14169</v>
      </c>
      <c r="E16" s="329">
        <f>'2.működés'!E105</f>
        <v>0</v>
      </c>
      <c r="F16" s="329">
        <f>SUM('2.működés'!E100-'7.finanszírozás.'!D34)</f>
        <v>110802</v>
      </c>
      <c r="G16" s="776" t="e">
        <f t="shared" si="7"/>
        <v>#REF!</v>
      </c>
      <c r="H16" s="776"/>
      <c r="I16" s="776"/>
      <c r="J16" s="329">
        <f>'1.Bev-kiad.'!E57</f>
        <v>673890</v>
      </c>
      <c r="K16" s="776"/>
      <c r="L16" s="776">
        <f t="shared" si="8"/>
        <v>673890</v>
      </c>
      <c r="M16" s="778" t="e">
        <f t="shared" si="1"/>
        <v>#REF!</v>
      </c>
    </row>
    <row r="17" spans="1:13" ht="16.5" hidden="1" customHeight="1" x14ac:dyDescent="0.2">
      <c r="A17" s="775" t="s">
        <v>1068</v>
      </c>
      <c r="B17" s="329" t="e">
        <f>SUM('7.finanszírozás.'!C11-'2.működés'!F96)</f>
        <v>#REF!</v>
      </c>
      <c r="C17" s="777"/>
      <c r="D17" s="329">
        <f>SUM('2.működés'!F96)</f>
        <v>14169</v>
      </c>
      <c r="E17" s="329">
        <f>'2.működés'!F105</f>
        <v>0</v>
      </c>
      <c r="F17" s="329">
        <f>SUM('2.működés'!F100-'7.finanszírozás.'!D35)</f>
        <v>110802</v>
      </c>
      <c r="G17" s="776" t="e">
        <f t="shared" si="7"/>
        <v>#REF!</v>
      </c>
      <c r="H17" s="776"/>
      <c r="I17" s="776"/>
      <c r="J17" s="329">
        <f>'1.Bev-kiad.'!F57</f>
        <v>673890</v>
      </c>
      <c r="K17" s="776"/>
      <c r="L17" s="776">
        <f t="shared" si="8"/>
        <v>673890</v>
      </c>
      <c r="M17" s="778" t="e">
        <f t="shared" si="1"/>
        <v>#REF!</v>
      </c>
    </row>
    <row r="18" spans="1:13" ht="16.5" hidden="1" customHeight="1" x14ac:dyDescent="0.2">
      <c r="A18" s="775"/>
      <c r="B18" s="329"/>
      <c r="C18" s="777"/>
      <c r="D18" s="329"/>
      <c r="E18" s="329"/>
      <c r="F18" s="329"/>
      <c r="G18" s="776">
        <f t="shared" si="7"/>
        <v>0</v>
      </c>
      <c r="H18" s="776"/>
      <c r="I18" s="776"/>
      <c r="J18" s="329"/>
      <c r="K18" s="776"/>
      <c r="L18" s="776">
        <f t="shared" si="8"/>
        <v>0</v>
      </c>
      <c r="M18" s="778">
        <f>SUM(L18,G18)</f>
        <v>0</v>
      </c>
    </row>
    <row r="19" spans="1:13" ht="16.5" hidden="1" customHeight="1" x14ac:dyDescent="0.2">
      <c r="A19" s="775" t="s">
        <v>1078</v>
      </c>
      <c r="B19" s="329" t="e">
        <f>SUM('7.finanszírozás.'!C13-'2.működés'!G96)</f>
        <v>#REF!</v>
      </c>
      <c r="C19" s="777"/>
      <c r="D19" s="329">
        <f>SUM('2.működés'!G96)</f>
        <v>14169</v>
      </c>
      <c r="E19" s="329">
        <f>'2.működés'!G105</f>
        <v>0</v>
      </c>
      <c r="F19" s="329">
        <f>SUM('2.működés'!G100-'7.finanszírozás.'!D37)</f>
        <v>110802</v>
      </c>
      <c r="G19" s="776" t="e">
        <f>SUM(B19:F19)</f>
        <v>#REF!</v>
      </c>
      <c r="H19" s="776"/>
      <c r="I19" s="776"/>
      <c r="J19" s="329">
        <f>'1.Bev-kiad.'!G57</f>
        <v>673890</v>
      </c>
      <c r="K19" s="776"/>
      <c r="L19" s="776">
        <f>SUM(H19:K19)</f>
        <v>673890</v>
      </c>
      <c r="M19" s="778" t="e">
        <f>SUM(L19,G19)</f>
        <v>#REF!</v>
      </c>
    </row>
    <row r="20" spans="1:13" ht="16.5" hidden="1" customHeight="1" x14ac:dyDescent="0.2">
      <c r="B20" s="329"/>
      <c r="C20" s="777"/>
      <c r="D20" s="329"/>
      <c r="E20" s="329"/>
      <c r="F20" s="776"/>
      <c r="G20" s="776">
        <f t="shared" si="7"/>
        <v>0</v>
      </c>
      <c r="H20" s="776"/>
      <c r="I20" s="776"/>
      <c r="J20" s="776"/>
      <c r="K20" s="776"/>
      <c r="L20" s="776">
        <f t="shared" si="8"/>
        <v>0</v>
      </c>
      <c r="M20" s="778">
        <f>SUM(L20,G20)</f>
        <v>0</v>
      </c>
    </row>
    <row r="21" spans="1:13" ht="16.5" customHeight="1" x14ac:dyDescent="0.2">
      <c r="A21" s="775" t="s">
        <v>1069</v>
      </c>
      <c r="B21" s="300"/>
      <c r="C21" s="300"/>
      <c r="D21" s="300"/>
      <c r="E21" s="300"/>
      <c r="F21" s="300"/>
      <c r="G21" s="300">
        <f>SUM(B21:F21)</f>
        <v>0</v>
      </c>
      <c r="H21" s="288">
        <f>'3.felh'!C12</f>
        <v>23534</v>
      </c>
      <c r="I21" s="288">
        <f>'3.felh'!C18+'3.felh'!C24</f>
        <v>50300</v>
      </c>
      <c r="J21" s="97"/>
      <c r="K21" s="96">
        <f>SUM('3.felh'!C33)</f>
        <v>0</v>
      </c>
      <c r="L21" s="300">
        <f t="shared" si="8"/>
        <v>73834</v>
      </c>
      <c r="M21" s="780">
        <f t="shared" si="1"/>
        <v>73834</v>
      </c>
    </row>
    <row r="22" spans="1:13" ht="16.5" customHeight="1" x14ac:dyDescent="0.2">
      <c r="A22" s="775" t="s">
        <v>1338</v>
      </c>
      <c r="B22" s="781"/>
      <c r="C22" s="781"/>
      <c r="D22" s="781"/>
      <c r="E22" s="781"/>
      <c r="F22" s="781"/>
      <c r="G22" s="300">
        <f>SUM(B22:F22)</f>
        <v>0</v>
      </c>
      <c r="H22" s="288">
        <f>'3.felh'!D12</f>
        <v>144238</v>
      </c>
      <c r="I22" s="288">
        <f>'3.felh'!D18+'3.felh'!D24</f>
        <v>50300</v>
      </c>
      <c r="J22" s="97"/>
      <c r="K22" s="96">
        <f>SUM('3.felh'!D33)</f>
        <v>0</v>
      </c>
      <c r="L22" s="300">
        <f t="shared" si="8"/>
        <v>194538</v>
      </c>
      <c r="M22" s="780">
        <f t="shared" si="1"/>
        <v>194538</v>
      </c>
    </row>
    <row r="23" spans="1:13" ht="16.5" hidden="1" customHeight="1" x14ac:dyDescent="0.2">
      <c r="A23" s="775" t="s">
        <v>1070</v>
      </c>
      <c r="B23" s="781"/>
      <c r="C23" s="781"/>
      <c r="D23" s="781"/>
      <c r="E23" s="781"/>
      <c r="F23" s="781"/>
      <c r="G23" s="300">
        <f>SUM(B23:F23)</f>
        <v>0</v>
      </c>
      <c r="H23" s="288">
        <f>'3.felh'!E12</f>
        <v>322402</v>
      </c>
      <c r="I23" s="288">
        <f>'3.felh'!E18+'3.felh'!E24</f>
        <v>28941</v>
      </c>
      <c r="J23" s="97"/>
      <c r="K23" s="96">
        <f>SUM('3.felh'!E33)</f>
        <v>0</v>
      </c>
      <c r="L23" s="300">
        <f t="shared" si="8"/>
        <v>351343</v>
      </c>
      <c r="M23" s="780">
        <f t="shared" si="1"/>
        <v>351343</v>
      </c>
    </row>
    <row r="24" spans="1:13" ht="16.5" hidden="1" customHeight="1" x14ac:dyDescent="0.2">
      <c r="A24" s="775" t="s">
        <v>1070</v>
      </c>
      <c r="B24" s="781"/>
      <c r="C24" s="781"/>
      <c r="D24" s="781"/>
      <c r="E24" s="781"/>
      <c r="F24" s="781"/>
      <c r="G24" s="300">
        <f t="shared" si="7"/>
        <v>0</v>
      </c>
      <c r="H24" s="288">
        <f>'3.felh'!F12</f>
        <v>322402</v>
      </c>
      <c r="I24" s="288">
        <f>'3.felh'!F18+'3.felh'!F24</f>
        <v>28941</v>
      </c>
      <c r="J24" s="97"/>
      <c r="K24" s="96">
        <f>SUM('3.felh'!F33)</f>
        <v>0</v>
      </c>
      <c r="L24" s="300">
        <f t="shared" si="8"/>
        <v>351343</v>
      </c>
      <c r="M24" s="780">
        <f t="shared" si="1"/>
        <v>351343</v>
      </c>
    </row>
    <row r="25" spans="1:13" ht="16.5" hidden="1" customHeight="1" x14ac:dyDescent="0.2">
      <c r="A25" s="775"/>
      <c r="B25" s="781"/>
      <c r="C25" s="781"/>
      <c r="D25" s="781"/>
      <c r="E25" s="781"/>
      <c r="F25" s="781"/>
      <c r="G25" s="300">
        <f t="shared" si="7"/>
        <v>0</v>
      </c>
      <c r="H25" s="288"/>
      <c r="I25" s="288"/>
      <c r="J25" s="97"/>
      <c r="K25" s="96"/>
      <c r="L25" s="300">
        <f t="shared" si="8"/>
        <v>0</v>
      </c>
      <c r="M25" s="780">
        <f>SUM(L25,G25)</f>
        <v>0</v>
      </c>
    </row>
    <row r="26" spans="1:13" ht="16.5" hidden="1" customHeight="1" x14ac:dyDescent="0.2">
      <c r="A26" s="775" t="str">
        <f>A19</f>
        <v xml:space="preserve">       Teljesítés 2021.12.31.</v>
      </c>
      <c r="B26" s="781"/>
      <c r="C26" s="781"/>
      <c r="D26" s="781"/>
      <c r="E26" s="781"/>
      <c r="F26" s="781"/>
      <c r="G26" s="300">
        <f t="shared" si="7"/>
        <v>0</v>
      </c>
      <c r="H26" s="288">
        <f>'3.felh'!G12</f>
        <v>322402</v>
      </c>
      <c r="I26" s="288">
        <f>'3.felh'!G18+'3.felh'!G24</f>
        <v>28941</v>
      </c>
      <c r="J26" s="97"/>
      <c r="K26" s="96">
        <f>SUM('3.felh'!G33)</f>
        <v>0</v>
      </c>
      <c r="L26" s="300">
        <f t="shared" si="8"/>
        <v>351343</v>
      </c>
      <c r="M26" s="780">
        <f>SUM(L26,G25)</f>
        <v>351343</v>
      </c>
    </row>
    <row r="27" spans="1:13" ht="13.5" thickBot="1" x14ac:dyDescent="0.25">
      <c r="A27" s="782" t="s">
        <v>106</v>
      </c>
      <c r="B27" s="783"/>
      <c r="C27" s="783"/>
      <c r="D27" s="783"/>
      <c r="E27" s="783"/>
      <c r="F27" s="783"/>
      <c r="G27" s="300">
        <f t="shared" si="7"/>
        <v>0</v>
      </c>
      <c r="H27" s="783"/>
      <c r="I27" s="783"/>
      <c r="J27" s="783"/>
      <c r="K27" s="783"/>
      <c r="L27" s="300">
        <f t="shared" si="8"/>
        <v>0</v>
      </c>
      <c r="M27" s="780">
        <f t="shared" si="1"/>
        <v>0</v>
      </c>
    </row>
    <row r="28" spans="1:13" ht="15.75" customHeight="1" thickBot="1" x14ac:dyDescent="0.25">
      <c r="A28" s="145" t="s">
        <v>1071</v>
      </c>
      <c r="B28" s="153">
        <f t="shared" ref="B28:G32" si="9">SUM(B34)</f>
        <v>35925</v>
      </c>
      <c r="C28" s="153">
        <f t="shared" si="9"/>
        <v>131680</v>
      </c>
      <c r="D28" s="153">
        <f t="shared" si="9"/>
        <v>0</v>
      </c>
      <c r="E28" s="153">
        <f t="shared" si="9"/>
        <v>41464</v>
      </c>
      <c r="F28" s="153">
        <f t="shared" si="9"/>
        <v>17881</v>
      </c>
      <c r="G28" s="153">
        <f t="shared" si="9"/>
        <v>226950</v>
      </c>
      <c r="H28" s="153"/>
      <c r="I28" s="153"/>
      <c r="J28" s="153"/>
      <c r="K28" s="153"/>
      <c r="L28" s="153"/>
      <c r="M28" s="147">
        <f t="shared" ref="M28:M39" si="10">SUM(G28)</f>
        <v>226950</v>
      </c>
    </row>
    <row r="29" spans="1:13" ht="15.75" customHeight="1" thickBot="1" x14ac:dyDescent="0.25">
      <c r="A29" s="145" t="s">
        <v>1339</v>
      </c>
      <c r="B29" s="153">
        <f t="shared" si="9"/>
        <v>36097</v>
      </c>
      <c r="C29" s="153">
        <f t="shared" si="9"/>
        <v>132089</v>
      </c>
      <c r="D29" s="153">
        <f t="shared" si="9"/>
        <v>0</v>
      </c>
      <c r="E29" s="153">
        <f t="shared" si="9"/>
        <v>48029</v>
      </c>
      <c r="F29" s="153">
        <f t="shared" si="9"/>
        <v>17881</v>
      </c>
      <c r="G29" s="153">
        <f t="shared" si="9"/>
        <v>234096</v>
      </c>
      <c r="H29" s="153"/>
      <c r="I29" s="153"/>
      <c r="J29" s="153"/>
      <c r="K29" s="153"/>
      <c r="L29" s="153"/>
      <c r="M29" s="147">
        <f t="shared" si="10"/>
        <v>234096</v>
      </c>
    </row>
    <row r="30" spans="1:13" ht="15.75" hidden="1" customHeight="1" thickBot="1" x14ac:dyDescent="0.25">
      <c r="A30" s="145" t="s">
        <v>1072</v>
      </c>
      <c r="B30" s="153">
        <f t="shared" si="9"/>
        <v>39427</v>
      </c>
      <c r="C30" s="153">
        <f t="shared" si="9"/>
        <v>169302</v>
      </c>
      <c r="D30" s="153">
        <f t="shared" si="9"/>
        <v>0</v>
      </c>
      <c r="E30" s="153">
        <f t="shared" si="9"/>
        <v>-1178</v>
      </c>
      <c r="F30" s="153">
        <f t="shared" si="9"/>
        <v>16730</v>
      </c>
      <c r="G30" s="153">
        <f t="shared" si="9"/>
        <v>224281</v>
      </c>
      <c r="H30" s="153"/>
      <c r="I30" s="153"/>
      <c r="J30" s="153"/>
      <c r="K30" s="153"/>
      <c r="L30" s="153"/>
      <c r="M30" s="147">
        <f t="shared" si="10"/>
        <v>224281</v>
      </c>
    </row>
    <row r="31" spans="1:13" ht="15.75" hidden="1" customHeight="1" thickBot="1" x14ac:dyDescent="0.25">
      <c r="A31" s="145" t="s">
        <v>1073</v>
      </c>
      <c r="B31" s="153">
        <f t="shared" si="9"/>
        <v>39427</v>
      </c>
      <c r="C31" s="153">
        <f t="shared" si="9"/>
        <v>169302</v>
      </c>
      <c r="D31" s="153">
        <f t="shared" si="9"/>
        <v>0</v>
      </c>
      <c r="E31" s="153">
        <f t="shared" si="9"/>
        <v>-1178</v>
      </c>
      <c r="F31" s="153">
        <f t="shared" si="9"/>
        <v>16730</v>
      </c>
      <c r="G31" s="153">
        <f t="shared" si="9"/>
        <v>224281</v>
      </c>
      <c r="H31" s="153"/>
      <c r="I31" s="153"/>
      <c r="J31" s="153"/>
      <c r="K31" s="153"/>
      <c r="L31" s="153"/>
      <c r="M31" s="147">
        <f t="shared" si="10"/>
        <v>224281</v>
      </c>
    </row>
    <row r="32" spans="1:13" ht="15.75" hidden="1" customHeight="1" thickBot="1" x14ac:dyDescent="0.25">
      <c r="A32" s="145"/>
      <c r="B32" s="153">
        <f t="shared" si="9"/>
        <v>0</v>
      </c>
      <c r="C32" s="153">
        <f t="shared" si="9"/>
        <v>0</v>
      </c>
      <c r="D32" s="153">
        <f t="shared" si="9"/>
        <v>0</v>
      </c>
      <c r="E32" s="153">
        <f t="shared" si="9"/>
        <v>0</v>
      </c>
      <c r="F32" s="153">
        <f t="shared" si="9"/>
        <v>0</v>
      </c>
      <c r="G32" s="153">
        <f t="shared" si="9"/>
        <v>0</v>
      </c>
      <c r="H32" s="153"/>
      <c r="I32" s="153"/>
      <c r="J32" s="153"/>
      <c r="K32" s="153"/>
      <c r="L32" s="153"/>
      <c r="M32" s="147">
        <f t="shared" si="10"/>
        <v>0</v>
      </c>
    </row>
    <row r="33" spans="1:13" ht="15.75" hidden="1" customHeight="1" thickBot="1" x14ac:dyDescent="0.25">
      <c r="A33" s="145" t="s">
        <v>1080</v>
      </c>
      <c r="B33" s="153">
        <f t="shared" ref="B33:G33" si="11">SUM(B39)</f>
        <v>39427</v>
      </c>
      <c r="C33" s="153">
        <f t="shared" si="11"/>
        <v>169302</v>
      </c>
      <c r="D33" s="153">
        <f t="shared" si="11"/>
        <v>0</v>
      </c>
      <c r="E33" s="153">
        <f t="shared" si="11"/>
        <v>-1178</v>
      </c>
      <c r="F33" s="153">
        <f t="shared" si="11"/>
        <v>16730</v>
      </c>
      <c r="G33" s="153">
        <f t="shared" si="11"/>
        <v>224281</v>
      </c>
      <c r="H33" s="153"/>
      <c r="I33" s="153"/>
      <c r="J33" s="153"/>
      <c r="K33" s="153"/>
      <c r="L33" s="153"/>
      <c r="M33" s="147">
        <f t="shared" si="10"/>
        <v>224281</v>
      </c>
    </row>
    <row r="34" spans="1:13" ht="15.75" customHeight="1" x14ac:dyDescent="0.2">
      <c r="A34" s="784" t="str">
        <f>A14</f>
        <v xml:space="preserve">       Kötelező (eredeti előirányzat 2021. év)</v>
      </c>
      <c r="B34" s="96">
        <f>SUM('7.finanszírozás.'!D8)</f>
        <v>35925</v>
      </c>
      <c r="C34" s="96">
        <f>SUM('7.finanszírozás.'!D40)</f>
        <v>131680</v>
      </c>
      <c r="D34" s="96"/>
      <c r="E34" s="96">
        <f>SUM('7.finanszírozás.'!D48)</f>
        <v>41464</v>
      </c>
      <c r="F34" s="96">
        <f>SUM('7.finanszírozás.'!D32)</f>
        <v>17881</v>
      </c>
      <c r="G34" s="96">
        <f t="shared" ref="G34:G39" si="12">SUM(B34:F34)</f>
        <v>226950</v>
      </c>
      <c r="H34" s="151"/>
      <c r="I34" s="151"/>
      <c r="J34" s="151"/>
      <c r="K34" s="151"/>
      <c r="L34" s="151"/>
      <c r="M34" s="376">
        <f t="shared" si="10"/>
        <v>226950</v>
      </c>
    </row>
    <row r="35" spans="1:13" ht="15.75" customHeight="1" x14ac:dyDescent="0.2">
      <c r="A35" s="784" t="str">
        <f>A15</f>
        <v xml:space="preserve">       Kötelező (módosított előirányzat 2021.07. havi)</v>
      </c>
      <c r="B35" s="96">
        <f>SUM('7.finanszírozás.'!D9)</f>
        <v>36097</v>
      </c>
      <c r="C35" s="96">
        <f>SUM('7.finanszírozás.'!D41)</f>
        <v>132089</v>
      </c>
      <c r="D35" s="96"/>
      <c r="E35" s="96">
        <f>SUM('7.finanszírozás.'!D49)</f>
        <v>48029</v>
      </c>
      <c r="F35" s="96">
        <f>SUM('7.finanszírozás.'!D33)</f>
        <v>17881</v>
      </c>
      <c r="G35" s="300">
        <f t="shared" si="12"/>
        <v>234096</v>
      </c>
      <c r="H35" s="785"/>
      <c r="I35" s="785"/>
      <c r="J35" s="785"/>
      <c r="K35" s="785"/>
      <c r="L35" s="785"/>
      <c r="M35" s="780">
        <f t="shared" si="10"/>
        <v>234096</v>
      </c>
    </row>
    <row r="36" spans="1:13" ht="15.75" hidden="1" customHeight="1" x14ac:dyDescent="0.2">
      <c r="A36" s="784" t="str">
        <f>A16</f>
        <v xml:space="preserve">       Kötelező (módosított előirányzat 2021. . havi)</v>
      </c>
      <c r="B36" s="96">
        <f>SUM('7.finanszírozás.'!D10)</f>
        <v>39427</v>
      </c>
      <c r="C36" s="96">
        <f>SUM('7.finanszírozás.'!D42)</f>
        <v>169302</v>
      </c>
      <c r="D36" s="96"/>
      <c r="E36" s="96">
        <f>SUM('7.finanszírozás.'!D50)</f>
        <v>-1178</v>
      </c>
      <c r="F36" s="96">
        <f>SUM('7.finanszírozás.'!D34)</f>
        <v>16730</v>
      </c>
      <c r="G36" s="300">
        <f t="shared" si="12"/>
        <v>224281</v>
      </c>
      <c r="H36" s="785"/>
      <c r="I36" s="785"/>
      <c r="J36" s="785"/>
      <c r="K36" s="785"/>
      <c r="L36" s="785"/>
      <c r="M36" s="780">
        <f t="shared" si="10"/>
        <v>224281</v>
      </c>
    </row>
    <row r="37" spans="1:13" ht="15.75" hidden="1" customHeight="1" x14ac:dyDescent="0.2">
      <c r="A37" s="784" t="str">
        <f>A17</f>
        <v xml:space="preserve">       Kötelező (módosított előirányzat 2021. .havi)</v>
      </c>
      <c r="B37" s="96">
        <f>SUM('7.finanszírozás.'!D11)</f>
        <v>39427</v>
      </c>
      <c r="C37" s="96">
        <f>SUM('7.finanszírozás.'!D43)</f>
        <v>169302</v>
      </c>
      <c r="D37" s="96"/>
      <c r="E37" s="96">
        <f>SUM('7.finanszírozás.'!D51)</f>
        <v>-1178</v>
      </c>
      <c r="F37" s="96">
        <f>SUM('7.finanszírozás.'!D35)</f>
        <v>16730</v>
      </c>
      <c r="G37" s="300">
        <f t="shared" si="12"/>
        <v>224281</v>
      </c>
      <c r="H37" s="785"/>
      <c r="I37" s="785"/>
      <c r="J37" s="785"/>
      <c r="K37" s="785"/>
      <c r="L37" s="785"/>
      <c r="M37" s="780">
        <f t="shared" si="10"/>
        <v>224281</v>
      </c>
    </row>
    <row r="38" spans="1:13" ht="15.75" hidden="1" customHeight="1" x14ac:dyDescent="0.2">
      <c r="A38" s="784"/>
      <c r="B38" s="96">
        <f>SUM('7.finanszírozás.'!D12)</f>
        <v>0</v>
      </c>
      <c r="C38" s="96">
        <f>SUM('7.finanszírozás.'!D44)</f>
        <v>0</v>
      </c>
      <c r="D38" s="96"/>
      <c r="E38" s="96">
        <f>SUM('7.finanszírozás.'!D52)</f>
        <v>0</v>
      </c>
      <c r="F38" s="96">
        <f>SUM('7.finanszírozás.'!D36)</f>
        <v>0</v>
      </c>
      <c r="G38" s="300">
        <f t="shared" si="12"/>
        <v>0</v>
      </c>
      <c r="H38" s="785"/>
      <c r="I38" s="785"/>
      <c r="J38" s="785"/>
      <c r="K38" s="785"/>
      <c r="L38" s="785"/>
      <c r="M38" s="780">
        <f t="shared" si="10"/>
        <v>0</v>
      </c>
    </row>
    <row r="39" spans="1:13" ht="15.75" hidden="1" customHeight="1" x14ac:dyDescent="0.2">
      <c r="A39" s="784" t="str">
        <f>A19</f>
        <v xml:space="preserve">       Teljesítés 2021.12.31.</v>
      </c>
      <c r="B39" s="96">
        <f>SUM('7.finanszírozás.'!D13)</f>
        <v>39427</v>
      </c>
      <c r="C39" s="96">
        <f>SUM('7.finanszírozás.'!D45)</f>
        <v>169302</v>
      </c>
      <c r="D39" s="96"/>
      <c r="E39" s="96">
        <f>SUM('7.finanszírozás.'!D53)</f>
        <v>-1178</v>
      </c>
      <c r="F39" s="96">
        <f>SUM('7.finanszírozás.'!D37)</f>
        <v>16730</v>
      </c>
      <c r="G39" s="300">
        <f t="shared" si="12"/>
        <v>224281</v>
      </c>
      <c r="H39" s="785"/>
      <c r="I39" s="785"/>
      <c r="J39" s="785"/>
      <c r="K39" s="785"/>
      <c r="L39" s="785"/>
      <c r="M39" s="780">
        <f t="shared" si="10"/>
        <v>224281</v>
      </c>
    </row>
    <row r="40" spans="1:13" x14ac:dyDescent="0.2">
      <c r="A40" s="775" t="str">
        <f>A21</f>
        <v xml:space="preserve">       Nem kötelező (eredeti előirányzat 2021. év)</v>
      </c>
      <c r="B40" s="300"/>
      <c r="C40" s="300"/>
      <c r="D40" s="300"/>
      <c r="E40" s="300"/>
      <c r="F40" s="300"/>
      <c r="G40" s="779"/>
      <c r="H40" s="300"/>
      <c r="I40" s="300"/>
      <c r="J40" s="300"/>
      <c r="K40" s="300"/>
      <c r="L40" s="300"/>
      <c r="M40" s="786"/>
    </row>
    <row r="41" spans="1:13" ht="13.5" thickBot="1" x14ac:dyDescent="0.25">
      <c r="A41" s="782" t="s">
        <v>106</v>
      </c>
      <c r="B41" s="300"/>
      <c r="C41" s="300"/>
      <c r="D41" s="300"/>
      <c r="E41" s="300"/>
      <c r="F41" s="300"/>
      <c r="G41" s="779"/>
      <c r="H41" s="300"/>
      <c r="I41" s="300"/>
      <c r="J41" s="300"/>
      <c r="K41" s="300"/>
      <c r="L41" s="300"/>
      <c r="M41" s="786"/>
    </row>
    <row r="42" spans="1:13" ht="16.5" thickBot="1" x14ac:dyDescent="0.25">
      <c r="A42" s="787" t="s">
        <v>1074</v>
      </c>
      <c r="B42" s="155">
        <f t="shared" ref="B42:L42" si="13">SUM(B8+B28)</f>
        <v>807616</v>
      </c>
      <c r="C42" s="155">
        <f t="shared" si="13"/>
        <v>131680</v>
      </c>
      <c r="D42" s="155">
        <f t="shared" si="13"/>
        <v>17000</v>
      </c>
      <c r="E42" s="155">
        <f t="shared" si="13"/>
        <v>41464</v>
      </c>
      <c r="F42" s="155">
        <f t="shared" si="13"/>
        <v>270035</v>
      </c>
      <c r="G42" s="155">
        <f t="shared" si="13"/>
        <v>1267795</v>
      </c>
      <c r="H42" s="155">
        <f t="shared" si="13"/>
        <v>23534</v>
      </c>
      <c r="I42" s="155">
        <f t="shared" si="13"/>
        <v>50300</v>
      </c>
      <c r="J42" s="155">
        <f t="shared" si="13"/>
        <v>729865</v>
      </c>
      <c r="K42" s="155">
        <f t="shared" si="13"/>
        <v>0</v>
      </c>
      <c r="L42" s="155">
        <f t="shared" si="13"/>
        <v>803699</v>
      </c>
      <c r="M42" s="156">
        <f t="shared" ref="M42:M47" si="14">SUM(L42,G42)</f>
        <v>2071494</v>
      </c>
    </row>
    <row r="43" spans="1:13" ht="16.5" thickBot="1" x14ac:dyDescent="0.25">
      <c r="A43" s="787" t="s">
        <v>1340</v>
      </c>
      <c r="B43" s="155">
        <f t="shared" ref="B43:L43" si="15">SUM(B9+B29)</f>
        <v>819828</v>
      </c>
      <c r="C43" s="155">
        <f t="shared" si="15"/>
        <v>132089</v>
      </c>
      <c r="D43" s="155">
        <f t="shared" si="15"/>
        <v>22120</v>
      </c>
      <c r="E43" s="155">
        <f t="shared" si="15"/>
        <v>48029</v>
      </c>
      <c r="F43" s="155">
        <f t="shared" si="15"/>
        <v>270035</v>
      </c>
      <c r="G43" s="155">
        <f t="shared" si="15"/>
        <v>1292101</v>
      </c>
      <c r="H43" s="155">
        <f t="shared" si="15"/>
        <v>144238</v>
      </c>
      <c r="I43" s="155">
        <f t="shared" si="15"/>
        <v>50300</v>
      </c>
      <c r="J43" s="155">
        <f t="shared" si="15"/>
        <v>729865</v>
      </c>
      <c r="K43" s="155">
        <f t="shared" si="15"/>
        <v>0</v>
      </c>
      <c r="L43" s="155">
        <f t="shared" si="15"/>
        <v>924403</v>
      </c>
      <c r="M43" s="156">
        <f t="shared" si="14"/>
        <v>2216504</v>
      </c>
    </row>
    <row r="44" spans="1:13" ht="16.5" hidden="1" thickBot="1" x14ac:dyDescent="0.25">
      <c r="A44" s="787" t="s">
        <v>1075</v>
      </c>
      <c r="B44" s="155" t="e">
        <f t="shared" ref="B44:L44" si="16">SUM(B10+B30)</f>
        <v>#REF!</v>
      </c>
      <c r="C44" s="155">
        <f t="shared" si="16"/>
        <v>169302</v>
      </c>
      <c r="D44" s="155">
        <f t="shared" si="16"/>
        <v>14169</v>
      </c>
      <c r="E44" s="155">
        <f t="shared" si="16"/>
        <v>-1178</v>
      </c>
      <c r="F44" s="155">
        <f t="shared" si="16"/>
        <v>127532</v>
      </c>
      <c r="G44" s="155" t="e">
        <f t="shared" si="16"/>
        <v>#REF!</v>
      </c>
      <c r="H44" s="155">
        <f t="shared" si="16"/>
        <v>322402</v>
      </c>
      <c r="I44" s="155">
        <f t="shared" si="16"/>
        <v>28941</v>
      </c>
      <c r="J44" s="155">
        <f t="shared" si="16"/>
        <v>673890</v>
      </c>
      <c r="K44" s="155">
        <f t="shared" si="16"/>
        <v>0</v>
      </c>
      <c r="L44" s="155">
        <f t="shared" si="16"/>
        <v>1025233</v>
      </c>
      <c r="M44" s="156" t="e">
        <f t="shared" si="14"/>
        <v>#REF!</v>
      </c>
    </row>
    <row r="45" spans="1:13" ht="16.5" hidden="1" thickBot="1" x14ac:dyDescent="0.25">
      <c r="A45" s="787" t="s">
        <v>1076</v>
      </c>
      <c r="B45" s="155" t="e">
        <f t="shared" ref="B45:L45" si="17">SUM(B11+B31)</f>
        <v>#REF!</v>
      </c>
      <c r="C45" s="155">
        <f t="shared" si="17"/>
        <v>169302</v>
      </c>
      <c r="D45" s="155">
        <f t="shared" si="17"/>
        <v>14169</v>
      </c>
      <c r="E45" s="155">
        <f t="shared" si="17"/>
        <v>-1178</v>
      </c>
      <c r="F45" s="155">
        <f t="shared" si="17"/>
        <v>127532</v>
      </c>
      <c r="G45" s="155" t="e">
        <f t="shared" si="17"/>
        <v>#REF!</v>
      </c>
      <c r="H45" s="155">
        <f t="shared" si="17"/>
        <v>322402</v>
      </c>
      <c r="I45" s="155">
        <f t="shared" si="17"/>
        <v>28941</v>
      </c>
      <c r="J45" s="155">
        <f t="shared" si="17"/>
        <v>673890</v>
      </c>
      <c r="K45" s="155">
        <f t="shared" si="17"/>
        <v>0</v>
      </c>
      <c r="L45" s="155">
        <f t="shared" si="17"/>
        <v>1025233</v>
      </c>
      <c r="M45" s="156" t="e">
        <f t="shared" si="14"/>
        <v>#REF!</v>
      </c>
    </row>
    <row r="46" spans="1:13" ht="16.5" hidden="1" thickBot="1" x14ac:dyDescent="0.25">
      <c r="A46" s="787"/>
      <c r="B46" s="155">
        <f t="shared" ref="B46:L46" si="18">SUM(B12+B32)</f>
        <v>0</v>
      </c>
      <c r="C46" s="155">
        <f t="shared" si="18"/>
        <v>0</v>
      </c>
      <c r="D46" s="155">
        <f t="shared" si="18"/>
        <v>0</v>
      </c>
      <c r="E46" s="155">
        <f t="shared" si="18"/>
        <v>0</v>
      </c>
      <c r="F46" s="155">
        <f t="shared" si="18"/>
        <v>0</v>
      </c>
      <c r="G46" s="155">
        <f t="shared" si="18"/>
        <v>0</v>
      </c>
      <c r="H46" s="155">
        <f t="shared" si="18"/>
        <v>0</v>
      </c>
      <c r="I46" s="155">
        <f t="shared" si="18"/>
        <v>0</v>
      </c>
      <c r="J46" s="155">
        <f t="shared" si="18"/>
        <v>0</v>
      </c>
      <c r="K46" s="155">
        <f t="shared" si="18"/>
        <v>0</v>
      </c>
      <c r="L46" s="155">
        <f t="shared" si="18"/>
        <v>0</v>
      </c>
      <c r="M46" s="156">
        <f t="shared" si="14"/>
        <v>0</v>
      </c>
    </row>
    <row r="47" spans="1:13" ht="16.5" hidden="1" thickBot="1" x14ac:dyDescent="0.25">
      <c r="A47" s="787" t="s">
        <v>1077</v>
      </c>
      <c r="B47" s="155" t="e">
        <f t="shared" ref="B47:L47" si="19">SUM(B13+B33)</f>
        <v>#REF!</v>
      </c>
      <c r="C47" s="155">
        <f t="shared" si="19"/>
        <v>169302</v>
      </c>
      <c r="D47" s="155">
        <f t="shared" si="19"/>
        <v>14169</v>
      </c>
      <c r="E47" s="155">
        <f t="shared" si="19"/>
        <v>-1178</v>
      </c>
      <c r="F47" s="155">
        <f t="shared" si="19"/>
        <v>127532</v>
      </c>
      <c r="G47" s="155" t="e">
        <f t="shared" si="19"/>
        <v>#REF!</v>
      </c>
      <c r="H47" s="155">
        <f t="shared" si="19"/>
        <v>322402</v>
      </c>
      <c r="I47" s="155">
        <f t="shared" si="19"/>
        <v>28941</v>
      </c>
      <c r="J47" s="155">
        <f t="shared" si="19"/>
        <v>673890</v>
      </c>
      <c r="K47" s="155">
        <f t="shared" si="19"/>
        <v>0</v>
      </c>
      <c r="L47" s="155">
        <f t="shared" si="19"/>
        <v>1025233</v>
      </c>
      <c r="M47" s="156" t="e">
        <f t="shared" si="14"/>
        <v>#REF!</v>
      </c>
    </row>
    <row r="48" spans="1:13" ht="12.95" customHeight="1" x14ac:dyDescent="0.2">
      <c r="A48" s="245" t="s">
        <v>436</v>
      </c>
      <c r="M48" s="773">
        <f>'7.finanszírozás.'!F71</f>
        <v>-180118</v>
      </c>
    </row>
    <row r="49" spans="1:13" ht="12.95" customHeight="1" x14ac:dyDescent="0.2">
      <c r="A49" s="245" t="s">
        <v>440</v>
      </c>
      <c r="M49" s="774">
        <f>SUM(M43+M48)</f>
        <v>2036386</v>
      </c>
    </row>
  </sheetData>
  <mergeCells count="16">
    <mergeCell ref="L6:L7"/>
    <mergeCell ref="A1:M1"/>
    <mergeCell ref="A3:M3"/>
    <mergeCell ref="A5:A7"/>
    <mergeCell ref="B5:G5"/>
    <mergeCell ref="H5:L5"/>
    <mergeCell ref="M5:M7"/>
    <mergeCell ref="B6:B7"/>
    <mergeCell ref="C6:D6"/>
    <mergeCell ref="E6:E7"/>
    <mergeCell ref="F6:F7"/>
    <mergeCell ref="G6:G7"/>
    <mergeCell ref="H6:H7"/>
    <mergeCell ref="I6:I7"/>
    <mergeCell ref="J6:J7"/>
    <mergeCell ref="K6:K7"/>
  </mergeCells>
  <pageMargins left="0.31496062992125984" right="0.31496062992125984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zoomScaleNormal="100" workbookViewId="0">
      <selection activeCell="O2" sqref="O2"/>
    </sheetView>
  </sheetViews>
  <sheetFormatPr defaultRowHeight="12.75" x14ac:dyDescent="0.2"/>
  <cols>
    <col min="1" max="1" width="44.7109375" style="81" customWidth="1"/>
    <col min="2" max="2" width="10" style="75" bestFit="1" customWidth="1"/>
    <col min="3" max="3" width="9.42578125" style="75" bestFit="1" customWidth="1"/>
    <col min="4" max="4" width="10" style="75" bestFit="1" customWidth="1"/>
    <col min="5" max="6" width="9.42578125" style="75" bestFit="1" customWidth="1"/>
    <col min="7" max="7" width="11.28515625" style="75" customWidth="1"/>
    <col min="8" max="8" width="12" style="75" customWidth="1"/>
    <col min="9" max="9" width="10.28515625" style="75" customWidth="1"/>
    <col min="10" max="10" width="9.85546875" style="75" customWidth="1"/>
    <col min="11" max="11" width="10" style="75" customWidth="1"/>
    <col min="12" max="12" width="9.28515625" style="75" customWidth="1"/>
    <col min="13" max="13" width="9.42578125" style="75" bestFit="1" customWidth="1"/>
    <col min="14" max="14" width="11.5703125" style="75" customWidth="1"/>
    <col min="15" max="15" width="12.140625" style="75" customWidth="1"/>
    <col min="16" max="16" width="7" style="74" bestFit="1" customWidth="1"/>
    <col min="17" max="16384" width="9.140625" style="74"/>
  </cols>
  <sheetData>
    <row r="1" spans="1:19" ht="1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 t="s">
        <v>264</v>
      </c>
      <c r="P1" s="73"/>
      <c r="Q1" s="73"/>
      <c r="R1" s="73"/>
      <c r="S1" s="73"/>
    </row>
    <row r="2" spans="1:19" ht="15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766"/>
      <c r="P2" s="73"/>
      <c r="Q2" s="73"/>
      <c r="R2" s="73"/>
      <c r="S2" s="73"/>
    </row>
    <row r="3" spans="1:19" ht="38.25" customHeight="1" x14ac:dyDescent="0.2">
      <c r="A3" s="963" t="s">
        <v>1081</v>
      </c>
      <c r="B3" s="964"/>
      <c r="C3" s="964"/>
      <c r="D3" s="964"/>
      <c r="E3" s="964"/>
      <c r="F3" s="964"/>
      <c r="G3" s="964"/>
      <c r="H3" s="964"/>
      <c r="I3" s="964"/>
      <c r="J3" s="964"/>
      <c r="K3" s="964"/>
      <c r="L3" s="964"/>
      <c r="M3" s="964"/>
      <c r="N3" s="964"/>
      <c r="O3" s="964"/>
      <c r="P3" s="73"/>
      <c r="Q3" s="73"/>
      <c r="R3" s="73"/>
      <c r="S3" s="73"/>
    </row>
    <row r="4" spans="1:19" ht="13.5" thickBot="1" x14ac:dyDescent="0.25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379" t="s">
        <v>516</v>
      </c>
      <c r="P4" s="77"/>
    </row>
    <row r="5" spans="1:19" s="245" customFormat="1" ht="14.25" customHeight="1" x14ac:dyDescent="0.2">
      <c r="A5" s="948"/>
      <c r="B5" s="966" t="s">
        <v>35</v>
      </c>
      <c r="C5" s="967"/>
      <c r="D5" s="967"/>
      <c r="E5" s="967"/>
      <c r="F5" s="967"/>
      <c r="G5" s="967"/>
      <c r="H5" s="967"/>
      <c r="I5" s="968"/>
      <c r="J5" s="950" t="s">
        <v>36</v>
      </c>
      <c r="K5" s="950" t="s">
        <v>37</v>
      </c>
      <c r="L5" s="950"/>
      <c r="M5" s="950"/>
      <c r="N5" s="950"/>
      <c r="O5" s="951" t="s">
        <v>7</v>
      </c>
      <c r="P5" s="957"/>
    </row>
    <row r="6" spans="1:19" s="245" customFormat="1" ht="63.75" customHeight="1" x14ac:dyDescent="0.2">
      <c r="A6" s="949"/>
      <c r="B6" s="955" t="s">
        <v>38</v>
      </c>
      <c r="C6" s="955" t="s">
        <v>107</v>
      </c>
      <c r="D6" s="955" t="s">
        <v>39</v>
      </c>
      <c r="E6" s="955" t="s">
        <v>467</v>
      </c>
      <c r="F6" s="955" t="s">
        <v>40</v>
      </c>
      <c r="G6" s="961" t="s">
        <v>57</v>
      </c>
      <c r="H6" s="962"/>
      <c r="I6" s="955" t="s">
        <v>392</v>
      </c>
      <c r="J6" s="945"/>
      <c r="K6" s="955" t="s">
        <v>41</v>
      </c>
      <c r="L6" s="955" t="s">
        <v>42</v>
      </c>
      <c r="M6" s="955" t="s">
        <v>43</v>
      </c>
      <c r="N6" s="945" t="s">
        <v>12</v>
      </c>
      <c r="O6" s="952"/>
      <c r="P6" s="957"/>
    </row>
    <row r="7" spans="1:19" ht="35.25" customHeight="1" thickBot="1" x14ac:dyDescent="0.25">
      <c r="A7" s="965"/>
      <c r="B7" s="960"/>
      <c r="C7" s="960"/>
      <c r="D7" s="960"/>
      <c r="E7" s="960"/>
      <c r="F7" s="960"/>
      <c r="G7" s="273" t="s">
        <v>448</v>
      </c>
      <c r="H7" s="273" t="s">
        <v>449</v>
      </c>
      <c r="I7" s="960"/>
      <c r="J7" s="959"/>
      <c r="K7" s="960"/>
      <c r="L7" s="960"/>
      <c r="M7" s="960"/>
      <c r="N7" s="959"/>
      <c r="O7" s="958"/>
      <c r="P7" s="957"/>
    </row>
    <row r="8" spans="1:19" s="77" customFormat="1" ht="21.75" customHeight="1" thickBot="1" x14ac:dyDescent="0.25">
      <c r="A8" s="373" t="str">
        <f>'5.Bev.össz'!A8</f>
        <v>Önkormányzat (eredeti előirányzat 2021. év)</v>
      </c>
      <c r="B8" s="148">
        <f>B14+B20</f>
        <v>39528</v>
      </c>
      <c r="C8" s="148">
        <f t="shared" ref="C8:I8" si="0">C14+C20</f>
        <v>6357</v>
      </c>
      <c r="D8" s="148">
        <f t="shared" si="0"/>
        <v>303726</v>
      </c>
      <c r="E8" s="148">
        <f t="shared" si="0"/>
        <v>9300</v>
      </c>
      <c r="F8" s="148">
        <f t="shared" si="0"/>
        <v>385336</v>
      </c>
      <c r="G8" s="148">
        <f t="shared" si="0"/>
        <v>173144</v>
      </c>
      <c r="H8" s="148">
        <f t="shared" si="0"/>
        <v>35152</v>
      </c>
      <c r="I8" s="148">
        <f t="shared" si="0"/>
        <v>29963</v>
      </c>
      <c r="J8" s="148">
        <f t="shared" ref="J8:J13" si="1">B8+C8+D8+E8+F8+G8+H8+I8</f>
        <v>982506</v>
      </c>
      <c r="K8" s="148">
        <f t="shared" ref="K8:M13" si="2">K14+K20</f>
        <v>220251</v>
      </c>
      <c r="L8" s="148">
        <f t="shared" si="2"/>
        <v>587652</v>
      </c>
      <c r="M8" s="148">
        <f t="shared" si="2"/>
        <v>54135</v>
      </c>
      <c r="N8" s="148">
        <f t="shared" ref="N8:N13" si="3">K8+L8+M8</f>
        <v>862038</v>
      </c>
      <c r="O8" s="149">
        <f t="shared" ref="O8:O13" si="4">J8+N8</f>
        <v>1844544</v>
      </c>
      <c r="P8" s="378">
        <f t="shared" ref="P8:P13" si="5">P14</f>
        <v>8</v>
      </c>
    </row>
    <row r="9" spans="1:19" s="77" customFormat="1" ht="21.75" customHeight="1" thickBot="1" x14ac:dyDescent="0.25">
      <c r="A9" s="373" t="str">
        <f>'5.Bev.össz'!A9</f>
        <v>Önkormányzat (módosított előirányzat 2021.07.havi)</v>
      </c>
      <c r="B9" s="148">
        <f t="shared" ref="B9:I9" si="6">B15+B21</f>
        <v>40264</v>
      </c>
      <c r="C9" s="148">
        <f t="shared" si="6"/>
        <v>6452</v>
      </c>
      <c r="D9" s="148">
        <f t="shared" si="6"/>
        <v>327886</v>
      </c>
      <c r="E9" s="148">
        <f t="shared" si="6"/>
        <v>9300</v>
      </c>
      <c r="F9" s="148">
        <f t="shared" si="6"/>
        <v>388888</v>
      </c>
      <c r="G9" s="148">
        <f t="shared" si="6"/>
        <v>180118</v>
      </c>
      <c r="H9" s="148">
        <f t="shared" si="6"/>
        <v>35152</v>
      </c>
      <c r="I9" s="148">
        <f t="shared" si="6"/>
        <v>11606</v>
      </c>
      <c r="J9" s="148">
        <f t="shared" si="1"/>
        <v>999666</v>
      </c>
      <c r="K9" s="148">
        <f t="shared" si="2"/>
        <v>194969</v>
      </c>
      <c r="L9" s="148">
        <f t="shared" si="2"/>
        <v>615464</v>
      </c>
      <c r="M9" s="148">
        <f t="shared" si="2"/>
        <v>172309</v>
      </c>
      <c r="N9" s="148">
        <f t="shared" si="3"/>
        <v>982742</v>
      </c>
      <c r="O9" s="149">
        <f t="shared" si="4"/>
        <v>1982408</v>
      </c>
      <c r="P9" s="378">
        <f t="shared" si="5"/>
        <v>8</v>
      </c>
    </row>
    <row r="10" spans="1:19" s="77" customFormat="1" ht="21.75" hidden="1" customHeight="1" thickBot="1" x14ac:dyDescent="0.25">
      <c r="A10" s="373" t="str">
        <f>'5.Bev.össz'!A10</f>
        <v>Önkormányzat (módosított előirányzat 2021. . havi)</v>
      </c>
      <c r="B10" s="148">
        <f t="shared" ref="B10:I10" si="7">B16+B22</f>
        <v>34475</v>
      </c>
      <c r="C10" s="148">
        <f t="shared" si="7"/>
        <v>6069</v>
      </c>
      <c r="D10" s="148" t="e">
        <f t="shared" si="7"/>
        <v>#REF!</v>
      </c>
      <c r="E10" s="148">
        <f t="shared" si="7"/>
        <v>9300</v>
      </c>
      <c r="F10" s="148">
        <f t="shared" si="7"/>
        <v>346152</v>
      </c>
      <c r="G10" s="148">
        <f t="shared" si="7"/>
        <v>168124</v>
      </c>
      <c r="H10" s="148">
        <f t="shared" si="7"/>
        <v>34472</v>
      </c>
      <c r="I10" s="148">
        <f t="shared" si="7"/>
        <v>113316</v>
      </c>
      <c r="J10" s="148" t="e">
        <f t="shared" si="1"/>
        <v>#REF!</v>
      </c>
      <c r="K10" s="148">
        <f t="shared" si="2"/>
        <v>32766</v>
      </c>
      <c r="L10" s="148">
        <f t="shared" si="2"/>
        <v>290950</v>
      </c>
      <c r="M10" s="148">
        <f t="shared" si="2"/>
        <v>499964</v>
      </c>
      <c r="N10" s="148">
        <f t="shared" si="3"/>
        <v>823680</v>
      </c>
      <c r="O10" s="149" t="e">
        <f t="shared" si="4"/>
        <v>#REF!</v>
      </c>
      <c r="P10" s="378">
        <f t="shared" si="5"/>
        <v>16</v>
      </c>
    </row>
    <row r="11" spans="1:19" s="77" customFormat="1" ht="21.75" hidden="1" customHeight="1" thickBot="1" x14ac:dyDescent="0.25">
      <c r="A11" s="373" t="str">
        <f>'5.Bev.össz'!A11</f>
        <v>Önkormányzat (módosított előirányzat 2021. .havi)</v>
      </c>
      <c r="B11" s="148">
        <f t="shared" ref="B11:I11" si="8">B17+B23</f>
        <v>34475</v>
      </c>
      <c r="C11" s="148">
        <f t="shared" si="8"/>
        <v>6069</v>
      </c>
      <c r="D11" s="148">
        <f t="shared" si="8"/>
        <v>269268</v>
      </c>
      <c r="E11" s="148">
        <f t="shared" si="8"/>
        <v>9300</v>
      </c>
      <c r="F11" s="148">
        <f t="shared" si="8"/>
        <v>346152</v>
      </c>
      <c r="G11" s="148">
        <f t="shared" si="8"/>
        <v>168124</v>
      </c>
      <c r="H11" s="148">
        <f t="shared" si="8"/>
        <v>34472</v>
      </c>
      <c r="I11" s="148">
        <f t="shared" si="8"/>
        <v>113316</v>
      </c>
      <c r="J11" s="148">
        <f t="shared" si="1"/>
        <v>981176</v>
      </c>
      <c r="K11" s="148">
        <f t="shared" si="2"/>
        <v>32766</v>
      </c>
      <c r="L11" s="148">
        <f t="shared" si="2"/>
        <v>290950</v>
      </c>
      <c r="M11" s="148">
        <f t="shared" si="2"/>
        <v>499964</v>
      </c>
      <c r="N11" s="148">
        <f t="shared" si="3"/>
        <v>823680</v>
      </c>
      <c r="O11" s="149">
        <f t="shared" si="4"/>
        <v>1804856</v>
      </c>
      <c r="P11" s="378">
        <f t="shared" si="5"/>
        <v>16</v>
      </c>
    </row>
    <row r="12" spans="1:19" s="77" customFormat="1" ht="21.75" hidden="1" customHeight="1" thickBot="1" x14ac:dyDescent="0.25">
      <c r="A12" s="373">
        <f>'5.Bev.össz'!A12</f>
        <v>0</v>
      </c>
      <c r="B12" s="148">
        <f t="shared" ref="B12:I12" si="9">B18+B24</f>
        <v>0</v>
      </c>
      <c r="C12" s="148">
        <f t="shared" si="9"/>
        <v>0</v>
      </c>
      <c r="D12" s="148">
        <f t="shared" si="9"/>
        <v>0</v>
      </c>
      <c r="E12" s="148">
        <f t="shared" si="9"/>
        <v>0</v>
      </c>
      <c r="F12" s="148">
        <f t="shared" si="9"/>
        <v>0</v>
      </c>
      <c r="G12" s="148">
        <f t="shared" si="9"/>
        <v>0</v>
      </c>
      <c r="H12" s="148">
        <f t="shared" si="9"/>
        <v>0</v>
      </c>
      <c r="I12" s="148">
        <f t="shared" si="9"/>
        <v>0</v>
      </c>
      <c r="J12" s="148">
        <f t="shared" si="1"/>
        <v>0</v>
      </c>
      <c r="K12" s="148">
        <f t="shared" si="2"/>
        <v>0</v>
      </c>
      <c r="L12" s="148">
        <f t="shared" si="2"/>
        <v>0</v>
      </c>
      <c r="M12" s="148">
        <f t="shared" si="2"/>
        <v>0</v>
      </c>
      <c r="N12" s="148">
        <f t="shared" si="3"/>
        <v>0</v>
      </c>
      <c r="O12" s="149">
        <f t="shared" si="4"/>
        <v>0</v>
      </c>
      <c r="P12" s="378">
        <f t="shared" si="5"/>
        <v>0</v>
      </c>
    </row>
    <row r="13" spans="1:19" s="77" customFormat="1" ht="13.5" hidden="1" thickBot="1" x14ac:dyDescent="0.25">
      <c r="A13" s="373" t="str">
        <f>'5.Bev.össz'!A13</f>
        <v>Önkormányzat: Teljesítés 2021.12.31.</v>
      </c>
      <c r="B13" s="148">
        <f t="shared" ref="B13:I13" si="10">B19+B25</f>
        <v>34475</v>
      </c>
      <c r="C13" s="148">
        <f t="shared" si="10"/>
        <v>6069</v>
      </c>
      <c r="D13" s="148">
        <f t="shared" si="10"/>
        <v>269268</v>
      </c>
      <c r="E13" s="148">
        <f t="shared" si="10"/>
        <v>9300</v>
      </c>
      <c r="F13" s="148">
        <f t="shared" si="10"/>
        <v>346152</v>
      </c>
      <c r="G13" s="148">
        <f t="shared" si="10"/>
        <v>168124</v>
      </c>
      <c r="H13" s="148">
        <f t="shared" si="10"/>
        <v>34472</v>
      </c>
      <c r="I13" s="148">
        <f t="shared" si="10"/>
        <v>113316</v>
      </c>
      <c r="J13" s="148">
        <f t="shared" si="1"/>
        <v>981176</v>
      </c>
      <c r="K13" s="148">
        <f t="shared" si="2"/>
        <v>32766</v>
      </c>
      <c r="L13" s="148">
        <f t="shared" si="2"/>
        <v>290950</v>
      </c>
      <c r="M13" s="148">
        <f t="shared" si="2"/>
        <v>499964</v>
      </c>
      <c r="N13" s="148">
        <f t="shared" si="3"/>
        <v>823680</v>
      </c>
      <c r="O13" s="149">
        <f t="shared" si="4"/>
        <v>1804856</v>
      </c>
      <c r="P13" s="378">
        <f t="shared" si="5"/>
        <v>16</v>
      </c>
    </row>
    <row r="14" spans="1:19" s="77" customFormat="1" x14ac:dyDescent="0.2">
      <c r="A14" s="383" t="str">
        <f>'5.Bev.össz'!A14</f>
        <v xml:space="preserve">       Kötelező (eredeti előirányzat 2021. év)</v>
      </c>
      <c r="B14" s="150">
        <f>SUM('7.finanszírozás.'!C92)</f>
        <v>39528</v>
      </c>
      <c r="C14" s="150">
        <f>SUM('7.finanszírozás.'!C99)</f>
        <v>6357</v>
      </c>
      <c r="D14" s="150">
        <f>SUM('7.finanszírozás.'!C106)</f>
        <v>303726</v>
      </c>
      <c r="E14" s="150">
        <f>SUM('7.finanszírozás.'!C120)</f>
        <v>9300</v>
      </c>
      <c r="F14" s="150">
        <f>SUM('4. Átadott p.eszk.'!B8)</f>
        <v>249111</v>
      </c>
      <c r="G14" s="150">
        <f>SUM('7.finanszírozás.'!E40+'7.finanszírozás.'!E48)</f>
        <v>173144</v>
      </c>
      <c r="H14" s="150">
        <f>SUM('1.Bev-kiad.'!C76)</f>
        <v>35152</v>
      </c>
      <c r="I14" s="150">
        <f>SUM('2.működés'!C122)</f>
        <v>29963</v>
      </c>
      <c r="J14" s="158">
        <f t="shared" ref="J14:J25" si="11">SUM(B14:I14)</f>
        <v>846281</v>
      </c>
      <c r="K14" s="150"/>
      <c r="L14" s="150"/>
      <c r="M14" s="150"/>
      <c r="N14" s="158">
        <f t="shared" ref="N14:N25" si="12">SUM(K14:M14)</f>
        <v>0</v>
      </c>
      <c r="O14" s="384">
        <f t="shared" ref="O14:O25" si="13">SUM(J14+N14)</f>
        <v>846281</v>
      </c>
      <c r="P14" s="377">
        <v>8</v>
      </c>
    </row>
    <row r="15" spans="1:19" s="77" customFormat="1" x14ac:dyDescent="0.2">
      <c r="A15" s="383" t="str">
        <f>'5.Bev.össz'!A15</f>
        <v xml:space="preserve">       Kötelező (módosított előirányzat 2021.07. havi)</v>
      </c>
      <c r="B15" s="150">
        <f>SUM('7.finanszírozás.'!C93)</f>
        <v>40264</v>
      </c>
      <c r="C15" s="150">
        <f>SUM('7.finanszírozás.'!C100)</f>
        <v>6452</v>
      </c>
      <c r="D15" s="150">
        <f>SUM('7.finanszírozás.'!C107)</f>
        <v>327886</v>
      </c>
      <c r="E15" s="150">
        <f>SUM('7.finanszírozás.'!C121)</f>
        <v>9300</v>
      </c>
      <c r="F15" s="150">
        <f>SUM('4. Átadott p.eszk.'!C8)</f>
        <v>251987</v>
      </c>
      <c r="G15" s="150">
        <f>SUM('7.finanszírozás.'!E41+'7.finanszírozás.'!E49)</f>
        <v>180118</v>
      </c>
      <c r="H15" s="150">
        <f>SUM('1.Bev-kiad.'!D76)</f>
        <v>35152</v>
      </c>
      <c r="I15" s="150">
        <f>SUM('2.működés'!D122)</f>
        <v>11606</v>
      </c>
      <c r="J15" s="158">
        <f>SUM(B15:I15)</f>
        <v>862765</v>
      </c>
      <c r="K15" s="150"/>
      <c r="L15" s="150"/>
      <c r="M15" s="150"/>
      <c r="N15" s="158">
        <f t="shared" si="12"/>
        <v>0</v>
      </c>
      <c r="O15" s="384">
        <f t="shared" si="13"/>
        <v>862765</v>
      </c>
      <c r="P15" s="377">
        <v>8</v>
      </c>
    </row>
    <row r="16" spans="1:19" s="77" customFormat="1" hidden="1" x14ac:dyDescent="0.2">
      <c r="A16" s="383" t="str">
        <f>'5.Bev.össz'!A16</f>
        <v xml:space="preserve">       Kötelező (módosított előirányzat 2021. . havi)</v>
      </c>
      <c r="B16" s="150">
        <f>SUM('7.finanszírozás.'!C94)</f>
        <v>34475</v>
      </c>
      <c r="C16" s="150">
        <f>SUM('7.finanszírozás.'!C101)</f>
        <v>6069</v>
      </c>
      <c r="D16" s="150" t="e">
        <f>SUM('7.finanszírozás.'!C108)</f>
        <v>#REF!</v>
      </c>
      <c r="E16" s="150">
        <f>SUM('7.finanszírozás.'!C122)</f>
        <v>9300</v>
      </c>
      <c r="F16" s="150">
        <f>SUM('4. Átadott p.eszk.'!D8)</f>
        <v>211346</v>
      </c>
      <c r="G16" s="150">
        <f>SUM('7.finanszírozás.'!E42+'7.finanszírozás.'!E50)</f>
        <v>168124</v>
      </c>
      <c r="H16" s="150">
        <f>SUM('1.Bev-kiad.'!E76)</f>
        <v>34472</v>
      </c>
      <c r="I16" s="150">
        <f>SUM('2.működés'!E122)</f>
        <v>113316</v>
      </c>
      <c r="J16" s="158" t="e">
        <f>SUM(B16:I16)</f>
        <v>#REF!</v>
      </c>
      <c r="K16" s="150"/>
      <c r="L16" s="150"/>
      <c r="M16" s="150"/>
      <c r="N16" s="158">
        <f t="shared" si="12"/>
        <v>0</v>
      </c>
      <c r="O16" s="384" t="e">
        <f t="shared" si="13"/>
        <v>#REF!</v>
      </c>
      <c r="P16" s="377">
        <v>16</v>
      </c>
    </row>
    <row r="17" spans="1:16" s="77" customFormat="1" hidden="1" x14ac:dyDescent="0.2">
      <c r="A17" s="383" t="str">
        <f>'5.Bev.össz'!A17</f>
        <v xml:space="preserve">       Kötelező (módosított előirányzat 2021. .havi)</v>
      </c>
      <c r="B17" s="150">
        <f>SUM('7.finanszírozás.'!C95)</f>
        <v>34475</v>
      </c>
      <c r="C17" s="150">
        <f>SUM('7.finanszírozás.'!C102)</f>
        <v>6069</v>
      </c>
      <c r="D17" s="150">
        <f>SUM('7.finanszírozás.'!C109)</f>
        <v>269268</v>
      </c>
      <c r="E17" s="150">
        <f>SUM('7.finanszírozás.'!C123)</f>
        <v>9300</v>
      </c>
      <c r="F17" s="150">
        <f>SUM('4. Átadott p.eszk.'!E8)</f>
        <v>211346</v>
      </c>
      <c r="G17" s="150">
        <f>SUM('7.finanszírozás.'!E43+'7.finanszírozás.'!E51)</f>
        <v>168124</v>
      </c>
      <c r="H17" s="150">
        <f>SUM('1.Bev-kiad.'!F76)</f>
        <v>34472</v>
      </c>
      <c r="I17" s="150">
        <f>SUM('2.működés'!F122)</f>
        <v>113316</v>
      </c>
      <c r="J17" s="158">
        <f>SUM(B17:I17)</f>
        <v>846370</v>
      </c>
      <c r="K17" s="150"/>
      <c r="L17" s="150"/>
      <c r="M17" s="150"/>
      <c r="N17" s="158">
        <f t="shared" si="12"/>
        <v>0</v>
      </c>
      <c r="O17" s="384">
        <f t="shared" si="13"/>
        <v>846370</v>
      </c>
      <c r="P17" s="377">
        <v>16</v>
      </c>
    </row>
    <row r="18" spans="1:16" s="77" customFormat="1" hidden="1" x14ac:dyDescent="0.2">
      <c r="A18" s="383">
        <f>'5.Bev.össz'!A18</f>
        <v>0</v>
      </c>
      <c r="B18" s="150"/>
      <c r="C18" s="150"/>
      <c r="D18" s="150"/>
      <c r="E18" s="150"/>
      <c r="F18" s="150">
        <v>0</v>
      </c>
      <c r="G18" s="150"/>
      <c r="H18" s="150"/>
      <c r="I18" s="150"/>
      <c r="J18" s="158">
        <f>SUM(B18:I18)</f>
        <v>0</v>
      </c>
      <c r="K18" s="150"/>
      <c r="L18" s="150"/>
      <c r="M18" s="150"/>
      <c r="N18" s="158">
        <f t="shared" si="12"/>
        <v>0</v>
      </c>
      <c r="O18" s="384">
        <f t="shared" si="13"/>
        <v>0</v>
      </c>
      <c r="P18" s="377"/>
    </row>
    <row r="19" spans="1:16" s="77" customFormat="1" hidden="1" x14ac:dyDescent="0.2">
      <c r="A19" s="383" t="str">
        <f>'5.Bev.össz'!A19</f>
        <v xml:space="preserve">       Teljesítés 2021.12.31.</v>
      </c>
      <c r="B19" s="150">
        <f>SUM('7.finanszírozás.'!C97)</f>
        <v>34475</v>
      </c>
      <c r="C19" s="150">
        <f>SUM('7.finanszírozás.'!C104)</f>
        <v>6069</v>
      </c>
      <c r="D19" s="150">
        <f>SUM('7.finanszírozás.'!C111)</f>
        <v>269268</v>
      </c>
      <c r="E19" s="150">
        <f>SUM('7.finanszírozás.'!C125)</f>
        <v>9300</v>
      </c>
      <c r="F19" s="150">
        <f>SUM('4. Átadott p.eszk.'!F8)</f>
        <v>211346</v>
      </c>
      <c r="G19" s="150">
        <f>SUM('7.finanszírozás.'!E45+'7.finanszírozás.'!E53)</f>
        <v>168124</v>
      </c>
      <c r="H19" s="150">
        <f>SUM('1.Bev-kiad.'!G76)</f>
        <v>34472</v>
      </c>
      <c r="I19" s="150">
        <f>SUM('2.működés'!G122)</f>
        <v>113316</v>
      </c>
      <c r="J19" s="158">
        <f t="shared" si="11"/>
        <v>846370</v>
      </c>
      <c r="K19" s="150"/>
      <c r="L19" s="150"/>
      <c r="M19" s="150"/>
      <c r="N19" s="158">
        <f t="shared" si="12"/>
        <v>0</v>
      </c>
      <c r="O19" s="384">
        <f t="shared" si="13"/>
        <v>846370</v>
      </c>
      <c r="P19" s="377">
        <v>16</v>
      </c>
    </row>
    <row r="20" spans="1:16" s="77" customFormat="1" x14ac:dyDescent="0.2">
      <c r="A20" s="383" t="str">
        <f>'5.Bev.össz'!A21</f>
        <v xml:space="preserve">       Nem kötelező (eredeti előirányzat 2021. év)</v>
      </c>
      <c r="B20" s="78"/>
      <c r="C20" s="78"/>
      <c r="D20" s="78"/>
      <c r="E20" s="78"/>
      <c r="F20" s="78">
        <f>SUM('4. Átadott p.eszk.'!B42+'4. Átadott p.eszk.'!B70)</f>
        <v>136225</v>
      </c>
      <c r="G20" s="78"/>
      <c r="H20" s="78"/>
      <c r="I20" s="78"/>
      <c r="J20" s="158">
        <f t="shared" si="11"/>
        <v>136225</v>
      </c>
      <c r="K20" s="150">
        <f>SUM('3.felh'!C38)</f>
        <v>220251</v>
      </c>
      <c r="L20" s="150">
        <f>SUM('3.felh'!C59)</f>
        <v>587652</v>
      </c>
      <c r="M20" s="150">
        <f>SUM('3.felh'!C73)</f>
        <v>54135</v>
      </c>
      <c r="N20" s="158">
        <f t="shared" si="12"/>
        <v>862038</v>
      </c>
      <c r="O20" s="384">
        <f t="shared" si="13"/>
        <v>998263</v>
      </c>
      <c r="P20" s="381"/>
    </row>
    <row r="21" spans="1:16" s="77" customFormat="1" x14ac:dyDescent="0.2">
      <c r="A21" s="383" t="str">
        <f>'5.Bev.össz'!A22</f>
        <v xml:space="preserve">       Nem kötelező (módosított előirányzat 2021.07. havi)</v>
      </c>
      <c r="B21" s="78"/>
      <c r="C21" s="78"/>
      <c r="D21" s="78"/>
      <c r="E21" s="78"/>
      <c r="F21" s="78">
        <f>SUM('4. Átadott p.eszk.'!C42+'4. Átadott p.eszk.'!C70)</f>
        <v>136901</v>
      </c>
      <c r="G21" s="78"/>
      <c r="H21" s="78"/>
      <c r="I21" s="78"/>
      <c r="J21" s="158">
        <f t="shared" si="11"/>
        <v>136901</v>
      </c>
      <c r="K21" s="150">
        <f>SUM('3.felh'!D38)</f>
        <v>194969</v>
      </c>
      <c r="L21" s="150">
        <f>SUM('3.felh'!D59)</f>
        <v>615464</v>
      </c>
      <c r="M21" s="150">
        <f>'3.felh'!D73</f>
        <v>172309</v>
      </c>
      <c r="N21" s="158">
        <f t="shared" si="12"/>
        <v>982742</v>
      </c>
      <c r="O21" s="384">
        <f t="shared" si="13"/>
        <v>1119643</v>
      </c>
      <c r="P21" s="381"/>
    </row>
    <row r="22" spans="1:16" s="77" customFormat="1" hidden="1" x14ac:dyDescent="0.2">
      <c r="A22" s="383" t="str">
        <f>'5.Bev.össz'!A23</f>
        <v xml:space="preserve">       Nem kötelező (módosított előirányzat 2021. . havi)</v>
      </c>
      <c r="B22" s="80"/>
      <c r="C22" s="80"/>
      <c r="D22" s="80"/>
      <c r="E22" s="80"/>
      <c r="F22" s="78">
        <f>SUM('4. Átadott p.eszk.'!D42+'4. Átadott p.eszk.'!D70)</f>
        <v>134806</v>
      </c>
      <c r="G22" s="78"/>
      <c r="H22" s="78"/>
      <c r="I22" s="78"/>
      <c r="J22" s="158">
        <f t="shared" si="11"/>
        <v>134806</v>
      </c>
      <c r="K22" s="150">
        <f>SUM('3.felh'!E38)</f>
        <v>32766</v>
      </c>
      <c r="L22" s="150">
        <f>SUM('3.felh'!E59)</f>
        <v>290950</v>
      </c>
      <c r="M22" s="150">
        <f>'3.felh'!E73</f>
        <v>499964</v>
      </c>
      <c r="N22" s="158">
        <f t="shared" si="12"/>
        <v>823680</v>
      </c>
      <c r="O22" s="384">
        <f t="shared" si="13"/>
        <v>958486</v>
      </c>
      <c r="P22" s="381"/>
    </row>
    <row r="23" spans="1:16" s="77" customFormat="1" hidden="1" x14ac:dyDescent="0.2">
      <c r="A23" s="383" t="str">
        <f>'5.Bev.össz'!A24</f>
        <v xml:space="preserve">       Nem kötelező (módosított előirányzat 2021. . havi)</v>
      </c>
      <c r="B23" s="80"/>
      <c r="C23" s="80"/>
      <c r="D23" s="80"/>
      <c r="E23" s="80"/>
      <c r="F23" s="78">
        <f>SUM('4. Átadott p.eszk.'!E42+'4. Átadott p.eszk.'!E70)</f>
        <v>134806</v>
      </c>
      <c r="G23" s="78"/>
      <c r="H23" s="78"/>
      <c r="I23" s="78"/>
      <c r="J23" s="158">
        <f t="shared" si="11"/>
        <v>134806</v>
      </c>
      <c r="K23" s="150">
        <f>SUM('3.felh'!F38)</f>
        <v>32766</v>
      </c>
      <c r="L23" s="150">
        <f>SUM('3.felh'!F59)</f>
        <v>290950</v>
      </c>
      <c r="M23" s="150">
        <f>'3.felh'!F73</f>
        <v>499964</v>
      </c>
      <c r="N23" s="158">
        <f t="shared" si="12"/>
        <v>823680</v>
      </c>
      <c r="O23" s="384">
        <f t="shared" si="13"/>
        <v>958486</v>
      </c>
      <c r="P23" s="381"/>
    </row>
    <row r="24" spans="1:16" s="77" customFormat="1" hidden="1" x14ac:dyDescent="0.2">
      <c r="A24" s="383">
        <f>'5.Bev.össz'!A25</f>
        <v>0</v>
      </c>
      <c r="B24" s="80"/>
      <c r="C24" s="80"/>
      <c r="D24" s="80"/>
      <c r="E24" s="80"/>
      <c r="F24" s="78"/>
      <c r="G24" s="78"/>
      <c r="H24" s="78"/>
      <c r="I24" s="78"/>
      <c r="J24" s="158">
        <f t="shared" si="11"/>
        <v>0</v>
      </c>
      <c r="K24" s="150"/>
      <c r="L24" s="150"/>
      <c r="M24" s="150"/>
      <c r="N24" s="158">
        <f t="shared" si="12"/>
        <v>0</v>
      </c>
      <c r="O24" s="384">
        <f t="shared" si="13"/>
        <v>0</v>
      </c>
      <c r="P24" s="381"/>
    </row>
    <row r="25" spans="1:16" s="77" customFormat="1" hidden="1" x14ac:dyDescent="0.2">
      <c r="A25" s="383" t="str">
        <f>'5.Bev.össz'!A26</f>
        <v xml:space="preserve">       Teljesítés 2021.12.31.</v>
      </c>
      <c r="B25" s="80"/>
      <c r="C25" s="80"/>
      <c r="D25" s="80"/>
      <c r="E25" s="80"/>
      <c r="F25" s="78">
        <f>SUM('4. Átadott p.eszk.'!F42+'4. Átadott p.eszk.'!F70)</f>
        <v>134806</v>
      </c>
      <c r="G25" s="80"/>
      <c r="H25" s="80"/>
      <c r="I25" s="80"/>
      <c r="J25" s="158">
        <f t="shared" si="11"/>
        <v>134806</v>
      </c>
      <c r="K25" s="751">
        <f>SUM('3.felh'!G38)</f>
        <v>32766</v>
      </c>
      <c r="L25" s="751">
        <f>SUM('3.felh'!G59)</f>
        <v>290950</v>
      </c>
      <c r="M25" s="751">
        <f>SUM('3.felh'!G73)</f>
        <v>499964</v>
      </c>
      <c r="N25" s="158">
        <f t="shared" si="12"/>
        <v>823680</v>
      </c>
      <c r="O25" s="384">
        <f t="shared" si="13"/>
        <v>958486</v>
      </c>
      <c r="P25" s="381"/>
    </row>
    <row r="26" spans="1:16" s="77" customFormat="1" ht="13.5" thickBot="1" x14ac:dyDescent="0.25">
      <c r="A26" s="385" t="str">
        <f>'5.Bev.össz'!A27</f>
        <v xml:space="preserve">       Államigazgatási feladatok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384"/>
      <c r="P26" s="381"/>
    </row>
    <row r="27" spans="1:16" s="79" customFormat="1" ht="21" customHeight="1" thickBot="1" x14ac:dyDescent="0.25">
      <c r="A27" s="373" t="str">
        <f>'5.Bev.össz'!A28</f>
        <v>KÖH (eredeti előirányzat 2021. év)</v>
      </c>
      <c r="B27" s="153">
        <f>SUM(B33)</f>
        <v>175307</v>
      </c>
      <c r="C27" s="153">
        <f t="shared" ref="C27:I27" si="14">SUM(C33)</f>
        <v>26841</v>
      </c>
      <c r="D27" s="153">
        <f t="shared" si="14"/>
        <v>23802</v>
      </c>
      <c r="E27" s="153">
        <f t="shared" si="14"/>
        <v>0</v>
      </c>
      <c r="F27" s="153">
        <f t="shared" si="14"/>
        <v>0</v>
      </c>
      <c r="G27" s="153">
        <f t="shared" si="14"/>
        <v>0</v>
      </c>
      <c r="H27" s="153">
        <f t="shared" si="14"/>
        <v>0</v>
      </c>
      <c r="I27" s="153">
        <f t="shared" si="14"/>
        <v>0</v>
      </c>
      <c r="J27" s="146">
        <f>SUM(J33)</f>
        <v>225950</v>
      </c>
      <c r="K27" s="146">
        <f t="shared" ref="K27:M32" si="15">K33</f>
        <v>1000</v>
      </c>
      <c r="L27" s="146">
        <f t="shared" si="15"/>
        <v>0</v>
      </c>
      <c r="M27" s="146">
        <f t="shared" si="15"/>
        <v>0</v>
      </c>
      <c r="N27" s="146">
        <f t="shared" ref="N27:N32" si="16">K27+L27+M27</f>
        <v>1000</v>
      </c>
      <c r="O27" s="159">
        <f t="shared" ref="O27:O32" si="17">(N27+J27)</f>
        <v>226950</v>
      </c>
      <c r="P27" s="380">
        <f t="shared" ref="P27:P32" si="18">P33</f>
        <v>40</v>
      </c>
    </row>
    <row r="28" spans="1:16" s="79" customFormat="1" ht="21" customHeight="1" thickBot="1" x14ac:dyDescent="0.25">
      <c r="A28" s="373" t="str">
        <f>'5.Bev.össz'!A29</f>
        <v>KÖH (módosított előirányzat 2021.07. havi)</v>
      </c>
      <c r="B28" s="153">
        <f t="shared" ref="B28:J28" si="19">SUM(B34)</f>
        <v>180863</v>
      </c>
      <c r="C28" s="153">
        <f t="shared" si="19"/>
        <v>27636</v>
      </c>
      <c r="D28" s="153">
        <f t="shared" si="19"/>
        <v>24597</v>
      </c>
      <c r="E28" s="153">
        <f t="shared" si="19"/>
        <v>0</v>
      </c>
      <c r="F28" s="153">
        <f t="shared" si="19"/>
        <v>0</v>
      </c>
      <c r="G28" s="153">
        <f t="shared" si="19"/>
        <v>0</v>
      </c>
      <c r="H28" s="153">
        <f t="shared" si="19"/>
        <v>0</v>
      </c>
      <c r="I28" s="153">
        <f t="shared" si="19"/>
        <v>0</v>
      </c>
      <c r="J28" s="146">
        <f t="shared" si="19"/>
        <v>233096</v>
      </c>
      <c r="K28" s="146">
        <f t="shared" si="15"/>
        <v>1000</v>
      </c>
      <c r="L28" s="146">
        <f t="shared" si="15"/>
        <v>0</v>
      </c>
      <c r="M28" s="146">
        <f t="shared" si="15"/>
        <v>0</v>
      </c>
      <c r="N28" s="146">
        <f t="shared" si="16"/>
        <v>1000</v>
      </c>
      <c r="O28" s="159">
        <f t="shared" si="17"/>
        <v>234096</v>
      </c>
      <c r="P28" s="380">
        <f t="shared" si="18"/>
        <v>40</v>
      </c>
    </row>
    <row r="29" spans="1:16" s="79" customFormat="1" ht="21" hidden="1" customHeight="1" thickBot="1" x14ac:dyDescent="0.25">
      <c r="A29" s="373" t="str">
        <f>'5.Bev.össz'!A30</f>
        <v>KÖH (módosított előirányzat 2021. . havi)</v>
      </c>
      <c r="B29" s="153">
        <f t="shared" ref="B29:J29" si="20">SUM(B35)</f>
        <v>167282</v>
      </c>
      <c r="C29" s="153">
        <f t="shared" si="20"/>
        <v>29006</v>
      </c>
      <c r="D29" s="153">
        <f t="shared" si="20"/>
        <v>26451</v>
      </c>
      <c r="E29" s="153">
        <f t="shared" si="20"/>
        <v>0</v>
      </c>
      <c r="F29" s="153">
        <f t="shared" si="20"/>
        <v>542</v>
      </c>
      <c r="G29" s="153">
        <f t="shared" si="20"/>
        <v>0</v>
      </c>
      <c r="H29" s="153">
        <f t="shared" si="20"/>
        <v>0</v>
      </c>
      <c r="I29" s="153">
        <f t="shared" si="20"/>
        <v>0</v>
      </c>
      <c r="J29" s="146">
        <f t="shared" si="20"/>
        <v>223281</v>
      </c>
      <c r="K29" s="146">
        <f t="shared" si="15"/>
        <v>1000</v>
      </c>
      <c r="L29" s="146">
        <f t="shared" si="15"/>
        <v>0</v>
      </c>
      <c r="M29" s="146">
        <f t="shared" si="15"/>
        <v>0</v>
      </c>
      <c r="N29" s="146">
        <f t="shared" si="16"/>
        <v>1000</v>
      </c>
      <c r="O29" s="159">
        <f t="shared" si="17"/>
        <v>224281</v>
      </c>
      <c r="P29" s="380">
        <f t="shared" si="18"/>
        <v>40</v>
      </c>
    </row>
    <row r="30" spans="1:16" s="79" customFormat="1" ht="21" hidden="1" customHeight="1" thickBot="1" x14ac:dyDescent="0.25">
      <c r="A30" s="373" t="str">
        <f>'5.Bev.össz'!A31</f>
        <v>KÖH (módosított előirányzat 2021. .havi)</v>
      </c>
      <c r="B30" s="153">
        <f t="shared" ref="B30:J30" si="21">SUM(B36)</f>
        <v>167282</v>
      </c>
      <c r="C30" s="153">
        <f t="shared" si="21"/>
        <v>29006</v>
      </c>
      <c r="D30" s="153">
        <f t="shared" si="21"/>
        <v>26451</v>
      </c>
      <c r="E30" s="153">
        <f t="shared" si="21"/>
        <v>0</v>
      </c>
      <c r="F30" s="153">
        <f t="shared" si="21"/>
        <v>542</v>
      </c>
      <c r="G30" s="153">
        <f t="shared" si="21"/>
        <v>0</v>
      </c>
      <c r="H30" s="153">
        <f t="shared" si="21"/>
        <v>0</v>
      </c>
      <c r="I30" s="153">
        <f t="shared" si="21"/>
        <v>0</v>
      </c>
      <c r="J30" s="146">
        <f t="shared" si="21"/>
        <v>223281</v>
      </c>
      <c r="K30" s="146">
        <f t="shared" si="15"/>
        <v>1000</v>
      </c>
      <c r="L30" s="146">
        <f t="shared" si="15"/>
        <v>0</v>
      </c>
      <c r="M30" s="146">
        <f t="shared" si="15"/>
        <v>0</v>
      </c>
      <c r="N30" s="146">
        <f t="shared" si="16"/>
        <v>1000</v>
      </c>
      <c r="O30" s="159">
        <f t="shared" si="17"/>
        <v>224281</v>
      </c>
      <c r="P30" s="380">
        <f t="shared" si="18"/>
        <v>40</v>
      </c>
    </row>
    <row r="31" spans="1:16" s="79" customFormat="1" ht="13.5" hidden="1" thickBot="1" x14ac:dyDescent="0.25">
      <c r="A31" s="373">
        <f>'5.Bev.össz'!A32</f>
        <v>0</v>
      </c>
      <c r="B31" s="153">
        <f t="shared" ref="B31:J31" si="22">SUM(B37)</f>
        <v>0</v>
      </c>
      <c r="C31" s="153">
        <f t="shared" si="22"/>
        <v>0</v>
      </c>
      <c r="D31" s="153">
        <f t="shared" si="22"/>
        <v>0</v>
      </c>
      <c r="E31" s="153">
        <f t="shared" si="22"/>
        <v>0</v>
      </c>
      <c r="F31" s="153">
        <f t="shared" si="22"/>
        <v>0</v>
      </c>
      <c r="G31" s="153">
        <f t="shared" si="22"/>
        <v>0</v>
      </c>
      <c r="H31" s="153">
        <f t="shared" si="22"/>
        <v>0</v>
      </c>
      <c r="I31" s="153">
        <f t="shared" si="22"/>
        <v>0</v>
      </c>
      <c r="J31" s="146">
        <f t="shared" si="22"/>
        <v>0</v>
      </c>
      <c r="K31" s="146">
        <f t="shared" si="15"/>
        <v>0</v>
      </c>
      <c r="L31" s="146">
        <f t="shared" si="15"/>
        <v>0</v>
      </c>
      <c r="M31" s="146">
        <f t="shared" si="15"/>
        <v>0</v>
      </c>
      <c r="N31" s="146">
        <f t="shared" si="16"/>
        <v>0</v>
      </c>
      <c r="O31" s="159">
        <f t="shared" si="17"/>
        <v>0</v>
      </c>
      <c r="P31" s="380">
        <f t="shared" si="18"/>
        <v>0</v>
      </c>
    </row>
    <row r="32" spans="1:16" s="79" customFormat="1" ht="13.5" hidden="1" thickBot="1" x14ac:dyDescent="0.25">
      <c r="A32" s="373" t="str">
        <f>'5.Bev.össz'!A33</f>
        <v>KÖH: Teljesítés 2021.12.31.</v>
      </c>
      <c r="B32" s="153">
        <f t="shared" ref="B32:J32" si="23">SUM(B38)</f>
        <v>167282</v>
      </c>
      <c r="C32" s="153">
        <f t="shared" si="23"/>
        <v>29006</v>
      </c>
      <c r="D32" s="153">
        <f t="shared" si="23"/>
        <v>26451</v>
      </c>
      <c r="E32" s="153">
        <f t="shared" si="23"/>
        <v>0</v>
      </c>
      <c r="F32" s="153">
        <f t="shared" si="23"/>
        <v>542</v>
      </c>
      <c r="G32" s="153">
        <f t="shared" si="23"/>
        <v>0</v>
      </c>
      <c r="H32" s="153">
        <f t="shared" si="23"/>
        <v>0</v>
      </c>
      <c r="I32" s="153">
        <f t="shared" si="23"/>
        <v>0</v>
      </c>
      <c r="J32" s="146">
        <f t="shared" si="23"/>
        <v>223281</v>
      </c>
      <c r="K32" s="146">
        <f t="shared" si="15"/>
        <v>1000</v>
      </c>
      <c r="L32" s="146">
        <f t="shared" si="15"/>
        <v>0</v>
      </c>
      <c r="M32" s="146">
        <f t="shared" si="15"/>
        <v>0</v>
      </c>
      <c r="N32" s="146">
        <f t="shared" si="16"/>
        <v>1000</v>
      </c>
      <c r="O32" s="159">
        <f t="shared" si="17"/>
        <v>224281</v>
      </c>
      <c r="P32" s="380">
        <f t="shared" si="18"/>
        <v>40</v>
      </c>
    </row>
    <row r="33" spans="1:17" s="79" customFormat="1" x14ac:dyDescent="0.2">
      <c r="A33" s="375" t="str">
        <f>'5.Bev.össz'!A34</f>
        <v xml:space="preserve">       Kötelező (eredeti előirányzat 2021. év)</v>
      </c>
      <c r="B33" s="78">
        <f>SUM('7.finanszírozás.'!D92)</f>
        <v>175307</v>
      </c>
      <c r="C33" s="78">
        <f>SUM('7.finanszírozás.'!D99)</f>
        <v>26841</v>
      </c>
      <c r="D33" s="78">
        <f>SUM('7.finanszírozás.'!D106)</f>
        <v>23802</v>
      </c>
      <c r="E33" s="78"/>
      <c r="F33" s="78">
        <f>'7.finanszírozás.'!D127</f>
        <v>0</v>
      </c>
      <c r="G33" s="78"/>
      <c r="H33" s="78"/>
      <c r="I33" s="78"/>
      <c r="J33" s="157">
        <f t="shared" ref="J33:J38" si="24">SUM(B33:I33)</f>
        <v>225950</v>
      </c>
      <c r="K33" s="78">
        <f>'7.finanszírozás.'!D113</f>
        <v>1000</v>
      </c>
      <c r="L33" s="78"/>
      <c r="M33" s="78"/>
      <c r="N33" s="158">
        <f t="shared" ref="N33:N38" si="25">SUM(K33:M33)</f>
        <v>1000</v>
      </c>
      <c r="O33" s="376">
        <f t="shared" ref="O33:O38" si="26">SUM(J33+N33)</f>
        <v>226950</v>
      </c>
      <c r="P33" s="377">
        <v>40</v>
      </c>
    </row>
    <row r="34" spans="1:17" s="79" customFormat="1" x14ac:dyDescent="0.2">
      <c r="A34" s="375" t="str">
        <f>'5.Bev.össz'!A35</f>
        <v xml:space="preserve">       Kötelező (módosított előirányzat 2021.07. havi)</v>
      </c>
      <c r="B34" s="78">
        <f>SUM('7.finanszírozás.'!D93)</f>
        <v>180863</v>
      </c>
      <c r="C34" s="78">
        <f>SUM('7.finanszírozás.'!D100)</f>
        <v>27636</v>
      </c>
      <c r="D34" s="78">
        <f>SUM('7.finanszírozás.'!D107)</f>
        <v>24597</v>
      </c>
      <c r="E34" s="78"/>
      <c r="F34" s="78">
        <f>'7.finanszírozás.'!D128</f>
        <v>0</v>
      </c>
      <c r="G34" s="78"/>
      <c r="H34" s="78"/>
      <c r="I34" s="78"/>
      <c r="J34" s="157">
        <f t="shared" si="24"/>
        <v>233096</v>
      </c>
      <c r="K34" s="78">
        <f>'7.finanszírozás.'!D114</f>
        <v>1000</v>
      </c>
      <c r="L34" s="78"/>
      <c r="M34" s="78"/>
      <c r="N34" s="158">
        <f t="shared" si="25"/>
        <v>1000</v>
      </c>
      <c r="O34" s="376">
        <f t="shared" si="26"/>
        <v>234096</v>
      </c>
      <c r="P34" s="377">
        <v>40</v>
      </c>
    </row>
    <row r="35" spans="1:17" s="79" customFormat="1" hidden="1" x14ac:dyDescent="0.2">
      <c r="A35" s="375" t="str">
        <f>'5.Bev.össz'!A36</f>
        <v xml:space="preserve">       Kötelező (módosított előirányzat 2021. . havi)</v>
      </c>
      <c r="B35" s="78">
        <f>SUM('7.finanszírozás.'!D94)</f>
        <v>167282</v>
      </c>
      <c r="C35" s="78">
        <f>SUM('7.finanszírozás.'!D101)</f>
        <v>29006</v>
      </c>
      <c r="D35" s="78">
        <f>SUM('7.finanszírozás.'!D108)</f>
        <v>26451</v>
      </c>
      <c r="E35" s="78"/>
      <c r="F35" s="78">
        <f>'7.finanszírozás.'!D129</f>
        <v>542</v>
      </c>
      <c r="G35" s="78"/>
      <c r="H35" s="78"/>
      <c r="I35" s="78"/>
      <c r="J35" s="157">
        <f t="shared" si="24"/>
        <v>223281</v>
      </c>
      <c r="K35" s="78">
        <f>'7.finanszírozás.'!D115</f>
        <v>1000</v>
      </c>
      <c r="L35" s="78"/>
      <c r="M35" s="78"/>
      <c r="N35" s="158">
        <f t="shared" si="25"/>
        <v>1000</v>
      </c>
      <c r="O35" s="376">
        <f t="shared" si="26"/>
        <v>224281</v>
      </c>
      <c r="P35" s="377">
        <v>40</v>
      </c>
    </row>
    <row r="36" spans="1:17" s="79" customFormat="1" hidden="1" x14ac:dyDescent="0.2">
      <c r="A36" s="375" t="str">
        <f>'5.Bev.össz'!A37</f>
        <v xml:space="preserve">       Kötelező (módosított előirányzat 2021. .havi)</v>
      </c>
      <c r="B36" s="78">
        <f>SUM('7.finanszírozás.'!D95)</f>
        <v>167282</v>
      </c>
      <c r="C36" s="78">
        <f>SUM('7.finanszírozás.'!D102)</f>
        <v>29006</v>
      </c>
      <c r="D36" s="78">
        <f>SUM('7.finanszírozás.'!D109)</f>
        <v>26451</v>
      </c>
      <c r="E36" s="78"/>
      <c r="F36" s="78">
        <f>'7.finanszírozás.'!D130</f>
        <v>542</v>
      </c>
      <c r="G36" s="78"/>
      <c r="H36" s="78"/>
      <c r="I36" s="78"/>
      <c r="J36" s="157">
        <f t="shared" si="24"/>
        <v>223281</v>
      </c>
      <c r="K36" s="78">
        <f>'7.finanszírozás.'!D116</f>
        <v>1000</v>
      </c>
      <c r="L36" s="78"/>
      <c r="M36" s="78"/>
      <c r="N36" s="158">
        <f t="shared" si="25"/>
        <v>1000</v>
      </c>
      <c r="O36" s="376">
        <f t="shared" si="26"/>
        <v>224281</v>
      </c>
      <c r="P36" s="377">
        <v>40</v>
      </c>
    </row>
    <row r="37" spans="1:17" s="79" customFormat="1" hidden="1" x14ac:dyDescent="0.2">
      <c r="A37" s="375">
        <f>'5.Bev.össz'!A38</f>
        <v>0</v>
      </c>
      <c r="B37" s="78">
        <f>SUM('7.finanszírozás.'!D96)</f>
        <v>0</v>
      </c>
      <c r="C37" s="78">
        <f>SUM('7.finanszírozás.'!D103)</f>
        <v>0</v>
      </c>
      <c r="D37" s="78">
        <f>SUM('7.finanszírozás.'!D110)</f>
        <v>0</v>
      </c>
      <c r="E37" s="78"/>
      <c r="F37" s="78">
        <f>'7.finanszírozás.'!D131</f>
        <v>0</v>
      </c>
      <c r="G37" s="78"/>
      <c r="H37" s="78"/>
      <c r="I37" s="78"/>
      <c r="J37" s="157">
        <f t="shared" si="24"/>
        <v>0</v>
      </c>
      <c r="K37" s="78">
        <f>'7.finanszírozás.'!D117</f>
        <v>0</v>
      </c>
      <c r="L37" s="78"/>
      <c r="M37" s="78"/>
      <c r="N37" s="158">
        <f t="shared" si="25"/>
        <v>0</v>
      </c>
      <c r="O37" s="376">
        <f t="shared" si="26"/>
        <v>0</v>
      </c>
      <c r="P37" s="377"/>
    </row>
    <row r="38" spans="1:17" s="79" customFormat="1" hidden="1" x14ac:dyDescent="0.2">
      <c r="A38" s="375" t="str">
        <f>'5.Bev.össz'!A39</f>
        <v xml:space="preserve">       Teljesítés 2021.12.31.</v>
      </c>
      <c r="B38" s="78">
        <f>SUM('7.finanszírozás.'!D97)</f>
        <v>167282</v>
      </c>
      <c r="C38" s="78">
        <f>SUM('7.finanszírozás.'!D104)</f>
        <v>29006</v>
      </c>
      <c r="D38" s="78">
        <f>SUM('7.finanszírozás.'!D111)</f>
        <v>26451</v>
      </c>
      <c r="E38" s="78"/>
      <c r="F38" s="78">
        <f>'7.finanszírozás.'!D132</f>
        <v>542</v>
      </c>
      <c r="G38" s="78"/>
      <c r="H38" s="78"/>
      <c r="I38" s="78"/>
      <c r="J38" s="157">
        <f t="shared" si="24"/>
        <v>223281</v>
      </c>
      <c r="K38" s="78">
        <f>'7.finanszírozás.'!D118</f>
        <v>1000</v>
      </c>
      <c r="L38" s="78"/>
      <c r="M38" s="78"/>
      <c r="N38" s="158">
        <f t="shared" si="25"/>
        <v>1000</v>
      </c>
      <c r="O38" s="376">
        <f t="shared" si="26"/>
        <v>224281</v>
      </c>
      <c r="P38" s="377">
        <v>40</v>
      </c>
    </row>
    <row r="39" spans="1:17" s="79" customFormat="1" x14ac:dyDescent="0.2">
      <c r="A39" s="375" t="str">
        <f>'5.Bev.össz'!A40</f>
        <v xml:space="preserve">       Nem kötelező (eredeti előirányzat 2021. év)</v>
      </c>
      <c r="B39" s="78"/>
      <c r="C39" s="78"/>
      <c r="D39" s="78"/>
      <c r="E39" s="78"/>
      <c r="F39" s="78"/>
      <c r="G39" s="78"/>
      <c r="H39" s="78"/>
      <c r="I39" s="78"/>
      <c r="J39" s="157"/>
      <c r="K39" s="78"/>
      <c r="L39" s="78"/>
      <c r="M39" s="78"/>
      <c r="N39" s="158"/>
      <c r="O39" s="376"/>
      <c r="P39" s="377"/>
    </row>
    <row r="40" spans="1:17" s="79" customFormat="1" ht="13.5" thickBot="1" x14ac:dyDescent="0.25">
      <c r="A40" s="375" t="str">
        <f>'5.Bev.össz'!A41</f>
        <v xml:space="preserve">       Államigazgatási feladatok</v>
      </c>
      <c r="B40" s="751"/>
      <c r="C40" s="751"/>
      <c r="D40" s="751"/>
      <c r="E40" s="751"/>
      <c r="F40" s="751"/>
      <c r="G40" s="751"/>
      <c r="H40" s="751"/>
      <c r="I40" s="751"/>
      <c r="J40" s="750"/>
      <c r="K40" s="751"/>
      <c r="L40" s="751"/>
      <c r="M40" s="751"/>
      <c r="N40" s="750"/>
      <c r="O40" s="749"/>
      <c r="P40" s="377"/>
    </row>
    <row r="41" spans="1:17" s="79" customFormat="1" ht="35.25" customHeight="1" thickBot="1" x14ac:dyDescent="0.25">
      <c r="A41" s="154" t="str">
        <f>'5.Bev.össz'!A42</f>
        <v>Önk.mindösszesen (eredeti előirányzat 2021. év)</v>
      </c>
      <c r="B41" s="155">
        <f>SUM(B8+B27)</f>
        <v>214835</v>
      </c>
      <c r="C41" s="155">
        <f t="shared" ref="C41:N41" si="27">SUM(C8+C27)</f>
        <v>33198</v>
      </c>
      <c r="D41" s="155">
        <f t="shared" si="27"/>
        <v>327528</v>
      </c>
      <c r="E41" s="155">
        <f t="shared" si="27"/>
        <v>9300</v>
      </c>
      <c r="F41" s="155">
        <f t="shared" si="27"/>
        <v>385336</v>
      </c>
      <c r="G41" s="155">
        <f t="shared" si="27"/>
        <v>173144</v>
      </c>
      <c r="H41" s="155">
        <f t="shared" si="27"/>
        <v>35152</v>
      </c>
      <c r="I41" s="155">
        <f t="shared" si="27"/>
        <v>29963</v>
      </c>
      <c r="J41" s="155">
        <f t="shared" si="27"/>
        <v>1208456</v>
      </c>
      <c r="K41" s="155">
        <f t="shared" si="27"/>
        <v>221251</v>
      </c>
      <c r="L41" s="155">
        <f t="shared" si="27"/>
        <v>587652</v>
      </c>
      <c r="M41" s="155">
        <f t="shared" si="27"/>
        <v>54135</v>
      </c>
      <c r="N41" s="155">
        <f t="shared" si="27"/>
        <v>863038</v>
      </c>
      <c r="O41" s="156">
        <f>SUM(O8+O27)</f>
        <v>2071494</v>
      </c>
      <c r="P41" s="382">
        <f t="shared" ref="P41:P46" si="28">P8+P27</f>
        <v>48</v>
      </c>
      <c r="Q41" s="274"/>
    </row>
    <row r="42" spans="1:17" s="79" customFormat="1" ht="32.25" thickBot="1" x14ac:dyDescent="0.25">
      <c r="A42" s="154" t="str">
        <f>'5.Bev.össz'!A43</f>
        <v>Önk.mindösszesen (módosított ei. 2021.07. havi)</v>
      </c>
      <c r="B42" s="155">
        <f t="shared" ref="B42:O42" si="29">SUM(B9+B28)</f>
        <v>221127</v>
      </c>
      <c r="C42" s="155">
        <f t="shared" si="29"/>
        <v>34088</v>
      </c>
      <c r="D42" s="155">
        <f t="shared" si="29"/>
        <v>352483</v>
      </c>
      <c r="E42" s="155">
        <f t="shared" si="29"/>
        <v>9300</v>
      </c>
      <c r="F42" s="155">
        <f t="shared" si="29"/>
        <v>388888</v>
      </c>
      <c r="G42" s="155">
        <f t="shared" si="29"/>
        <v>180118</v>
      </c>
      <c r="H42" s="155">
        <f t="shared" si="29"/>
        <v>35152</v>
      </c>
      <c r="I42" s="155">
        <f t="shared" si="29"/>
        <v>11606</v>
      </c>
      <c r="J42" s="155">
        <f t="shared" si="29"/>
        <v>1232762</v>
      </c>
      <c r="K42" s="155">
        <f t="shared" si="29"/>
        <v>195969</v>
      </c>
      <c r="L42" s="155">
        <f t="shared" si="29"/>
        <v>615464</v>
      </c>
      <c r="M42" s="155">
        <f t="shared" si="29"/>
        <v>172309</v>
      </c>
      <c r="N42" s="155">
        <f t="shared" si="29"/>
        <v>983742</v>
      </c>
      <c r="O42" s="156">
        <f t="shared" si="29"/>
        <v>2216504</v>
      </c>
      <c r="P42" s="382">
        <f t="shared" si="28"/>
        <v>48</v>
      </c>
      <c r="Q42" s="274"/>
    </row>
    <row r="43" spans="1:17" s="79" customFormat="1" ht="24" hidden="1" customHeight="1" thickBot="1" x14ac:dyDescent="0.25">
      <c r="A43" s="154" t="str">
        <f>'5.Bev.össz'!A44</f>
        <v>Önk.mindösszesen (módosított ei. 2021. . havi)</v>
      </c>
      <c r="B43" s="155">
        <f t="shared" ref="B43:O43" si="30">SUM(B10+B29)</f>
        <v>201757</v>
      </c>
      <c r="C43" s="155">
        <f t="shared" si="30"/>
        <v>35075</v>
      </c>
      <c r="D43" s="155" t="e">
        <f t="shared" si="30"/>
        <v>#REF!</v>
      </c>
      <c r="E43" s="155">
        <f t="shared" si="30"/>
        <v>9300</v>
      </c>
      <c r="F43" s="155">
        <f t="shared" si="30"/>
        <v>346694</v>
      </c>
      <c r="G43" s="155">
        <f t="shared" si="30"/>
        <v>168124</v>
      </c>
      <c r="H43" s="155">
        <f t="shared" si="30"/>
        <v>34472</v>
      </c>
      <c r="I43" s="155">
        <f t="shared" si="30"/>
        <v>113316</v>
      </c>
      <c r="J43" s="155" t="e">
        <f t="shared" si="30"/>
        <v>#REF!</v>
      </c>
      <c r="K43" s="155">
        <f t="shared" si="30"/>
        <v>33766</v>
      </c>
      <c r="L43" s="155">
        <f t="shared" si="30"/>
        <v>290950</v>
      </c>
      <c r="M43" s="155">
        <f t="shared" si="30"/>
        <v>499964</v>
      </c>
      <c r="N43" s="155">
        <f t="shared" si="30"/>
        <v>824680</v>
      </c>
      <c r="O43" s="156" t="e">
        <f t="shared" si="30"/>
        <v>#REF!</v>
      </c>
      <c r="P43" s="382">
        <f t="shared" si="28"/>
        <v>56</v>
      </c>
      <c r="Q43" s="274"/>
    </row>
    <row r="44" spans="1:17" s="79" customFormat="1" ht="24" hidden="1" customHeight="1" thickBot="1" x14ac:dyDescent="0.25">
      <c r="A44" s="154" t="str">
        <f>'5.Bev.össz'!A45</f>
        <v>Önk.mindösszesen (módosított ei. 2021. .havi)</v>
      </c>
      <c r="B44" s="155">
        <f t="shared" ref="B44:O44" si="31">SUM(B11+B30)</f>
        <v>201757</v>
      </c>
      <c r="C44" s="155">
        <f t="shared" si="31"/>
        <v>35075</v>
      </c>
      <c r="D44" s="155">
        <f t="shared" si="31"/>
        <v>295719</v>
      </c>
      <c r="E44" s="155">
        <f t="shared" si="31"/>
        <v>9300</v>
      </c>
      <c r="F44" s="155">
        <f t="shared" si="31"/>
        <v>346694</v>
      </c>
      <c r="G44" s="155">
        <f t="shared" si="31"/>
        <v>168124</v>
      </c>
      <c r="H44" s="155">
        <f t="shared" si="31"/>
        <v>34472</v>
      </c>
      <c r="I44" s="155">
        <f t="shared" si="31"/>
        <v>113316</v>
      </c>
      <c r="J44" s="155">
        <f t="shared" si="31"/>
        <v>1204457</v>
      </c>
      <c r="K44" s="155">
        <f t="shared" si="31"/>
        <v>33766</v>
      </c>
      <c r="L44" s="155">
        <f t="shared" si="31"/>
        <v>290950</v>
      </c>
      <c r="M44" s="155">
        <f t="shared" si="31"/>
        <v>499964</v>
      </c>
      <c r="N44" s="155">
        <f t="shared" si="31"/>
        <v>824680</v>
      </c>
      <c r="O44" s="156">
        <f t="shared" si="31"/>
        <v>2029137</v>
      </c>
      <c r="P44" s="382">
        <f t="shared" si="28"/>
        <v>56</v>
      </c>
      <c r="Q44" s="274"/>
    </row>
    <row r="45" spans="1:17" s="79" customFormat="1" ht="24" hidden="1" customHeight="1" thickBot="1" x14ac:dyDescent="0.25">
      <c r="A45" s="154">
        <f>'5.Bev.össz'!A46</f>
        <v>0</v>
      </c>
      <c r="B45" s="155">
        <f t="shared" ref="B45:O45" si="32">SUM(B12+B31)</f>
        <v>0</v>
      </c>
      <c r="C45" s="155">
        <f t="shared" si="32"/>
        <v>0</v>
      </c>
      <c r="D45" s="155">
        <f t="shared" si="32"/>
        <v>0</v>
      </c>
      <c r="E45" s="155">
        <f t="shared" si="32"/>
        <v>0</v>
      </c>
      <c r="F45" s="155">
        <f t="shared" si="32"/>
        <v>0</v>
      </c>
      <c r="G45" s="155">
        <f t="shared" si="32"/>
        <v>0</v>
      </c>
      <c r="H45" s="155">
        <f t="shared" si="32"/>
        <v>0</v>
      </c>
      <c r="I45" s="155">
        <f t="shared" si="32"/>
        <v>0</v>
      </c>
      <c r="J45" s="155">
        <f t="shared" si="32"/>
        <v>0</v>
      </c>
      <c r="K45" s="155">
        <f t="shared" si="32"/>
        <v>0</v>
      </c>
      <c r="L45" s="155">
        <f t="shared" si="32"/>
        <v>0</v>
      </c>
      <c r="M45" s="155">
        <f t="shared" si="32"/>
        <v>0</v>
      </c>
      <c r="N45" s="155">
        <f t="shared" si="32"/>
        <v>0</v>
      </c>
      <c r="O45" s="156">
        <f t="shared" si="32"/>
        <v>0</v>
      </c>
      <c r="P45" s="382">
        <f t="shared" si="28"/>
        <v>0</v>
      </c>
      <c r="Q45" s="274"/>
    </row>
    <row r="46" spans="1:17" s="79" customFormat="1" ht="15.75" hidden="1" customHeight="1" thickBot="1" x14ac:dyDescent="0.25">
      <c r="A46" s="154" t="str">
        <f>'5.Bev.össz'!A47</f>
        <v>Önk.mindösszesen (Teljesítés 2021.12.31.)</v>
      </c>
      <c r="B46" s="155">
        <f t="shared" ref="B46:O46" si="33">SUM(B13+B32)</f>
        <v>201757</v>
      </c>
      <c r="C46" s="155">
        <f t="shared" si="33"/>
        <v>35075</v>
      </c>
      <c r="D46" s="155">
        <f t="shared" si="33"/>
        <v>295719</v>
      </c>
      <c r="E46" s="155">
        <f t="shared" si="33"/>
        <v>9300</v>
      </c>
      <c r="F46" s="155">
        <f t="shared" si="33"/>
        <v>346694</v>
      </c>
      <c r="G46" s="155">
        <f t="shared" si="33"/>
        <v>168124</v>
      </c>
      <c r="H46" s="155">
        <f t="shared" si="33"/>
        <v>34472</v>
      </c>
      <c r="I46" s="155">
        <f t="shared" si="33"/>
        <v>113316</v>
      </c>
      <c r="J46" s="155">
        <f t="shared" si="33"/>
        <v>1204457</v>
      </c>
      <c r="K46" s="155">
        <f t="shared" si="33"/>
        <v>33766</v>
      </c>
      <c r="L46" s="155">
        <f t="shared" si="33"/>
        <v>290950</v>
      </c>
      <c r="M46" s="155">
        <f t="shared" si="33"/>
        <v>499964</v>
      </c>
      <c r="N46" s="155">
        <f t="shared" si="33"/>
        <v>824680</v>
      </c>
      <c r="O46" s="156">
        <f t="shared" si="33"/>
        <v>2029137</v>
      </c>
      <c r="P46" s="382">
        <f t="shared" si="28"/>
        <v>56</v>
      </c>
      <c r="Q46" s="274"/>
    </row>
    <row r="47" spans="1:17" x14ac:dyDescent="0.2">
      <c r="A47" s="81" t="s">
        <v>436</v>
      </c>
      <c r="O47" s="75">
        <f>SUM('7.finanszírozás.'!F85)</f>
        <v>-180118</v>
      </c>
    </row>
    <row r="48" spans="1:17" x14ac:dyDescent="0.2">
      <c r="A48" s="81" t="s">
        <v>441</v>
      </c>
      <c r="O48" s="788">
        <f>SUM(O42+O47)</f>
        <v>2036386</v>
      </c>
    </row>
    <row r="49" spans="1:15" x14ac:dyDescent="0.2">
      <c r="A49" s="531" t="s">
        <v>439</v>
      </c>
      <c r="O49" s="75">
        <v>0</v>
      </c>
    </row>
    <row r="59" spans="1:15" x14ac:dyDescent="0.2">
      <c r="D59" s="75" t="s">
        <v>994</v>
      </c>
    </row>
  </sheetData>
  <mergeCells count="18">
    <mergeCell ref="I6:I7"/>
    <mergeCell ref="G6:H6"/>
    <mergeCell ref="A3:O3"/>
    <mergeCell ref="A5:A7"/>
    <mergeCell ref="B5:I5"/>
    <mergeCell ref="J5:J7"/>
    <mergeCell ref="B6:B7"/>
    <mergeCell ref="C6:C7"/>
    <mergeCell ref="D6:D7"/>
    <mergeCell ref="E6:E7"/>
    <mergeCell ref="F6:F7"/>
    <mergeCell ref="P5:P7"/>
    <mergeCell ref="K5:N5"/>
    <mergeCell ref="O5:O7"/>
    <mergeCell ref="N6:N7"/>
    <mergeCell ref="K6:K7"/>
    <mergeCell ref="L6:L7"/>
    <mergeCell ref="M6:M7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7"/>
  <sheetViews>
    <sheetView topLeftCell="A65" zoomScaleNormal="100" zoomScaleSheetLayoutView="70" workbookViewId="0">
      <selection activeCell="B14" sqref="B14"/>
    </sheetView>
  </sheetViews>
  <sheetFormatPr defaultRowHeight="12.75" x14ac:dyDescent="0.2"/>
  <cols>
    <col min="1" max="1" width="2" style="110" customWidth="1"/>
    <col min="2" max="2" width="47.42578125" customWidth="1"/>
    <col min="3" max="5" width="16.140625" customWidth="1"/>
    <col min="6" max="6" width="18.28515625" customWidth="1"/>
    <col min="7" max="7" width="8.7109375" style="10" hidden="1" customWidth="1"/>
    <col min="8" max="8" width="9.140625" hidden="1" customWidth="1"/>
  </cols>
  <sheetData>
    <row r="1" spans="2:8" x14ac:dyDescent="0.2">
      <c r="B1" s="4"/>
      <c r="C1" s="4"/>
      <c r="D1" s="4"/>
      <c r="E1" s="4"/>
      <c r="F1" s="132" t="s">
        <v>265</v>
      </c>
    </row>
    <row r="2" spans="2:8" x14ac:dyDescent="0.2">
      <c r="B2" s="4"/>
      <c r="C2" s="4"/>
      <c r="D2" s="4"/>
      <c r="E2" s="4"/>
      <c r="F2" s="767"/>
    </row>
    <row r="3" spans="2:8" ht="42.75" customHeight="1" x14ac:dyDescent="0.2">
      <c r="B3" s="971" t="s">
        <v>1082</v>
      </c>
      <c r="C3" s="972"/>
      <c r="D3" s="972"/>
      <c r="E3" s="972"/>
      <c r="F3" s="972"/>
    </row>
    <row r="4" spans="2:8" ht="11.25" customHeight="1" thickBot="1" x14ac:dyDescent="0.25">
      <c r="B4" s="4"/>
      <c r="C4" s="4"/>
      <c r="D4" s="4"/>
      <c r="E4" s="4"/>
      <c r="F4" s="67" t="s">
        <v>0</v>
      </c>
    </row>
    <row r="5" spans="2:8" ht="12.75" customHeight="1" x14ac:dyDescent="0.2">
      <c r="B5" s="973" t="s">
        <v>46</v>
      </c>
      <c r="C5" s="975" t="s">
        <v>44</v>
      </c>
      <c r="D5" s="361" t="s">
        <v>45</v>
      </c>
      <c r="E5" s="975" t="s">
        <v>105</v>
      </c>
      <c r="F5" s="969" t="s">
        <v>48</v>
      </c>
      <c r="G5" s="36"/>
    </row>
    <row r="6" spans="2:8" ht="30.75" customHeight="1" thickBot="1" x14ac:dyDescent="0.25">
      <c r="B6" s="974"/>
      <c r="C6" s="976"/>
      <c r="D6" s="82" t="s">
        <v>49</v>
      </c>
      <c r="E6" s="976"/>
      <c r="F6" s="970"/>
      <c r="G6" s="36"/>
    </row>
    <row r="7" spans="2:8" ht="13.5" customHeight="1" x14ac:dyDescent="0.2">
      <c r="B7" s="344" t="s">
        <v>438</v>
      </c>
      <c r="C7" s="138"/>
      <c r="D7" s="139"/>
      <c r="E7" s="139"/>
      <c r="F7" s="139"/>
      <c r="G7" s="36"/>
    </row>
    <row r="8" spans="2:8" x14ac:dyDescent="0.2">
      <c r="B8" s="275" t="s">
        <v>766</v>
      </c>
      <c r="C8" s="301">
        <f>SUM('2.működés'!C7)-E8</f>
        <v>788691</v>
      </c>
      <c r="D8" s="301">
        <f>SUM('9.Hivatal'!R81+'9.Hivatal'!R82+'9.Hivatal'!R83)</f>
        <v>35925</v>
      </c>
      <c r="E8" s="302">
        <f t="shared" ref="E8:E13" si="0">SUM(D8:D8)</f>
        <v>35925</v>
      </c>
      <c r="F8" s="302">
        <f t="shared" ref="F8:F13" si="1">SUM(C8+E8)</f>
        <v>824616</v>
      </c>
      <c r="G8" s="36"/>
      <c r="H8" s="86"/>
    </row>
    <row r="9" spans="2:8" x14ac:dyDescent="0.2">
      <c r="B9" s="275" t="s">
        <v>1341</v>
      </c>
      <c r="C9" s="301">
        <f>SUM('2.működés'!D7)-E9</f>
        <v>805851</v>
      </c>
      <c r="D9" s="301">
        <f>SUM('9.Hivatal'!S81+'9.Hivatal'!S82+'9.Hivatal'!S83)</f>
        <v>36097</v>
      </c>
      <c r="E9" s="302">
        <f>SUM(D9:D9)</f>
        <v>36097</v>
      </c>
      <c r="F9" s="302">
        <f>SUM(C9+E9)</f>
        <v>841948</v>
      </c>
      <c r="G9" s="36"/>
      <c r="H9" s="86"/>
    </row>
    <row r="10" spans="2:8" hidden="1" x14ac:dyDescent="0.2">
      <c r="B10" s="275" t="s">
        <v>1083</v>
      </c>
      <c r="C10" s="301" t="e">
        <f>SUM('2.működés'!E7)-E10</f>
        <v>#REF!</v>
      </c>
      <c r="D10" s="301">
        <f>SUM('9.Hivatal'!T81+'9.Hivatal'!T82+'9.Hivatal'!T83)</f>
        <v>39427</v>
      </c>
      <c r="E10" s="302">
        <f t="shared" si="0"/>
        <v>39427</v>
      </c>
      <c r="F10" s="302" t="e">
        <f t="shared" si="1"/>
        <v>#REF!</v>
      </c>
      <c r="G10" s="36"/>
      <c r="H10" s="86"/>
    </row>
    <row r="11" spans="2:8" hidden="1" x14ac:dyDescent="0.2">
      <c r="B11" s="275" t="s">
        <v>1084</v>
      </c>
      <c r="C11" s="301" t="e">
        <f>SUM('2.működés'!F7)-E11</f>
        <v>#REF!</v>
      </c>
      <c r="D11" s="301">
        <f>SUM('9.Hivatal'!U81+'9.Hivatal'!U82+'9.Hivatal'!U83)</f>
        <v>39427</v>
      </c>
      <c r="E11" s="302">
        <f t="shared" si="0"/>
        <v>39427</v>
      </c>
      <c r="F11" s="302" t="e">
        <f t="shared" si="1"/>
        <v>#REF!</v>
      </c>
      <c r="G11" s="36"/>
      <c r="H11" s="86"/>
    </row>
    <row r="12" spans="2:8" hidden="1" x14ac:dyDescent="0.2">
      <c r="B12" s="275" t="s">
        <v>528</v>
      </c>
      <c r="C12" s="301"/>
      <c r="D12" s="301"/>
      <c r="E12" s="302"/>
      <c r="F12" s="302"/>
      <c r="G12" s="36"/>
      <c r="H12" s="86"/>
    </row>
    <row r="13" spans="2:8" ht="13.5" hidden="1" customHeight="1" x14ac:dyDescent="0.2">
      <c r="B13" s="275" t="s">
        <v>1058</v>
      </c>
      <c r="C13" s="301" t="e">
        <f>SUM('2.működés'!G7)-E13</f>
        <v>#REF!</v>
      </c>
      <c r="D13" s="301">
        <f>SUM('9.Hivatal'!V81+'9.Hivatal'!V82+'9.Hivatal'!V83)</f>
        <v>39427</v>
      </c>
      <c r="E13" s="302">
        <f t="shared" si="0"/>
        <v>39427</v>
      </c>
      <c r="F13" s="302" t="e">
        <f t="shared" si="1"/>
        <v>#REF!</v>
      </c>
      <c r="G13" s="36"/>
      <c r="H13" s="265"/>
    </row>
    <row r="14" spans="2:8" x14ac:dyDescent="0.2">
      <c r="B14" s="275"/>
      <c r="C14" s="301"/>
      <c r="D14" s="301"/>
      <c r="E14" s="302"/>
      <c r="F14" s="302"/>
      <c r="G14" s="36"/>
    </row>
    <row r="15" spans="2:8" ht="13.5" customHeight="1" x14ac:dyDescent="0.2">
      <c r="B15" s="341" t="s">
        <v>395</v>
      </c>
      <c r="C15" s="303"/>
      <c r="D15" s="303"/>
      <c r="E15" s="304"/>
      <c r="F15" s="302"/>
      <c r="G15" s="36"/>
      <c r="H15" s="86"/>
    </row>
    <row r="16" spans="2:8" ht="13.5" customHeight="1" x14ac:dyDescent="0.2">
      <c r="B16" s="275" t="str">
        <f t="shared" ref="B16:B21" si="2">B8</f>
        <v>2021. évi eredeti előirányzat</v>
      </c>
      <c r="C16" s="301">
        <f>'1.Bev-kiad.'!C15+'1.Bev-kiad.'!C39+'1.Bev-kiad.'!C49</f>
        <v>73834</v>
      </c>
      <c r="D16" s="303">
        <v>0</v>
      </c>
      <c r="E16" s="302">
        <v>0</v>
      </c>
      <c r="F16" s="302">
        <f t="shared" ref="F16:F21" si="3">SUM(C16+E16)</f>
        <v>73834</v>
      </c>
      <c r="G16" s="36"/>
      <c r="H16" s="86"/>
    </row>
    <row r="17" spans="2:9" ht="13.5" customHeight="1" x14ac:dyDescent="0.2">
      <c r="B17" s="275" t="str">
        <f t="shared" si="2"/>
        <v>Módosított előirányzat 2021.07.hó</v>
      </c>
      <c r="C17" s="301">
        <f>'1.Bev-kiad.'!D15+'1.Bev-kiad.'!D39+'1.Bev-kiad.'!D49</f>
        <v>194538</v>
      </c>
      <c r="D17" s="303">
        <v>0</v>
      </c>
      <c r="E17" s="302">
        <f>SUM(D17:D17)</f>
        <v>0</v>
      </c>
      <c r="F17" s="302">
        <f t="shared" si="3"/>
        <v>194538</v>
      </c>
      <c r="G17" s="36"/>
      <c r="H17" s="86"/>
    </row>
    <row r="18" spans="2:9" ht="13.5" hidden="1" customHeight="1" x14ac:dyDescent="0.2">
      <c r="B18" s="275" t="str">
        <f t="shared" si="2"/>
        <v>Módosított előirányzat 2021. . hó</v>
      </c>
      <c r="C18" s="301">
        <f>'1.Bev-kiad.'!E15+'1.Bev-kiad.'!E39+'1.Bev-kiad.'!E49</f>
        <v>351343</v>
      </c>
      <c r="D18" s="303">
        <v>0</v>
      </c>
      <c r="E18" s="302">
        <f>SUM(D18:D18)</f>
        <v>0</v>
      </c>
      <c r="F18" s="302">
        <f t="shared" si="3"/>
        <v>351343</v>
      </c>
      <c r="G18" s="36"/>
      <c r="H18" s="86"/>
    </row>
    <row r="19" spans="2:9" ht="13.5" hidden="1" customHeight="1" x14ac:dyDescent="0.2">
      <c r="B19" s="275" t="str">
        <f t="shared" si="2"/>
        <v>Módosított előirányzat 2021.12.31</v>
      </c>
      <c r="C19" s="301">
        <f>'1.Bev-kiad.'!F15+'1.Bev-kiad.'!F39+'1.Bev-kiad.'!F49</f>
        <v>351343</v>
      </c>
      <c r="D19" s="303">
        <v>0</v>
      </c>
      <c r="E19" s="302">
        <f>SUM(D19:D19)</f>
        <v>0</v>
      </c>
      <c r="F19" s="302">
        <f t="shared" si="3"/>
        <v>351343</v>
      </c>
      <c r="G19" s="36"/>
      <c r="H19" s="86"/>
    </row>
    <row r="20" spans="2:9" ht="13.5" hidden="1" customHeight="1" x14ac:dyDescent="0.2">
      <c r="B20" s="275" t="str">
        <f t="shared" si="2"/>
        <v>Beszámoló előtti ei.mód.</v>
      </c>
      <c r="C20" s="301"/>
      <c r="D20" s="303">
        <v>0</v>
      </c>
      <c r="E20" s="302">
        <f>SUM(D20:D20)</f>
        <v>0</v>
      </c>
      <c r="F20" s="302">
        <f t="shared" si="3"/>
        <v>0</v>
      </c>
      <c r="G20" s="36"/>
      <c r="H20" s="86"/>
    </row>
    <row r="21" spans="2:9" ht="13.5" hidden="1" customHeight="1" x14ac:dyDescent="0.2">
      <c r="B21" s="275" t="str">
        <f t="shared" si="2"/>
        <v>Teljesítés 2021.12.31.</v>
      </c>
      <c r="C21" s="301">
        <f>'1.Bev-kiad.'!G15+'1.Bev-kiad.'!G39+'1.Bev-kiad.'!G49</f>
        <v>351343</v>
      </c>
      <c r="D21" s="303">
        <v>0</v>
      </c>
      <c r="E21" s="302">
        <f>SUM(D21:D21)</f>
        <v>0</v>
      </c>
      <c r="F21" s="302">
        <f t="shared" si="3"/>
        <v>351343</v>
      </c>
      <c r="G21" s="36"/>
      <c r="H21" s="86"/>
    </row>
    <row r="22" spans="2:9" x14ac:dyDescent="0.2">
      <c r="B22" s="275"/>
      <c r="C22" s="301"/>
      <c r="D22" s="303"/>
      <c r="E22" s="304"/>
      <c r="F22" s="302"/>
      <c r="G22" s="36"/>
      <c r="H22" s="86"/>
    </row>
    <row r="23" spans="2:9" ht="15.75" customHeight="1" x14ac:dyDescent="0.2">
      <c r="B23" s="341" t="s">
        <v>50</v>
      </c>
      <c r="C23" s="303"/>
      <c r="D23" s="303"/>
      <c r="E23" s="304"/>
      <c r="F23" s="304"/>
      <c r="G23" s="37"/>
      <c r="I23" s="86"/>
    </row>
    <row r="24" spans="2:9" x14ac:dyDescent="0.2">
      <c r="B24" s="275" t="str">
        <f t="shared" ref="B24:B29" si="4">B16</f>
        <v>2021. évi eredeti előirányzat</v>
      </c>
      <c r="C24" s="301">
        <f t="shared" ref="C24:C29" si="5">SUM(C32+C56)</f>
        <v>982019</v>
      </c>
      <c r="D24" s="301">
        <f t="shared" ref="D24:D29" si="6">SUM(D40+D48+D32)</f>
        <v>191025</v>
      </c>
      <c r="E24" s="302">
        <f t="shared" ref="E24:E29" si="7">SUM(D24:D24)</f>
        <v>191025</v>
      </c>
      <c r="F24" s="302">
        <f t="shared" ref="F24:F29" si="8">SUM(C24+E24)</f>
        <v>1173044</v>
      </c>
      <c r="G24" s="193"/>
    </row>
    <row r="25" spans="2:9" x14ac:dyDescent="0.2">
      <c r="B25" s="275" t="str">
        <f t="shared" si="4"/>
        <v>Módosított előirányzat 2021.07.hó</v>
      </c>
      <c r="C25" s="301">
        <f t="shared" si="5"/>
        <v>982019</v>
      </c>
      <c r="D25" s="301">
        <f t="shared" si="6"/>
        <v>197999</v>
      </c>
      <c r="E25" s="302">
        <f t="shared" si="7"/>
        <v>197999</v>
      </c>
      <c r="F25" s="302">
        <f t="shared" si="8"/>
        <v>1180018</v>
      </c>
      <c r="G25" s="193"/>
    </row>
    <row r="26" spans="2:9" hidden="1" x14ac:dyDescent="0.2">
      <c r="B26" s="275" t="str">
        <f t="shared" si="4"/>
        <v>Módosított előirányzat 2021. . hó</v>
      </c>
      <c r="C26" s="301">
        <f t="shared" si="5"/>
        <v>784692</v>
      </c>
      <c r="D26" s="301">
        <f t="shared" si="6"/>
        <v>184854</v>
      </c>
      <c r="E26" s="302">
        <f t="shared" si="7"/>
        <v>184854</v>
      </c>
      <c r="F26" s="302">
        <f t="shared" si="8"/>
        <v>969546</v>
      </c>
      <c r="G26" s="36"/>
    </row>
    <row r="27" spans="2:9" hidden="1" x14ac:dyDescent="0.2">
      <c r="B27" s="275" t="str">
        <f t="shared" si="4"/>
        <v>Módosított előirányzat 2021.12.31</v>
      </c>
      <c r="C27" s="301">
        <f t="shared" si="5"/>
        <v>784692</v>
      </c>
      <c r="D27" s="301">
        <f t="shared" si="6"/>
        <v>184854</v>
      </c>
      <c r="E27" s="302">
        <f t="shared" si="7"/>
        <v>184854</v>
      </c>
      <c r="F27" s="302">
        <f t="shared" si="8"/>
        <v>969546</v>
      </c>
      <c r="G27" s="36"/>
    </row>
    <row r="28" spans="2:9" hidden="1" x14ac:dyDescent="0.2">
      <c r="B28" s="275" t="str">
        <f t="shared" si="4"/>
        <v>Beszámoló előtti ei.mód.</v>
      </c>
      <c r="C28" s="301">
        <f t="shared" si="5"/>
        <v>0</v>
      </c>
      <c r="D28" s="301">
        <f t="shared" si="6"/>
        <v>0</v>
      </c>
      <c r="E28" s="302">
        <f t="shared" si="7"/>
        <v>0</v>
      </c>
      <c r="F28" s="302">
        <f t="shared" si="8"/>
        <v>0</v>
      </c>
      <c r="G28" s="36"/>
    </row>
    <row r="29" spans="2:9" hidden="1" x14ac:dyDescent="0.2">
      <c r="B29" s="275" t="str">
        <f t="shared" si="4"/>
        <v>Teljesítés 2021.12.31.</v>
      </c>
      <c r="C29" s="301">
        <f t="shared" si="5"/>
        <v>784692</v>
      </c>
      <c r="D29" s="301">
        <f t="shared" si="6"/>
        <v>184854</v>
      </c>
      <c r="E29" s="302">
        <f t="shared" si="7"/>
        <v>184854</v>
      </c>
      <c r="F29" s="302">
        <f t="shared" si="8"/>
        <v>969546</v>
      </c>
      <c r="G29" s="193"/>
    </row>
    <row r="30" spans="2:9" x14ac:dyDescent="0.2">
      <c r="B30" s="275"/>
      <c r="C30" s="301"/>
      <c r="D30" s="301"/>
      <c r="E30" s="302"/>
      <c r="F30" s="302"/>
      <c r="G30" s="37"/>
    </row>
    <row r="31" spans="2:9" ht="14.25" customHeight="1" x14ac:dyDescent="0.2">
      <c r="B31" s="354" t="s">
        <v>452</v>
      </c>
      <c r="C31" s="303"/>
      <c r="D31" s="301"/>
      <c r="E31" s="302"/>
      <c r="F31" s="302"/>
      <c r="G31" s="37"/>
    </row>
    <row r="32" spans="2:9" ht="14.25" customHeight="1" x14ac:dyDescent="0.2">
      <c r="B32" s="275" t="str">
        <f t="shared" ref="B32:B37" si="9">B24</f>
        <v>2021. évi eredeti előirányzat</v>
      </c>
      <c r="C32" s="303">
        <f>SUM('1.Bev-kiad.'!C55)-D32</f>
        <v>982019</v>
      </c>
      <c r="D32" s="303">
        <f>SUM('9.Hivatal'!R84)</f>
        <v>17881</v>
      </c>
      <c r="E32" s="302">
        <f t="shared" ref="E32:E37" si="10">SUM(D32:D32)</f>
        <v>17881</v>
      </c>
      <c r="F32" s="302">
        <f t="shared" ref="F32:F37" si="11">SUM(C32+E32)</f>
        <v>999900</v>
      </c>
      <c r="G32" s="37"/>
    </row>
    <row r="33" spans="2:9" ht="14.25" customHeight="1" x14ac:dyDescent="0.2">
      <c r="B33" s="275" t="str">
        <f t="shared" si="9"/>
        <v>Módosított előirányzat 2021.07.hó</v>
      </c>
      <c r="C33" s="303">
        <f>SUM('1.Bev-kiad.'!D55)-D33</f>
        <v>982019</v>
      </c>
      <c r="D33" s="303">
        <f>SUM('9.Hivatal'!S84)</f>
        <v>17881</v>
      </c>
      <c r="E33" s="302">
        <f t="shared" si="10"/>
        <v>17881</v>
      </c>
      <c r="F33" s="302">
        <f t="shared" si="11"/>
        <v>999900</v>
      </c>
      <c r="G33" s="37"/>
    </row>
    <row r="34" spans="2:9" ht="14.25" hidden="1" customHeight="1" x14ac:dyDescent="0.2">
      <c r="B34" s="275" t="str">
        <f t="shared" si="9"/>
        <v>Módosított előirányzat 2021. . hó</v>
      </c>
      <c r="C34" s="303">
        <f>SUM('1.Bev-kiad.'!E55)-D34</f>
        <v>784692</v>
      </c>
      <c r="D34" s="303">
        <f>SUM('9.Hivatal'!T84)</f>
        <v>16730</v>
      </c>
      <c r="E34" s="302">
        <f t="shared" si="10"/>
        <v>16730</v>
      </c>
      <c r="F34" s="302">
        <f t="shared" si="11"/>
        <v>801422</v>
      </c>
      <c r="G34" s="37"/>
    </row>
    <row r="35" spans="2:9" ht="14.25" hidden="1" customHeight="1" x14ac:dyDescent="0.2">
      <c r="B35" s="275" t="str">
        <f t="shared" si="9"/>
        <v>Módosított előirányzat 2021.12.31</v>
      </c>
      <c r="C35" s="303">
        <f>SUM('1.Bev-kiad.'!F55)-D35</f>
        <v>784692</v>
      </c>
      <c r="D35" s="303">
        <f>SUM('9.Hivatal'!U84)</f>
        <v>16730</v>
      </c>
      <c r="E35" s="302">
        <f t="shared" si="10"/>
        <v>16730</v>
      </c>
      <c r="F35" s="302">
        <f t="shared" si="11"/>
        <v>801422</v>
      </c>
      <c r="G35" s="37"/>
    </row>
    <row r="36" spans="2:9" ht="14.25" hidden="1" customHeight="1" x14ac:dyDescent="0.2">
      <c r="B36" s="275" t="str">
        <f t="shared" si="9"/>
        <v>Beszámoló előtti ei.mód.</v>
      </c>
      <c r="C36" s="303"/>
      <c r="D36" s="303"/>
      <c r="E36" s="302">
        <f t="shared" si="10"/>
        <v>0</v>
      </c>
      <c r="F36" s="302">
        <f t="shared" si="11"/>
        <v>0</v>
      </c>
      <c r="G36" s="37"/>
    </row>
    <row r="37" spans="2:9" ht="14.25" hidden="1" customHeight="1" x14ac:dyDescent="0.2">
      <c r="B37" s="275" t="str">
        <f t="shared" si="9"/>
        <v>Teljesítés 2021.12.31.</v>
      </c>
      <c r="C37" s="303">
        <f>SUM('1.Bev-kiad.'!G55)-D37</f>
        <v>784692</v>
      </c>
      <c r="D37" s="303">
        <f>SUM('9.Hivatal'!V84)</f>
        <v>16730</v>
      </c>
      <c r="E37" s="302">
        <f t="shared" si="10"/>
        <v>16730</v>
      </c>
      <c r="F37" s="302">
        <f t="shared" si="11"/>
        <v>801422</v>
      </c>
      <c r="G37" s="37"/>
    </row>
    <row r="38" spans="2:9" x14ac:dyDescent="0.2">
      <c r="B38" s="275"/>
      <c r="C38" s="303"/>
      <c r="D38" s="303"/>
      <c r="E38" s="302"/>
      <c r="F38" s="302"/>
      <c r="G38" s="37"/>
    </row>
    <row r="39" spans="2:9" x14ac:dyDescent="0.2">
      <c r="B39" s="355" t="s">
        <v>934</v>
      </c>
      <c r="C39" s="303"/>
      <c r="D39" s="303"/>
      <c r="E39" s="304"/>
      <c r="F39" s="304"/>
      <c r="G39" s="85"/>
    </row>
    <row r="40" spans="2:9" x14ac:dyDescent="0.2">
      <c r="B40" s="275" t="str">
        <f t="shared" ref="B40:B45" si="12">B32</f>
        <v>2021. évi eredeti előirányzat</v>
      </c>
      <c r="C40" s="303"/>
      <c r="D40" s="303">
        <f>SUM('9.Hivatal'!R80)</f>
        <v>131680</v>
      </c>
      <c r="E40" s="302">
        <f t="shared" ref="E40:E45" si="13">SUM(D40:D40)</f>
        <v>131680</v>
      </c>
      <c r="F40" s="302">
        <f t="shared" ref="F40:F45" si="14">SUM(C40+E40)</f>
        <v>131680</v>
      </c>
      <c r="G40" s="193"/>
      <c r="H40" s="37"/>
      <c r="I40" s="37"/>
    </row>
    <row r="41" spans="2:9" x14ac:dyDescent="0.2">
      <c r="B41" s="275" t="str">
        <f t="shared" si="12"/>
        <v>Módosított előirányzat 2021.07.hó</v>
      </c>
      <c r="C41" s="303"/>
      <c r="D41" s="303">
        <f>SUM('9.Hivatal'!S80)</f>
        <v>132089</v>
      </c>
      <c r="E41" s="302">
        <f t="shared" si="13"/>
        <v>132089</v>
      </c>
      <c r="F41" s="302">
        <f t="shared" si="14"/>
        <v>132089</v>
      </c>
      <c r="G41" s="193"/>
      <c r="H41" s="37"/>
      <c r="I41" s="37"/>
    </row>
    <row r="42" spans="2:9" hidden="1" x14ac:dyDescent="0.2">
      <c r="B42" s="275" t="str">
        <f t="shared" si="12"/>
        <v>Módosított előirányzat 2021. . hó</v>
      </c>
      <c r="C42" s="303"/>
      <c r="D42" s="303">
        <f>SUM('9.Hivatal'!T80)</f>
        <v>169302</v>
      </c>
      <c r="E42" s="302">
        <f t="shared" si="13"/>
        <v>169302</v>
      </c>
      <c r="F42" s="302">
        <f t="shared" si="14"/>
        <v>169302</v>
      </c>
      <c r="G42" s="193"/>
      <c r="H42" s="37"/>
      <c r="I42" s="37"/>
    </row>
    <row r="43" spans="2:9" hidden="1" x14ac:dyDescent="0.2">
      <c r="B43" s="275" t="str">
        <f t="shared" si="12"/>
        <v>Módosított előirányzat 2021.12.31</v>
      </c>
      <c r="C43" s="303"/>
      <c r="D43" s="303">
        <f>SUM('9.Hivatal'!U80)</f>
        <v>169302</v>
      </c>
      <c r="E43" s="302">
        <f t="shared" si="13"/>
        <v>169302</v>
      </c>
      <c r="F43" s="302">
        <f t="shared" si="14"/>
        <v>169302</v>
      </c>
      <c r="G43" s="193"/>
      <c r="H43" s="37"/>
      <c r="I43" s="37"/>
    </row>
    <row r="44" spans="2:9" hidden="1" x14ac:dyDescent="0.2">
      <c r="B44" s="275" t="str">
        <f t="shared" si="12"/>
        <v>Beszámoló előtti ei.mód.</v>
      </c>
      <c r="C44" s="303"/>
      <c r="D44" s="303">
        <v>0</v>
      </c>
      <c r="E44" s="302">
        <f t="shared" si="13"/>
        <v>0</v>
      </c>
      <c r="F44" s="302">
        <f t="shared" si="14"/>
        <v>0</v>
      </c>
      <c r="G44" s="193"/>
      <c r="H44" s="37"/>
      <c r="I44" s="37"/>
    </row>
    <row r="45" spans="2:9" ht="13.5" hidden="1" customHeight="1" x14ac:dyDescent="0.2">
      <c r="B45" s="275" t="str">
        <f t="shared" si="12"/>
        <v>Teljesítés 2021.12.31.</v>
      </c>
      <c r="C45" s="303"/>
      <c r="D45" s="303">
        <f>SUM('9.Hivatal'!V80)</f>
        <v>169302</v>
      </c>
      <c r="E45" s="302">
        <f t="shared" si="13"/>
        <v>169302</v>
      </c>
      <c r="F45" s="302">
        <f t="shared" si="14"/>
        <v>169302</v>
      </c>
      <c r="G45" s="193"/>
      <c r="H45" s="37"/>
      <c r="I45" s="37"/>
    </row>
    <row r="46" spans="2:9" x14ac:dyDescent="0.2">
      <c r="B46" s="275"/>
      <c r="C46" s="303"/>
      <c r="D46" s="303"/>
      <c r="E46" s="302"/>
      <c r="F46" s="302"/>
      <c r="G46" s="37"/>
      <c r="H46" s="37"/>
      <c r="I46" s="37"/>
    </row>
    <row r="47" spans="2:9" ht="26.25" customHeight="1" x14ac:dyDescent="0.2">
      <c r="B47" s="355" t="s">
        <v>51</v>
      </c>
      <c r="C47" s="303"/>
      <c r="D47" s="303"/>
      <c r="E47" s="304"/>
      <c r="F47" s="304"/>
      <c r="G47" s="36"/>
      <c r="H47" s="36"/>
      <c r="I47" s="36"/>
    </row>
    <row r="48" spans="2:9" x14ac:dyDescent="0.2">
      <c r="B48" s="275" t="str">
        <f t="shared" ref="B48:B53" si="15">B40</f>
        <v>2021. évi eredeti előirányzat</v>
      </c>
      <c r="C48" s="303"/>
      <c r="D48" s="303">
        <f>SUM('9.Hivatal'!R86)</f>
        <v>41464</v>
      </c>
      <c r="E48" s="302">
        <f t="shared" ref="E48:E53" si="16">SUM(D48:D48)</f>
        <v>41464</v>
      </c>
      <c r="F48" s="302">
        <f t="shared" ref="F48:F53" si="17">SUM(E48)</f>
        <v>41464</v>
      </c>
      <c r="G48" s="37">
        <f t="shared" ref="G48:G53" si="18">SUM(E64-E8-E32)</f>
        <v>173144</v>
      </c>
      <c r="H48" s="37"/>
      <c r="I48" s="37"/>
    </row>
    <row r="49" spans="2:9" x14ac:dyDescent="0.2">
      <c r="B49" s="275" t="str">
        <f t="shared" si="15"/>
        <v>Módosított előirányzat 2021.07.hó</v>
      </c>
      <c r="C49" s="303"/>
      <c r="D49" s="303">
        <f>SUM('9.Hivatal'!S86)</f>
        <v>48029</v>
      </c>
      <c r="E49" s="302">
        <f t="shared" si="16"/>
        <v>48029</v>
      </c>
      <c r="F49" s="302">
        <f t="shared" si="17"/>
        <v>48029</v>
      </c>
      <c r="G49" s="37">
        <f t="shared" si="18"/>
        <v>180118</v>
      </c>
      <c r="H49" s="37"/>
      <c r="I49" s="37"/>
    </row>
    <row r="50" spans="2:9" hidden="1" x14ac:dyDescent="0.2">
      <c r="B50" s="275" t="str">
        <f t="shared" si="15"/>
        <v>Módosított előirányzat 2021. . hó</v>
      </c>
      <c r="C50" s="303"/>
      <c r="D50" s="303">
        <f>SUM('9.Hivatal'!T86)</f>
        <v>-1178</v>
      </c>
      <c r="E50" s="302">
        <f t="shared" si="16"/>
        <v>-1178</v>
      </c>
      <c r="F50" s="302">
        <f t="shared" si="17"/>
        <v>-1178</v>
      </c>
      <c r="G50" s="37">
        <f t="shared" si="18"/>
        <v>168124</v>
      </c>
      <c r="H50" s="37"/>
      <c r="I50" s="37"/>
    </row>
    <row r="51" spans="2:9" hidden="1" x14ac:dyDescent="0.2">
      <c r="B51" s="275" t="str">
        <f t="shared" si="15"/>
        <v>Módosított előirányzat 2021.12.31</v>
      </c>
      <c r="C51" s="303"/>
      <c r="D51" s="303">
        <f>SUM('9.Hivatal'!U86)</f>
        <v>-1178</v>
      </c>
      <c r="E51" s="302">
        <f t="shared" si="16"/>
        <v>-1178</v>
      </c>
      <c r="F51" s="302">
        <f t="shared" si="17"/>
        <v>-1178</v>
      </c>
      <c r="G51" s="37">
        <f t="shared" si="18"/>
        <v>168124</v>
      </c>
      <c r="H51" s="37"/>
      <c r="I51" s="37"/>
    </row>
    <row r="52" spans="2:9" hidden="1" x14ac:dyDescent="0.2">
      <c r="B52" s="275" t="str">
        <f t="shared" si="15"/>
        <v>Beszámoló előtti ei.mód.</v>
      </c>
      <c r="C52" s="303"/>
      <c r="D52" s="303">
        <v>0</v>
      </c>
      <c r="E52" s="302">
        <f t="shared" si="16"/>
        <v>0</v>
      </c>
      <c r="F52" s="302">
        <f t="shared" si="17"/>
        <v>0</v>
      </c>
      <c r="G52" s="37">
        <f t="shared" si="18"/>
        <v>0</v>
      </c>
      <c r="H52" s="37"/>
      <c r="I52" s="37"/>
    </row>
    <row r="53" spans="2:9" ht="13.5" hidden="1" customHeight="1" x14ac:dyDescent="0.2">
      <c r="B53" s="275" t="str">
        <f t="shared" si="15"/>
        <v>Teljesítés 2021.12.31.</v>
      </c>
      <c r="C53" s="303"/>
      <c r="D53" s="303">
        <f>SUM('9.Hivatal'!V86)</f>
        <v>-1178</v>
      </c>
      <c r="E53" s="302">
        <f t="shared" si="16"/>
        <v>-1178</v>
      </c>
      <c r="F53" s="302">
        <f t="shared" si="17"/>
        <v>-1178</v>
      </c>
      <c r="G53" s="37">
        <f t="shared" si="18"/>
        <v>168124</v>
      </c>
      <c r="H53" s="37"/>
      <c r="I53" s="37"/>
    </row>
    <row r="54" spans="2:9" x14ac:dyDescent="0.2">
      <c r="B54" s="275"/>
      <c r="C54" s="303"/>
      <c r="D54" s="303"/>
      <c r="E54" s="302"/>
      <c r="F54" s="302"/>
      <c r="G54" s="37"/>
      <c r="H54" s="37"/>
      <c r="I54" s="37"/>
    </row>
    <row r="55" spans="2:9" ht="13.5" customHeight="1" x14ac:dyDescent="0.2">
      <c r="B55" s="355" t="s">
        <v>515</v>
      </c>
      <c r="C55" s="345"/>
      <c r="D55" s="345"/>
      <c r="E55" s="346"/>
      <c r="F55" s="346"/>
      <c r="G55" s="37"/>
      <c r="H55" s="37"/>
      <c r="I55" s="37"/>
    </row>
    <row r="56" spans="2:9" ht="14.25" customHeight="1" x14ac:dyDescent="0.2">
      <c r="B56" s="371" t="str">
        <f t="shared" ref="B56:B61" si="19">B48</f>
        <v>2021. évi eredeti előirányzat</v>
      </c>
      <c r="C56" s="345">
        <f>SUM('1.Bev-kiad.'!C61)</f>
        <v>0</v>
      </c>
      <c r="D56" s="345"/>
      <c r="E56" s="346"/>
      <c r="F56" s="302">
        <f t="shared" ref="F56:F61" si="20">SUM(C56+E56)</f>
        <v>0</v>
      </c>
      <c r="G56" s="37"/>
      <c r="H56" s="37"/>
      <c r="I56" s="37"/>
    </row>
    <row r="57" spans="2:9" ht="13.5" customHeight="1" x14ac:dyDescent="0.2">
      <c r="B57" s="371" t="str">
        <f t="shared" si="19"/>
        <v>Módosított előirányzat 2021.07.hó</v>
      </c>
      <c r="C57" s="345">
        <f>'1.Bev-kiad.'!C59</f>
        <v>0</v>
      </c>
      <c r="D57" s="345"/>
      <c r="E57" s="346"/>
      <c r="F57" s="84">
        <f t="shared" si="20"/>
        <v>0</v>
      </c>
      <c r="G57" s="37"/>
      <c r="H57" s="37"/>
      <c r="I57" s="37"/>
    </row>
    <row r="58" spans="2:9" ht="13.5" hidden="1" customHeight="1" x14ac:dyDescent="0.2">
      <c r="B58" s="371" t="str">
        <f t="shared" si="19"/>
        <v>Módosított előirányzat 2021. . hó</v>
      </c>
      <c r="C58" s="345">
        <f>'1.Bev-kiad.'!D59</f>
        <v>0</v>
      </c>
      <c r="D58" s="345"/>
      <c r="E58" s="346"/>
      <c r="F58" s="84">
        <f t="shared" si="20"/>
        <v>0</v>
      </c>
      <c r="G58" s="37"/>
      <c r="H58" s="37"/>
      <c r="I58" s="37"/>
    </row>
    <row r="59" spans="2:9" ht="13.5" hidden="1" customHeight="1" x14ac:dyDescent="0.2">
      <c r="B59" s="371" t="str">
        <f t="shared" si="19"/>
        <v>Módosított előirányzat 2021.12.31</v>
      </c>
      <c r="C59" s="345">
        <f>'1.Bev-kiad.'!E59</f>
        <v>0</v>
      </c>
      <c r="D59" s="345"/>
      <c r="E59" s="346"/>
      <c r="F59" s="84">
        <f t="shared" si="20"/>
        <v>0</v>
      </c>
      <c r="G59" s="37"/>
      <c r="H59" s="37"/>
      <c r="I59" s="37"/>
    </row>
    <row r="60" spans="2:9" ht="13.5" hidden="1" customHeight="1" x14ac:dyDescent="0.2">
      <c r="B60" s="371" t="str">
        <f t="shared" si="19"/>
        <v>Beszámoló előtti ei.mód.</v>
      </c>
      <c r="C60" s="345">
        <f>'1.Bev-kiad.'!F59</f>
        <v>0</v>
      </c>
      <c r="D60" s="345"/>
      <c r="E60" s="346"/>
      <c r="F60" s="84">
        <f t="shared" si="20"/>
        <v>0</v>
      </c>
      <c r="G60" s="37"/>
      <c r="H60" s="37"/>
      <c r="I60" s="37"/>
    </row>
    <row r="61" spans="2:9" ht="13.5" hidden="1" customHeight="1" x14ac:dyDescent="0.2">
      <c r="B61" s="371" t="str">
        <f t="shared" si="19"/>
        <v>Teljesítés 2021.12.31.</v>
      </c>
      <c r="C61" s="345">
        <f>'1.Bev-kiad.'!G59</f>
        <v>0</v>
      </c>
      <c r="D61" s="345"/>
      <c r="E61" s="346"/>
      <c r="F61" s="84">
        <f t="shared" si="20"/>
        <v>0</v>
      </c>
      <c r="G61" s="37"/>
      <c r="H61" s="37"/>
      <c r="I61" s="37"/>
    </row>
    <row r="62" spans="2:9" ht="13.5" customHeight="1" thickBot="1" x14ac:dyDescent="0.25">
      <c r="B62" s="371"/>
      <c r="C62" s="345"/>
      <c r="D62" s="345"/>
      <c r="E62" s="346"/>
      <c r="F62" s="84"/>
      <c r="G62" s="37"/>
      <c r="H62" s="37"/>
      <c r="I62" s="37"/>
    </row>
    <row r="63" spans="2:9" ht="14.25" customHeight="1" x14ac:dyDescent="0.2">
      <c r="B63" s="133" t="s">
        <v>52</v>
      </c>
      <c r="C63" s="306"/>
      <c r="D63" s="306"/>
      <c r="E63" s="306"/>
      <c r="F63" s="311"/>
      <c r="G63" s="37"/>
      <c r="H63" s="86"/>
    </row>
    <row r="64" spans="2:9" ht="14.25" customHeight="1" x14ac:dyDescent="0.2">
      <c r="B64" s="264" t="str">
        <f t="shared" ref="B64:B69" si="21">B8</f>
        <v>2021. évi eredeti előirányzat</v>
      </c>
      <c r="C64" s="308">
        <f t="shared" ref="C64:C69" si="22">SUM(C8+C24+C16)</f>
        <v>1844544</v>
      </c>
      <c r="D64" s="308">
        <f t="shared" ref="D64:D69" si="23">SUM(D8+D24)</f>
        <v>226950</v>
      </c>
      <c r="E64" s="308">
        <f t="shared" ref="E64:E69" si="24">SUM(D64:D64)</f>
        <v>226950</v>
      </c>
      <c r="F64" s="312">
        <f t="shared" ref="F64:F69" si="25">SUM(C64+E64)</f>
        <v>2071494</v>
      </c>
      <c r="G64" s="193"/>
      <c r="H64" s="265"/>
    </row>
    <row r="65" spans="2:10" ht="14.25" customHeight="1" x14ac:dyDescent="0.2">
      <c r="B65" s="264" t="str">
        <f t="shared" si="21"/>
        <v>Módosított előirányzat 2021.07.hó</v>
      </c>
      <c r="C65" s="308">
        <f t="shared" si="22"/>
        <v>1982408</v>
      </c>
      <c r="D65" s="308">
        <f t="shared" si="23"/>
        <v>234096</v>
      </c>
      <c r="E65" s="308">
        <f t="shared" si="24"/>
        <v>234096</v>
      </c>
      <c r="F65" s="312">
        <f t="shared" si="25"/>
        <v>2216504</v>
      </c>
      <c r="G65" s="193"/>
      <c r="H65" s="265"/>
    </row>
    <row r="66" spans="2:10" ht="14.25" hidden="1" customHeight="1" x14ac:dyDescent="0.2">
      <c r="B66" s="264" t="str">
        <f t="shared" si="21"/>
        <v>Módosított előirányzat 2021. . hó</v>
      </c>
      <c r="C66" s="308" t="e">
        <f t="shared" si="22"/>
        <v>#REF!</v>
      </c>
      <c r="D66" s="308">
        <f t="shared" si="23"/>
        <v>224281</v>
      </c>
      <c r="E66" s="308">
        <f t="shared" si="24"/>
        <v>224281</v>
      </c>
      <c r="F66" s="312" t="e">
        <f t="shared" si="25"/>
        <v>#REF!</v>
      </c>
      <c r="G66" s="193"/>
      <c r="H66" s="265"/>
    </row>
    <row r="67" spans="2:10" ht="14.25" hidden="1" customHeight="1" x14ac:dyDescent="0.2">
      <c r="B67" s="264" t="str">
        <f t="shared" si="21"/>
        <v>Módosított előirányzat 2021.12.31</v>
      </c>
      <c r="C67" s="308" t="e">
        <f t="shared" si="22"/>
        <v>#REF!</v>
      </c>
      <c r="D67" s="308">
        <f t="shared" si="23"/>
        <v>224281</v>
      </c>
      <c r="E67" s="308">
        <f t="shared" si="24"/>
        <v>224281</v>
      </c>
      <c r="F67" s="312" t="e">
        <f t="shared" si="25"/>
        <v>#REF!</v>
      </c>
      <c r="G67" s="193"/>
      <c r="H67" s="265"/>
    </row>
    <row r="68" spans="2:10" ht="14.25" hidden="1" customHeight="1" x14ac:dyDescent="0.2">
      <c r="B68" s="264" t="str">
        <f t="shared" si="21"/>
        <v>Beszámoló előtti ei.mód.</v>
      </c>
      <c r="C68" s="308">
        <f t="shared" si="22"/>
        <v>0</v>
      </c>
      <c r="D68" s="308">
        <f t="shared" si="23"/>
        <v>0</v>
      </c>
      <c r="E68" s="308">
        <f t="shared" si="24"/>
        <v>0</v>
      </c>
      <c r="F68" s="312">
        <f t="shared" si="25"/>
        <v>0</v>
      </c>
      <c r="G68" s="193"/>
      <c r="H68" s="265"/>
    </row>
    <row r="69" spans="2:10" hidden="1" x14ac:dyDescent="0.2">
      <c r="B69" s="264" t="str">
        <f t="shared" si="21"/>
        <v>Teljesítés 2021.12.31.</v>
      </c>
      <c r="C69" s="308" t="e">
        <f t="shared" si="22"/>
        <v>#REF!</v>
      </c>
      <c r="D69" s="308">
        <f t="shared" si="23"/>
        <v>224281</v>
      </c>
      <c r="E69" s="308">
        <f t="shared" si="24"/>
        <v>224281</v>
      </c>
      <c r="F69" s="312" t="e">
        <f t="shared" si="25"/>
        <v>#REF!</v>
      </c>
      <c r="G69" s="193"/>
      <c r="H69" s="265"/>
    </row>
    <row r="70" spans="2:10" ht="14.25" customHeight="1" x14ac:dyDescent="0.2">
      <c r="B70" s="372" t="s">
        <v>53</v>
      </c>
      <c r="C70" s="308"/>
      <c r="D70" s="308"/>
      <c r="E70" s="308"/>
      <c r="F70" s="312">
        <f t="shared" ref="F70:F75" si="26">-E40-E48</f>
        <v>-173144</v>
      </c>
      <c r="G70" s="36"/>
    </row>
    <row r="71" spans="2:10" ht="12.75" customHeight="1" thickBot="1" x14ac:dyDescent="0.25">
      <c r="B71" s="372" t="str">
        <f>B65</f>
        <v>Módosított előirányzat 2021.07.hó</v>
      </c>
      <c r="C71" s="308"/>
      <c r="D71" s="308"/>
      <c r="E71" s="308"/>
      <c r="F71" s="312">
        <f t="shared" si="26"/>
        <v>-180118</v>
      </c>
      <c r="G71" s="36"/>
    </row>
    <row r="72" spans="2:10" ht="12.75" hidden="1" customHeight="1" x14ac:dyDescent="0.2">
      <c r="B72" s="372" t="str">
        <f>B66</f>
        <v>Módosított előirányzat 2021. . hó</v>
      </c>
      <c r="C72" s="307"/>
      <c r="D72" s="307"/>
      <c r="E72" s="307"/>
      <c r="F72" s="312">
        <f t="shared" si="26"/>
        <v>-168124</v>
      </c>
      <c r="G72" s="36"/>
    </row>
    <row r="73" spans="2:10" ht="12.75" hidden="1" customHeight="1" x14ac:dyDescent="0.2">
      <c r="B73" s="372" t="str">
        <f>B67</f>
        <v>Módosított előirányzat 2021.12.31</v>
      </c>
      <c r="C73" s="307"/>
      <c r="D73" s="307"/>
      <c r="E73" s="307"/>
      <c r="F73" s="312">
        <f t="shared" si="26"/>
        <v>-168124</v>
      </c>
      <c r="G73" s="36"/>
    </row>
    <row r="74" spans="2:10" ht="12.75" hidden="1" customHeight="1" x14ac:dyDescent="0.2">
      <c r="B74" s="372" t="str">
        <f>B68</f>
        <v>Beszámoló előtti ei.mód.</v>
      </c>
      <c r="C74" s="307"/>
      <c r="D74" s="307"/>
      <c r="E74" s="307"/>
      <c r="F74" s="312">
        <f t="shared" si="26"/>
        <v>0</v>
      </c>
      <c r="G74" s="36"/>
    </row>
    <row r="75" spans="2:10" ht="13.5" hidden="1" thickBot="1" x14ac:dyDescent="0.25">
      <c r="B75" s="372" t="str">
        <f>B69</f>
        <v>Teljesítés 2021.12.31.</v>
      </c>
      <c r="C75" s="307"/>
      <c r="D75" s="307"/>
      <c r="E75" s="307"/>
      <c r="F75" s="312">
        <f t="shared" si="26"/>
        <v>-168124</v>
      </c>
      <c r="G75" s="36"/>
    </row>
    <row r="76" spans="2:10" ht="13.5" thickBot="1" x14ac:dyDescent="0.25">
      <c r="B76" s="87" t="s">
        <v>54</v>
      </c>
      <c r="C76" s="309"/>
      <c r="D76" s="309"/>
      <c r="E76" s="309"/>
      <c r="F76" s="313">
        <f>SUM(F65+F71)</f>
        <v>2036386</v>
      </c>
      <c r="G76" s="36"/>
    </row>
    <row r="77" spans="2:10" ht="14.25" customHeight="1" x14ac:dyDescent="0.2">
      <c r="B77" s="359" t="s">
        <v>55</v>
      </c>
      <c r="C77" s="310"/>
      <c r="D77" s="310"/>
      <c r="E77" s="310"/>
      <c r="F77" s="314"/>
      <c r="G77" s="37"/>
      <c r="J77" s="86"/>
    </row>
    <row r="78" spans="2:10" x14ac:dyDescent="0.2">
      <c r="B78" s="264" t="str">
        <f t="shared" ref="B78:B89" si="27">B64</f>
        <v>2021. évi eredeti előirányzat</v>
      </c>
      <c r="C78" s="308">
        <f t="shared" ref="C78:C83" si="28">SUM(C92+C99+C106+C113+C120+C127+C134+C141)</f>
        <v>1844544</v>
      </c>
      <c r="D78" s="308">
        <f t="shared" ref="D78:D83" si="29">SUM(D92+D99+D106+D113+D127)</f>
        <v>226950</v>
      </c>
      <c r="E78" s="308">
        <f t="shared" ref="E78:E83" si="30">SUM(D78:D78)</f>
        <v>226950</v>
      </c>
      <c r="F78" s="312">
        <f t="shared" ref="F78:F83" si="31">SUM(C78+E78)</f>
        <v>2071494</v>
      </c>
      <c r="G78" s="193">
        <f t="shared" ref="G78:G83" si="32">SUM(F92+F99+F106+F113+F120+F127+F134+F141)</f>
        <v>2071494</v>
      </c>
      <c r="H78" s="265">
        <f t="shared" ref="H78:H83" si="33">SUM(E92+E99+E106+E113)</f>
        <v>226950</v>
      </c>
    </row>
    <row r="79" spans="2:10" x14ac:dyDescent="0.2">
      <c r="B79" s="264" t="str">
        <f t="shared" si="27"/>
        <v>Módosított előirányzat 2021.07.hó</v>
      </c>
      <c r="C79" s="308">
        <f t="shared" si="28"/>
        <v>1982408</v>
      </c>
      <c r="D79" s="308">
        <f t="shared" si="29"/>
        <v>234096</v>
      </c>
      <c r="E79" s="308">
        <f t="shared" si="30"/>
        <v>234096</v>
      </c>
      <c r="F79" s="312">
        <f t="shared" si="31"/>
        <v>2216504</v>
      </c>
      <c r="G79" s="193">
        <f t="shared" si="32"/>
        <v>2216504</v>
      </c>
      <c r="H79" s="265">
        <f t="shared" si="33"/>
        <v>234096</v>
      </c>
    </row>
    <row r="80" spans="2:10" hidden="1" x14ac:dyDescent="0.2">
      <c r="B80" s="264" t="str">
        <f t="shared" si="27"/>
        <v>Módosított előirányzat 2021. . hó</v>
      </c>
      <c r="C80" s="308" t="e">
        <f t="shared" si="28"/>
        <v>#REF!</v>
      </c>
      <c r="D80" s="308">
        <f t="shared" si="29"/>
        <v>224281</v>
      </c>
      <c r="E80" s="308">
        <f t="shared" si="30"/>
        <v>224281</v>
      </c>
      <c r="F80" s="312" t="e">
        <f t="shared" si="31"/>
        <v>#REF!</v>
      </c>
      <c r="G80" s="193" t="e">
        <f t="shared" si="32"/>
        <v>#REF!</v>
      </c>
      <c r="H80" s="265">
        <f t="shared" si="33"/>
        <v>223739</v>
      </c>
    </row>
    <row r="81" spans="2:8" hidden="1" x14ac:dyDescent="0.2">
      <c r="B81" s="264" t="str">
        <f t="shared" si="27"/>
        <v>Módosított előirányzat 2021.12.31</v>
      </c>
      <c r="C81" s="308">
        <f t="shared" si="28"/>
        <v>1804856</v>
      </c>
      <c r="D81" s="308">
        <f t="shared" si="29"/>
        <v>224281</v>
      </c>
      <c r="E81" s="308">
        <f t="shared" si="30"/>
        <v>224281</v>
      </c>
      <c r="F81" s="312">
        <f t="shared" si="31"/>
        <v>2029137</v>
      </c>
      <c r="G81" s="193">
        <f t="shared" si="32"/>
        <v>2029137</v>
      </c>
      <c r="H81" s="265">
        <f t="shared" si="33"/>
        <v>223739</v>
      </c>
    </row>
    <row r="82" spans="2:8" hidden="1" x14ac:dyDescent="0.2">
      <c r="B82" s="264" t="str">
        <f t="shared" si="27"/>
        <v>Beszámoló előtti ei.mód.</v>
      </c>
      <c r="C82" s="308">
        <f t="shared" si="28"/>
        <v>0</v>
      </c>
      <c r="D82" s="308">
        <f t="shared" si="29"/>
        <v>0</v>
      </c>
      <c r="E82" s="308">
        <f t="shared" si="30"/>
        <v>0</v>
      </c>
      <c r="F82" s="312">
        <f t="shared" si="31"/>
        <v>0</v>
      </c>
      <c r="G82" s="193">
        <f t="shared" si="32"/>
        <v>0</v>
      </c>
      <c r="H82" s="265">
        <f t="shared" si="33"/>
        <v>0</v>
      </c>
    </row>
    <row r="83" spans="2:8" hidden="1" x14ac:dyDescent="0.2">
      <c r="B83" s="264" t="str">
        <f t="shared" si="27"/>
        <v>Teljesítés 2021.12.31.</v>
      </c>
      <c r="C83" s="308">
        <f t="shared" si="28"/>
        <v>1804856</v>
      </c>
      <c r="D83" s="308">
        <f t="shared" si="29"/>
        <v>224281</v>
      </c>
      <c r="E83" s="308">
        <f t="shared" si="30"/>
        <v>224281</v>
      </c>
      <c r="F83" s="312">
        <f t="shared" si="31"/>
        <v>2029137</v>
      </c>
      <c r="G83" s="193">
        <f t="shared" si="32"/>
        <v>2029137</v>
      </c>
      <c r="H83" s="265">
        <f t="shared" si="33"/>
        <v>223739</v>
      </c>
    </row>
    <row r="84" spans="2:8" x14ac:dyDescent="0.2">
      <c r="B84" s="264" t="str">
        <f t="shared" si="27"/>
        <v xml:space="preserve">Intézményfinanszírozás </v>
      </c>
      <c r="C84" s="308"/>
      <c r="D84" s="308"/>
      <c r="E84" s="308"/>
      <c r="F84" s="312">
        <f t="shared" ref="F84:F89" si="34">F70</f>
        <v>-173144</v>
      </c>
      <c r="G84" s="36"/>
    </row>
    <row r="85" spans="2:8" ht="13.5" thickBot="1" x14ac:dyDescent="0.25">
      <c r="B85" s="264" t="str">
        <f t="shared" si="27"/>
        <v>Módosított előirányzat 2021.07.hó</v>
      </c>
      <c r="C85" s="307"/>
      <c r="D85" s="307"/>
      <c r="E85" s="307"/>
      <c r="F85" s="312">
        <f t="shared" si="34"/>
        <v>-180118</v>
      </c>
      <c r="G85" s="36"/>
    </row>
    <row r="86" spans="2:8" hidden="1" x14ac:dyDescent="0.2">
      <c r="B86" s="264" t="str">
        <f t="shared" si="27"/>
        <v>Módosított előirányzat 2021. . hó</v>
      </c>
      <c r="C86" s="307"/>
      <c r="D86" s="307"/>
      <c r="E86" s="307"/>
      <c r="F86" s="312">
        <f t="shared" si="34"/>
        <v>-168124</v>
      </c>
      <c r="G86" s="36"/>
    </row>
    <row r="87" spans="2:8" hidden="1" x14ac:dyDescent="0.2">
      <c r="B87" s="264" t="str">
        <f t="shared" si="27"/>
        <v>Módosított előirányzat 2021.12.31</v>
      </c>
      <c r="C87" s="307"/>
      <c r="D87" s="307"/>
      <c r="E87" s="307"/>
      <c r="F87" s="312">
        <f t="shared" si="34"/>
        <v>-168124</v>
      </c>
      <c r="G87" s="36"/>
    </row>
    <row r="88" spans="2:8" hidden="1" x14ac:dyDescent="0.2">
      <c r="B88" s="264" t="str">
        <f t="shared" si="27"/>
        <v>Beszámoló előtti ei.mód.</v>
      </c>
      <c r="C88" s="307"/>
      <c r="D88" s="307"/>
      <c r="E88" s="307"/>
      <c r="F88" s="312">
        <f t="shared" si="34"/>
        <v>0</v>
      </c>
      <c r="G88" s="36"/>
    </row>
    <row r="89" spans="2:8" ht="13.5" hidden="1" thickBot="1" x14ac:dyDescent="0.25">
      <c r="B89" s="264" t="str">
        <f t="shared" si="27"/>
        <v>Teljesítés 2021.12.31.</v>
      </c>
      <c r="C89" s="307"/>
      <c r="D89" s="307"/>
      <c r="E89" s="307"/>
      <c r="F89" s="312">
        <f t="shared" si="34"/>
        <v>-168124</v>
      </c>
      <c r="G89" s="36"/>
    </row>
    <row r="90" spans="2:8" ht="14.25" customHeight="1" thickBot="1" x14ac:dyDescent="0.25">
      <c r="B90" s="87" t="s">
        <v>56</v>
      </c>
      <c r="C90" s="309"/>
      <c r="D90" s="309"/>
      <c r="E90" s="309"/>
      <c r="F90" s="313">
        <f>SUM(F79+F85)</f>
        <v>2036386</v>
      </c>
      <c r="G90" s="37"/>
      <c r="H90" s="86"/>
    </row>
    <row r="91" spans="2:8" ht="13.5" customHeight="1" x14ac:dyDescent="0.2">
      <c r="B91" s="347" t="s">
        <v>34</v>
      </c>
      <c r="C91" s="683"/>
      <c r="D91" s="683"/>
      <c r="E91" s="305"/>
      <c r="F91" s="305"/>
      <c r="G91" s="37"/>
    </row>
    <row r="92" spans="2:8" ht="13.5" customHeight="1" x14ac:dyDescent="0.2">
      <c r="B92" s="357" t="str">
        <f>B8</f>
        <v>2021. évi eredeti előirányzat</v>
      </c>
      <c r="C92" s="303">
        <f>SUM('2.működés'!C111)</f>
        <v>39528</v>
      </c>
      <c r="D92" s="303">
        <f>SUM('9.Hivatal'!R20)</f>
        <v>175307</v>
      </c>
      <c r="E92" s="302">
        <f t="shared" ref="E92:E97" si="35">SUM(D92)</f>
        <v>175307</v>
      </c>
      <c r="F92" s="302">
        <f t="shared" ref="F92:F97" si="36">SUM(C92+E92)</f>
        <v>214835</v>
      </c>
      <c r="G92" s="37"/>
      <c r="H92" s="719"/>
    </row>
    <row r="93" spans="2:8" ht="13.5" customHeight="1" x14ac:dyDescent="0.2">
      <c r="B93" s="357" t="str">
        <f>B65</f>
        <v>Módosított előirányzat 2021.07.hó</v>
      </c>
      <c r="C93" s="303">
        <f>SUM('2.működés'!D111)</f>
        <v>40264</v>
      </c>
      <c r="D93" s="303">
        <f>SUM('9.Hivatal'!S20)</f>
        <v>180863</v>
      </c>
      <c r="E93" s="302">
        <f t="shared" si="35"/>
        <v>180863</v>
      </c>
      <c r="F93" s="302">
        <f t="shared" si="36"/>
        <v>221127</v>
      </c>
      <c r="G93" s="37"/>
    </row>
    <row r="94" spans="2:8" ht="13.5" hidden="1" customHeight="1" x14ac:dyDescent="0.2">
      <c r="B94" s="357" t="str">
        <f>B66</f>
        <v>Módosított előirányzat 2021. . hó</v>
      </c>
      <c r="C94" s="303">
        <f>SUM('2.működés'!E111)</f>
        <v>34475</v>
      </c>
      <c r="D94" s="303">
        <f>SUM('9.Hivatal'!T20)</f>
        <v>167282</v>
      </c>
      <c r="E94" s="302">
        <f t="shared" si="35"/>
        <v>167282</v>
      </c>
      <c r="F94" s="302">
        <f t="shared" si="36"/>
        <v>201757</v>
      </c>
      <c r="G94" s="37"/>
    </row>
    <row r="95" spans="2:8" ht="13.5" hidden="1" customHeight="1" x14ac:dyDescent="0.2">
      <c r="B95" s="357" t="str">
        <f>B67</f>
        <v>Módosított előirányzat 2021.12.31</v>
      </c>
      <c r="C95" s="303">
        <f>SUM('2.működés'!F111)</f>
        <v>34475</v>
      </c>
      <c r="D95" s="303">
        <f>SUM('9.Hivatal'!U20)</f>
        <v>167282</v>
      </c>
      <c r="E95" s="302">
        <f t="shared" si="35"/>
        <v>167282</v>
      </c>
      <c r="F95" s="302">
        <f t="shared" si="36"/>
        <v>201757</v>
      </c>
      <c r="G95" s="37"/>
    </row>
    <row r="96" spans="2:8" ht="13.5" hidden="1" customHeight="1" x14ac:dyDescent="0.2">
      <c r="B96" s="357" t="str">
        <f>B68</f>
        <v>Beszámoló előtti ei.mód.</v>
      </c>
      <c r="C96" s="303"/>
      <c r="D96" s="303"/>
      <c r="E96" s="302">
        <f t="shared" si="35"/>
        <v>0</v>
      </c>
      <c r="F96" s="302">
        <f t="shared" si="36"/>
        <v>0</v>
      </c>
      <c r="G96" s="37"/>
    </row>
    <row r="97" spans="2:7" hidden="1" x14ac:dyDescent="0.2">
      <c r="B97" s="357" t="str">
        <f>B69</f>
        <v>Teljesítés 2021.12.31.</v>
      </c>
      <c r="C97" s="303">
        <f>SUM('2.működés'!G111)</f>
        <v>34475</v>
      </c>
      <c r="D97" s="303">
        <f>SUM('9.Hivatal'!V20)</f>
        <v>167282</v>
      </c>
      <c r="E97" s="302">
        <f t="shared" si="35"/>
        <v>167282</v>
      </c>
      <c r="F97" s="302">
        <f t="shared" si="36"/>
        <v>201757</v>
      </c>
      <c r="G97" s="37"/>
    </row>
    <row r="98" spans="2:7" ht="14.25" customHeight="1" x14ac:dyDescent="0.2">
      <c r="B98" s="347" t="s">
        <v>463</v>
      </c>
      <c r="C98" s="303"/>
      <c r="D98" s="303"/>
      <c r="E98" s="302"/>
      <c r="F98" s="302"/>
      <c r="G98" s="36"/>
    </row>
    <row r="99" spans="2:7" ht="13.5" customHeight="1" x14ac:dyDescent="0.2">
      <c r="B99" s="357" t="str">
        <f t="shared" ref="B99:B104" si="37">B92</f>
        <v>2021. évi eredeti előirányzat</v>
      </c>
      <c r="C99" s="303">
        <f>SUM('2.működés'!C114)</f>
        <v>6357</v>
      </c>
      <c r="D99" s="303">
        <f>SUM('9.Hivatal'!R23)</f>
        <v>26841</v>
      </c>
      <c r="E99" s="302">
        <f t="shared" ref="E99:E104" si="38">SUM(D99)</f>
        <v>26841</v>
      </c>
      <c r="F99" s="302">
        <f t="shared" ref="F99:F104" si="39">SUM(C99+E99)</f>
        <v>33198</v>
      </c>
      <c r="G99" s="36"/>
    </row>
    <row r="100" spans="2:7" ht="13.5" customHeight="1" x14ac:dyDescent="0.2">
      <c r="B100" s="357" t="str">
        <f t="shared" si="37"/>
        <v>Módosított előirányzat 2021.07.hó</v>
      </c>
      <c r="C100" s="303">
        <f>SUM('2.működés'!D114)</f>
        <v>6452</v>
      </c>
      <c r="D100" s="303">
        <f>SUM('9.Hivatal'!S23)</f>
        <v>27636</v>
      </c>
      <c r="E100" s="302">
        <f t="shared" si="38"/>
        <v>27636</v>
      </c>
      <c r="F100" s="302">
        <f t="shared" si="39"/>
        <v>34088</v>
      </c>
      <c r="G100" s="36"/>
    </row>
    <row r="101" spans="2:7" ht="13.5" hidden="1" customHeight="1" x14ac:dyDescent="0.2">
      <c r="B101" s="357" t="str">
        <f t="shared" si="37"/>
        <v>Módosított előirányzat 2021. . hó</v>
      </c>
      <c r="C101" s="303">
        <f>SUM('2.működés'!E114)</f>
        <v>6069</v>
      </c>
      <c r="D101" s="303">
        <f>SUM('9.Hivatal'!T23)</f>
        <v>29006</v>
      </c>
      <c r="E101" s="302">
        <f t="shared" si="38"/>
        <v>29006</v>
      </c>
      <c r="F101" s="302">
        <f t="shared" si="39"/>
        <v>35075</v>
      </c>
      <c r="G101" s="36"/>
    </row>
    <row r="102" spans="2:7" ht="13.5" hidden="1" customHeight="1" x14ac:dyDescent="0.2">
      <c r="B102" s="357" t="str">
        <f t="shared" si="37"/>
        <v>Módosított előirányzat 2021.12.31</v>
      </c>
      <c r="C102" s="303">
        <f>SUM('2.működés'!F114)</f>
        <v>6069</v>
      </c>
      <c r="D102" s="303">
        <f>SUM('9.Hivatal'!U23)</f>
        <v>29006</v>
      </c>
      <c r="E102" s="302">
        <f t="shared" si="38"/>
        <v>29006</v>
      </c>
      <c r="F102" s="302">
        <f t="shared" si="39"/>
        <v>35075</v>
      </c>
      <c r="G102" s="36"/>
    </row>
    <row r="103" spans="2:7" ht="13.5" hidden="1" customHeight="1" x14ac:dyDescent="0.2">
      <c r="B103" s="357" t="str">
        <f t="shared" si="37"/>
        <v>Beszámoló előtti ei.mód.</v>
      </c>
      <c r="C103" s="303"/>
      <c r="D103" s="303"/>
      <c r="E103" s="302">
        <f t="shared" si="38"/>
        <v>0</v>
      </c>
      <c r="F103" s="302">
        <f t="shared" si="39"/>
        <v>0</v>
      </c>
      <c r="G103" s="36"/>
    </row>
    <row r="104" spans="2:7" hidden="1" x14ac:dyDescent="0.2">
      <c r="B104" s="357" t="str">
        <f t="shared" si="37"/>
        <v>Teljesítés 2021.12.31.</v>
      </c>
      <c r="C104" s="303">
        <f>SUM('2.működés'!G114)</f>
        <v>6069</v>
      </c>
      <c r="D104" s="303">
        <f>SUM('9.Hivatal'!V23)</f>
        <v>29006</v>
      </c>
      <c r="E104" s="302">
        <f t="shared" si="38"/>
        <v>29006</v>
      </c>
      <c r="F104" s="302">
        <f t="shared" si="39"/>
        <v>35075</v>
      </c>
      <c r="G104" s="36"/>
    </row>
    <row r="105" spans="2:7" ht="13.5" customHeight="1" x14ac:dyDescent="0.2">
      <c r="B105" s="342" t="s">
        <v>39</v>
      </c>
      <c r="C105" s="303"/>
      <c r="D105" s="303"/>
      <c r="E105" s="302"/>
      <c r="F105" s="302"/>
      <c r="G105" s="36"/>
    </row>
    <row r="106" spans="2:7" ht="13.5" customHeight="1" x14ac:dyDescent="0.2">
      <c r="B106" s="357" t="str">
        <f t="shared" ref="B106:B111" si="40">B99</f>
        <v>2021. évi eredeti előirányzat</v>
      </c>
      <c r="C106" s="303">
        <f>SUM('2.működés'!C117)</f>
        <v>303726</v>
      </c>
      <c r="D106" s="303">
        <f>SUM('9.Hivatal'!R71)</f>
        <v>23802</v>
      </c>
      <c r="E106" s="302">
        <f t="shared" ref="E106:E111" si="41">SUM(D106)</f>
        <v>23802</v>
      </c>
      <c r="F106" s="302">
        <f t="shared" ref="F106:F111" si="42">SUM(C106+E106)</f>
        <v>327528</v>
      </c>
      <c r="G106" s="36"/>
    </row>
    <row r="107" spans="2:7" ht="13.5" customHeight="1" x14ac:dyDescent="0.2">
      <c r="B107" s="357" t="str">
        <f t="shared" si="40"/>
        <v>Módosított előirányzat 2021.07.hó</v>
      </c>
      <c r="C107" s="303">
        <f>SUM('2.működés'!D117)</f>
        <v>327886</v>
      </c>
      <c r="D107" s="303">
        <f>SUM('9.Hivatal'!S71)</f>
        <v>24597</v>
      </c>
      <c r="E107" s="302">
        <f t="shared" si="41"/>
        <v>24597</v>
      </c>
      <c r="F107" s="302">
        <f t="shared" si="42"/>
        <v>352483</v>
      </c>
      <c r="G107" s="36"/>
    </row>
    <row r="108" spans="2:7" ht="13.5" hidden="1" customHeight="1" x14ac:dyDescent="0.2">
      <c r="B108" s="357" t="str">
        <f t="shared" si="40"/>
        <v>Módosított előirányzat 2021. . hó</v>
      </c>
      <c r="C108" s="303" t="e">
        <f>SUM('2.működés'!E117)</f>
        <v>#REF!</v>
      </c>
      <c r="D108" s="303">
        <f>SUM('9.Hivatal'!T71)</f>
        <v>26451</v>
      </c>
      <c r="E108" s="302">
        <f t="shared" si="41"/>
        <v>26451</v>
      </c>
      <c r="F108" s="302" t="e">
        <f t="shared" si="42"/>
        <v>#REF!</v>
      </c>
      <c r="G108" s="36"/>
    </row>
    <row r="109" spans="2:7" ht="13.5" hidden="1" customHeight="1" x14ac:dyDescent="0.2">
      <c r="B109" s="357" t="str">
        <f t="shared" si="40"/>
        <v>Módosított előirányzat 2021.12.31</v>
      </c>
      <c r="C109" s="303">
        <f>SUM('2.működés'!F117)</f>
        <v>269268</v>
      </c>
      <c r="D109" s="303">
        <f>SUM('9.Hivatal'!U71)</f>
        <v>26451</v>
      </c>
      <c r="E109" s="302">
        <f t="shared" si="41"/>
        <v>26451</v>
      </c>
      <c r="F109" s="302">
        <f t="shared" si="42"/>
        <v>295719</v>
      </c>
      <c r="G109" s="36"/>
    </row>
    <row r="110" spans="2:7" ht="13.5" hidden="1" customHeight="1" x14ac:dyDescent="0.2">
      <c r="B110" s="357" t="str">
        <f t="shared" si="40"/>
        <v>Beszámoló előtti ei.mód.</v>
      </c>
      <c r="C110" s="303"/>
      <c r="D110" s="303"/>
      <c r="E110" s="302">
        <f t="shared" si="41"/>
        <v>0</v>
      </c>
      <c r="F110" s="302">
        <f t="shared" si="42"/>
        <v>0</v>
      </c>
      <c r="G110" s="36"/>
    </row>
    <row r="111" spans="2:7" hidden="1" x14ac:dyDescent="0.2">
      <c r="B111" s="357" t="str">
        <f t="shared" si="40"/>
        <v>Teljesítés 2021.12.31.</v>
      </c>
      <c r="C111" s="303">
        <f>SUM('2.működés'!G117)</f>
        <v>269268</v>
      </c>
      <c r="D111" s="303">
        <f>SUM('9.Hivatal'!V71)</f>
        <v>26451</v>
      </c>
      <c r="E111" s="302">
        <f t="shared" si="41"/>
        <v>26451</v>
      </c>
      <c r="F111" s="302">
        <f t="shared" si="42"/>
        <v>295719</v>
      </c>
      <c r="G111" s="36"/>
    </row>
    <row r="112" spans="2:7" ht="25.5" customHeight="1" x14ac:dyDescent="0.2">
      <c r="B112" s="343" t="s">
        <v>378</v>
      </c>
      <c r="C112" s="303"/>
      <c r="D112" s="303"/>
      <c r="E112" s="302"/>
      <c r="F112" s="302"/>
      <c r="G112" s="36"/>
    </row>
    <row r="113" spans="2:7" ht="13.5" customHeight="1" x14ac:dyDescent="0.2">
      <c r="B113" s="357" t="str">
        <f t="shared" ref="B113:B118" si="43">B106</f>
        <v>2021. évi eredeti előirányzat</v>
      </c>
      <c r="C113" s="303">
        <f>SUM('3.felh'!C38+'3.felh'!C59)</f>
        <v>807903</v>
      </c>
      <c r="D113" s="303">
        <f>SUM('9.Hivatal'!R75)</f>
        <v>1000</v>
      </c>
      <c r="E113" s="302">
        <f t="shared" ref="E113:E118" si="44">SUM(D113)</f>
        <v>1000</v>
      </c>
      <c r="F113" s="302">
        <f t="shared" ref="F113:F118" si="45">SUM(C113+E113)</f>
        <v>808903</v>
      </c>
      <c r="G113" s="36"/>
    </row>
    <row r="114" spans="2:7" ht="13.5" customHeight="1" x14ac:dyDescent="0.2">
      <c r="B114" s="357" t="str">
        <f t="shared" si="43"/>
        <v>Módosított előirányzat 2021.07.hó</v>
      </c>
      <c r="C114" s="303">
        <f>SUM('3.felh'!D38+'3.felh'!D59)</f>
        <v>810433</v>
      </c>
      <c r="D114" s="303">
        <f>SUM('9.Hivatal'!S75)</f>
        <v>1000</v>
      </c>
      <c r="E114" s="302">
        <f t="shared" si="44"/>
        <v>1000</v>
      </c>
      <c r="F114" s="302">
        <f t="shared" si="45"/>
        <v>811433</v>
      </c>
      <c r="G114" s="36"/>
    </row>
    <row r="115" spans="2:7" ht="13.5" hidden="1" customHeight="1" x14ac:dyDescent="0.2">
      <c r="B115" s="357" t="str">
        <f t="shared" si="43"/>
        <v>Módosított előirányzat 2021. . hó</v>
      </c>
      <c r="C115" s="303">
        <f>SUM('3.felh'!E38+'3.felh'!E59)</f>
        <v>323716</v>
      </c>
      <c r="D115" s="303">
        <f>SUM('9.Hivatal'!T75)</f>
        <v>1000</v>
      </c>
      <c r="E115" s="302">
        <f t="shared" si="44"/>
        <v>1000</v>
      </c>
      <c r="F115" s="302">
        <f t="shared" si="45"/>
        <v>324716</v>
      </c>
      <c r="G115" s="36"/>
    </row>
    <row r="116" spans="2:7" ht="13.5" hidden="1" customHeight="1" x14ac:dyDescent="0.2">
      <c r="B116" s="357" t="str">
        <f t="shared" si="43"/>
        <v>Módosított előirányzat 2021.12.31</v>
      </c>
      <c r="C116" s="303">
        <f>SUM('3.felh'!F38+'3.felh'!F59)</f>
        <v>323716</v>
      </c>
      <c r="D116" s="303">
        <f>SUM('9.Hivatal'!U75)</f>
        <v>1000</v>
      </c>
      <c r="E116" s="302">
        <f t="shared" si="44"/>
        <v>1000</v>
      </c>
      <c r="F116" s="302">
        <f t="shared" si="45"/>
        <v>324716</v>
      </c>
      <c r="G116" s="36"/>
    </row>
    <row r="117" spans="2:7" ht="13.5" hidden="1" customHeight="1" x14ac:dyDescent="0.2">
      <c r="B117" s="357" t="str">
        <f t="shared" si="43"/>
        <v>Beszámoló előtti ei.mód.</v>
      </c>
      <c r="C117" s="303"/>
      <c r="D117" s="303"/>
      <c r="E117" s="302">
        <f t="shared" si="44"/>
        <v>0</v>
      </c>
      <c r="F117" s="302">
        <f t="shared" si="45"/>
        <v>0</v>
      </c>
      <c r="G117" s="36"/>
    </row>
    <row r="118" spans="2:7" hidden="1" x14ac:dyDescent="0.2">
      <c r="B118" s="357" t="str">
        <f t="shared" si="43"/>
        <v>Teljesítés 2021.12.31.</v>
      </c>
      <c r="C118" s="303">
        <f>SUM('3.felh'!G38+'3.felh'!G59)</f>
        <v>323716</v>
      </c>
      <c r="D118" s="303">
        <f>SUM('9.Hivatal'!V75)</f>
        <v>1000</v>
      </c>
      <c r="E118" s="302">
        <f t="shared" si="44"/>
        <v>1000</v>
      </c>
      <c r="F118" s="302">
        <f t="shared" si="45"/>
        <v>324716</v>
      </c>
      <c r="G118" s="36"/>
    </row>
    <row r="119" spans="2:7" ht="13.5" customHeight="1" x14ac:dyDescent="0.2">
      <c r="B119" s="358" t="s">
        <v>467</v>
      </c>
      <c r="C119" s="303"/>
      <c r="D119" s="303"/>
      <c r="E119" s="302"/>
      <c r="F119" s="302"/>
      <c r="G119" s="36"/>
    </row>
    <row r="120" spans="2:7" ht="13.5" customHeight="1" x14ac:dyDescent="0.2">
      <c r="B120" s="357" t="str">
        <f t="shared" ref="B120:B125" si="46">B113</f>
        <v>2021. évi eredeti előirányzat</v>
      </c>
      <c r="C120" s="303">
        <f>SUM('8.Önk.'!BA93)</f>
        <v>9300</v>
      </c>
      <c r="D120" s="303"/>
      <c r="E120" s="302"/>
      <c r="F120" s="302">
        <f t="shared" ref="F120:F125" si="47">SUM(C120)</f>
        <v>9300</v>
      </c>
      <c r="G120" s="36"/>
    </row>
    <row r="121" spans="2:7" ht="13.5" customHeight="1" x14ac:dyDescent="0.2">
      <c r="B121" s="357" t="str">
        <f t="shared" si="46"/>
        <v>Módosított előirányzat 2021.07.hó</v>
      </c>
      <c r="C121" s="303">
        <f>SUM('8.Önk.'!BB93)</f>
        <v>9300</v>
      </c>
      <c r="D121" s="303"/>
      <c r="E121" s="302"/>
      <c r="F121" s="302">
        <f t="shared" si="47"/>
        <v>9300</v>
      </c>
      <c r="G121" s="36"/>
    </row>
    <row r="122" spans="2:7" ht="13.5" hidden="1" customHeight="1" x14ac:dyDescent="0.2">
      <c r="B122" s="357" t="str">
        <f t="shared" si="46"/>
        <v>Módosított előirányzat 2021. . hó</v>
      </c>
      <c r="C122" s="303">
        <f>SUM('8.Önk.'!BC93)</f>
        <v>9300</v>
      </c>
      <c r="D122" s="303"/>
      <c r="E122" s="302"/>
      <c r="F122" s="302">
        <f t="shared" si="47"/>
        <v>9300</v>
      </c>
      <c r="G122" s="36"/>
    </row>
    <row r="123" spans="2:7" ht="13.5" hidden="1" customHeight="1" x14ac:dyDescent="0.2">
      <c r="B123" s="357" t="str">
        <f t="shared" si="46"/>
        <v>Módosított előirányzat 2021.12.31</v>
      </c>
      <c r="C123" s="303">
        <f>SUM('8.Önk.'!BD93)</f>
        <v>9300</v>
      </c>
      <c r="D123" s="303"/>
      <c r="E123" s="302"/>
      <c r="F123" s="302">
        <f t="shared" si="47"/>
        <v>9300</v>
      </c>
      <c r="G123" s="36"/>
    </row>
    <row r="124" spans="2:7" ht="13.5" hidden="1" customHeight="1" x14ac:dyDescent="0.2">
      <c r="B124" s="357" t="str">
        <f t="shared" si="46"/>
        <v>Beszámoló előtti ei.mód.</v>
      </c>
      <c r="C124" s="303"/>
      <c r="D124" s="303"/>
      <c r="E124" s="302"/>
      <c r="F124" s="302">
        <f t="shared" si="47"/>
        <v>0</v>
      </c>
      <c r="G124" s="36"/>
    </row>
    <row r="125" spans="2:7" hidden="1" x14ac:dyDescent="0.2">
      <c r="B125" s="357" t="str">
        <f t="shared" si="46"/>
        <v>Teljesítés 2021.12.31.</v>
      </c>
      <c r="C125" s="303">
        <f>SUM('8.Önk.'!BE93)</f>
        <v>9300</v>
      </c>
      <c r="D125" s="303"/>
      <c r="E125" s="302"/>
      <c r="F125" s="302">
        <f t="shared" si="47"/>
        <v>9300</v>
      </c>
      <c r="G125" s="36"/>
    </row>
    <row r="126" spans="2:7" ht="13.5" customHeight="1" x14ac:dyDescent="0.2">
      <c r="B126" s="342" t="s">
        <v>40</v>
      </c>
      <c r="C126" s="303"/>
      <c r="D126" s="303"/>
      <c r="E126" s="302"/>
      <c r="F126" s="302"/>
      <c r="G126" s="36"/>
    </row>
    <row r="127" spans="2:7" ht="13.5" customHeight="1" x14ac:dyDescent="0.2">
      <c r="B127" s="357" t="str">
        <f t="shared" ref="B127:B132" si="48">B120</f>
        <v>2021. évi eredeti előirányzat</v>
      </c>
      <c r="C127" s="303">
        <f>SUM('4. Átadott p.eszk.'!B76)</f>
        <v>385336</v>
      </c>
      <c r="D127" s="303">
        <f>'9.Hivatal'!R73</f>
        <v>0</v>
      </c>
      <c r="E127" s="302">
        <f t="shared" ref="E127:E132" si="49">SUM(D127)</f>
        <v>0</v>
      </c>
      <c r="F127" s="302">
        <f t="shared" ref="F127:F132" si="50">SUM(C127+E127)</f>
        <v>385336</v>
      </c>
      <c r="G127" s="36"/>
    </row>
    <row r="128" spans="2:7" ht="13.5" customHeight="1" x14ac:dyDescent="0.2">
      <c r="B128" s="357" t="str">
        <f t="shared" si="48"/>
        <v>Módosított előirányzat 2021.07.hó</v>
      </c>
      <c r="C128" s="303">
        <f>SUM('4. Átadott p.eszk.'!C76)</f>
        <v>388888</v>
      </c>
      <c r="D128" s="303">
        <f>'9.Hivatal'!S73</f>
        <v>0</v>
      </c>
      <c r="E128" s="302">
        <f t="shared" si="49"/>
        <v>0</v>
      </c>
      <c r="F128" s="302">
        <f t="shared" si="50"/>
        <v>388888</v>
      </c>
      <c r="G128" s="36"/>
    </row>
    <row r="129" spans="2:7" ht="13.5" hidden="1" customHeight="1" x14ac:dyDescent="0.2">
      <c r="B129" s="357" t="str">
        <f t="shared" si="48"/>
        <v>Módosított előirányzat 2021. . hó</v>
      </c>
      <c r="C129" s="303">
        <f>SUM('4. Átadott p.eszk.'!D76)</f>
        <v>346152</v>
      </c>
      <c r="D129" s="303">
        <f>'9.Hivatal'!T73</f>
        <v>542</v>
      </c>
      <c r="E129" s="302">
        <f t="shared" si="49"/>
        <v>542</v>
      </c>
      <c r="F129" s="302">
        <f t="shared" si="50"/>
        <v>346694</v>
      </c>
      <c r="G129" s="36"/>
    </row>
    <row r="130" spans="2:7" ht="13.5" hidden="1" customHeight="1" x14ac:dyDescent="0.2">
      <c r="B130" s="357" t="str">
        <f t="shared" si="48"/>
        <v>Módosított előirányzat 2021.12.31</v>
      </c>
      <c r="C130" s="303">
        <f>SUM('4. Átadott p.eszk.'!E76)</f>
        <v>346152</v>
      </c>
      <c r="D130" s="303">
        <f>'9.Hivatal'!U73</f>
        <v>542</v>
      </c>
      <c r="E130" s="302">
        <f t="shared" si="49"/>
        <v>542</v>
      </c>
      <c r="F130" s="302">
        <f t="shared" si="50"/>
        <v>346694</v>
      </c>
      <c r="G130" s="36"/>
    </row>
    <row r="131" spans="2:7" ht="13.5" hidden="1" customHeight="1" x14ac:dyDescent="0.2">
      <c r="B131" s="357" t="str">
        <f t="shared" si="48"/>
        <v>Beszámoló előtti ei.mód.</v>
      </c>
      <c r="C131" s="303"/>
      <c r="D131" s="303"/>
      <c r="E131" s="302">
        <f t="shared" si="49"/>
        <v>0</v>
      </c>
      <c r="F131" s="302">
        <f t="shared" si="50"/>
        <v>0</v>
      </c>
      <c r="G131" s="36"/>
    </row>
    <row r="132" spans="2:7" hidden="1" x14ac:dyDescent="0.2">
      <c r="B132" s="357" t="str">
        <f t="shared" si="48"/>
        <v>Teljesítés 2021.12.31.</v>
      </c>
      <c r="C132" s="303">
        <f>SUM('4. Átadott p.eszk.'!F76)</f>
        <v>346152</v>
      </c>
      <c r="D132" s="303">
        <f>'9.Hivatal'!V73</f>
        <v>542</v>
      </c>
      <c r="E132" s="302">
        <f t="shared" si="49"/>
        <v>542</v>
      </c>
      <c r="F132" s="302">
        <f t="shared" si="50"/>
        <v>346694</v>
      </c>
      <c r="G132" s="36"/>
    </row>
    <row r="133" spans="2:7" ht="13.5" customHeight="1" x14ac:dyDescent="0.2">
      <c r="B133" s="342" t="s">
        <v>57</v>
      </c>
      <c r="C133" s="303"/>
      <c r="D133" s="303"/>
      <c r="E133" s="302"/>
      <c r="F133" s="302"/>
      <c r="G133" s="36"/>
    </row>
    <row r="134" spans="2:7" ht="13.5" customHeight="1" x14ac:dyDescent="0.2">
      <c r="B134" s="357" t="str">
        <f t="shared" ref="B134:B139" si="51">B127</f>
        <v>2021. évi eredeti előirányzat</v>
      </c>
      <c r="C134" s="303">
        <f>SUM('1.Bev-kiad.'!C76+-'7.finanszírozás.'!F70)</f>
        <v>208296</v>
      </c>
      <c r="D134" s="303"/>
      <c r="E134" s="302"/>
      <c r="F134" s="302">
        <f t="shared" ref="F134:F139" si="52">SUM(C134)</f>
        <v>208296</v>
      </c>
      <c r="G134" s="36"/>
    </row>
    <row r="135" spans="2:7" ht="13.5" customHeight="1" x14ac:dyDescent="0.2">
      <c r="B135" s="357" t="str">
        <f t="shared" si="51"/>
        <v>Módosított előirányzat 2021.07.hó</v>
      </c>
      <c r="C135" s="303">
        <f>SUM('1.Bev-kiad.'!D76+-'7.finanszírozás.'!F71)</f>
        <v>215270</v>
      </c>
      <c r="D135" s="303"/>
      <c r="E135" s="302"/>
      <c r="F135" s="302">
        <f t="shared" si="52"/>
        <v>215270</v>
      </c>
      <c r="G135" s="36"/>
    </row>
    <row r="136" spans="2:7" ht="13.5" hidden="1" customHeight="1" x14ac:dyDescent="0.2">
      <c r="B136" s="357" t="str">
        <f t="shared" si="51"/>
        <v>Módosított előirányzat 2021. . hó</v>
      </c>
      <c r="C136" s="303">
        <f>SUM('1.Bev-kiad.'!E76+-'7.finanszírozás.'!F72)</f>
        <v>202596</v>
      </c>
      <c r="D136" s="303"/>
      <c r="E136" s="302"/>
      <c r="F136" s="302">
        <f t="shared" si="52"/>
        <v>202596</v>
      </c>
      <c r="G136" s="36"/>
    </row>
    <row r="137" spans="2:7" ht="13.5" hidden="1" customHeight="1" x14ac:dyDescent="0.2">
      <c r="B137" s="357" t="str">
        <f t="shared" si="51"/>
        <v>Módosított előirányzat 2021.12.31</v>
      </c>
      <c r="C137" s="303">
        <f>SUM('1.Bev-kiad.'!F76+-'7.finanszírozás.'!F73)</f>
        <v>202596</v>
      </c>
      <c r="D137" s="303"/>
      <c r="E137" s="302"/>
      <c r="F137" s="302">
        <f t="shared" si="52"/>
        <v>202596</v>
      </c>
      <c r="G137" s="36"/>
    </row>
    <row r="138" spans="2:7" ht="13.5" hidden="1" customHeight="1" x14ac:dyDescent="0.2">
      <c r="B138" s="357" t="str">
        <f t="shared" si="51"/>
        <v>Beszámoló előtti ei.mód.</v>
      </c>
      <c r="C138" s="303"/>
      <c r="D138" s="303"/>
      <c r="E138" s="302"/>
      <c r="F138" s="302">
        <f t="shared" si="52"/>
        <v>0</v>
      </c>
      <c r="G138" s="36"/>
    </row>
    <row r="139" spans="2:7" hidden="1" x14ac:dyDescent="0.2">
      <c r="B139" s="357" t="str">
        <f t="shared" si="51"/>
        <v>Teljesítés 2021.12.31.</v>
      </c>
      <c r="C139" s="303">
        <f>SUM('1.Bev-kiad.'!G76+-'7.finanszírozás.'!F75)</f>
        <v>202596</v>
      </c>
      <c r="D139" s="303"/>
      <c r="E139" s="302"/>
      <c r="F139" s="302">
        <f t="shared" si="52"/>
        <v>202596</v>
      </c>
      <c r="G139" s="36"/>
    </row>
    <row r="140" spans="2:7" ht="13.5" customHeight="1" x14ac:dyDescent="0.2">
      <c r="B140" s="356" t="s">
        <v>379</v>
      </c>
      <c r="C140" s="303"/>
      <c r="D140" s="303"/>
      <c r="E140" s="302"/>
      <c r="F140" s="302"/>
      <c r="G140" s="36"/>
    </row>
    <row r="141" spans="2:7" ht="13.5" customHeight="1" x14ac:dyDescent="0.2">
      <c r="B141" s="357" t="str">
        <f t="shared" ref="B141:B146" si="53">B134</f>
        <v>2021. évi eredeti előirányzat</v>
      </c>
      <c r="C141" s="303">
        <f>SUM('1.Bev-kiad.'!C67+'1.Bev-kiad.'!C72)</f>
        <v>84098</v>
      </c>
      <c r="D141" s="303"/>
      <c r="E141" s="302"/>
      <c r="F141" s="302">
        <f t="shared" ref="F141:F146" si="54">SUM(C141)</f>
        <v>84098</v>
      </c>
      <c r="G141" s="36"/>
    </row>
    <row r="142" spans="2:7" ht="13.5" customHeight="1" x14ac:dyDescent="0.2">
      <c r="B142" s="357" t="str">
        <f t="shared" si="53"/>
        <v>Módosított előirányzat 2021.07.hó</v>
      </c>
      <c r="C142" s="303">
        <f>SUM('1.Bev-kiad.'!D67+'1.Bev-kiad.'!D72)</f>
        <v>183915</v>
      </c>
      <c r="D142" s="303"/>
      <c r="E142" s="302"/>
      <c r="F142" s="302">
        <f t="shared" si="54"/>
        <v>183915</v>
      </c>
      <c r="G142" s="36"/>
    </row>
    <row r="143" spans="2:7" ht="13.5" hidden="1" customHeight="1" x14ac:dyDescent="0.2">
      <c r="B143" s="357" t="str">
        <f t="shared" si="53"/>
        <v>Módosított előirányzat 2021. . hó</v>
      </c>
      <c r="C143" s="303">
        <f>SUM('1.Bev-kiad.'!E67+'1.Bev-kiad.'!E72)</f>
        <v>613280</v>
      </c>
      <c r="D143" s="303"/>
      <c r="E143" s="302"/>
      <c r="F143" s="302">
        <f t="shared" si="54"/>
        <v>613280</v>
      </c>
      <c r="G143" s="36"/>
    </row>
    <row r="144" spans="2:7" ht="13.5" hidden="1" customHeight="1" x14ac:dyDescent="0.2">
      <c r="B144" s="357" t="str">
        <f t="shared" si="53"/>
        <v>Módosított előirányzat 2021.12.31</v>
      </c>
      <c r="C144" s="303">
        <f>SUM('1.Bev-kiad.'!F67+'1.Bev-kiad.'!F72)</f>
        <v>613280</v>
      </c>
      <c r="D144" s="303"/>
      <c r="E144" s="302"/>
      <c r="F144" s="302">
        <f t="shared" si="54"/>
        <v>613280</v>
      </c>
      <c r="G144" s="36"/>
    </row>
    <row r="145" spans="2:7" ht="13.5" hidden="1" customHeight="1" x14ac:dyDescent="0.2">
      <c r="B145" s="357" t="str">
        <f t="shared" si="53"/>
        <v>Beszámoló előtti ei.mód.</v>
      </c>
      <c r="C145" s="303"/>
      <c r="D145" s="303"/>
      <c r="E145" s="302"/>
      <c r="F145" s="302">
        <f t="shared" si="54"/>
        <v>0</v>
      </c>
      <c r="G145" s="36"/>
    </row>
    <row r="146" spans="2:7" hidden="1" x14ac:dyDescent="0.2">
      <c r="B146" s="357" t="str">
        <f t="shared" si="53"/>
        <v>Teljesítés 2021.12.31.</v>
      </c>
      <c r="C146" s="303">
        <f>SUM('1.Bev-kiad.'!G67+'1.Bev-kiad.'!G72)</f>
        <v>613280</v>
      </c>
      <c r="D146" s="303"/>
      <c r="E146" s="302"/>
      <c r="F146" s="302">
        <f t="shared" si="54"/>
        <v>613280</v>
      </c>
      <c r="G146" s="36"/>
    </row>
    <row r="147" spans="2:7" x14ac:dyDescent="0.2">
      <c r="B147" s="89"/>
      <c r="C147" s="612"/>
      <c r="D147" s="612"/>
    </row>
  </sheetData>
  <mergeCells count="5">
    <mergeCell ref="F5:F6"/>
    <mergeCell ref="B3:F3"/>
    <mergeCell ref="B5:B6"/>
    <mergeCell ref="C5:C6"/>
    <mergeCell ref="E5:E6"/>
  </mergeCells>
  <pageMargins left="0.36" right="0.16" top="0.27559055118110237" bottom="0.15748031496062992" header="0.15748031496062992" footer="0.15748031496062992"/>
  <pageSetup paperSize="9" scale="85" orientation="portrait" r:id="rId1"/>
  <rowBreaks count="1" manualBreakCount="1">
    <brk id="7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G287"/>
  <sheetViews>
    <sheetView zoomScale="98" zoomScaleNormal="98" zoomScaleSheetLayoutView="70" zoomScalePageLayoutView="80" workbookViewId="0">
      <selection activeCell="D9" sqref="D9"/>
    </sheetView>
  </sheetViews>
  <sheetFormatPr defaultRowHeight="12.75" x14ac:dyDescent="0.2"/>
  <cols>
    <col min="1" max="1" width="5.140625" style="201" customWidth="1"/>
    <col min="2" max="2" width="43.140625" customWidth="1"/>
    <col min="3" max="4" width="11.5703125" customWidth="1"/>
    <col min="5" max="7" width="11.5703125" hidden="1" customWidth="1"/>
    <col min="8" max="8" width="10.28515625" style="10" customWidth="1"/>
    <col min="9" max="9" width="10.140625" style="10" customWidth="1"/>
    <col min="10" max="11" width="10.140625" style="10" hidden="1" customWidth="1"/>
    <col min="12" max="12" width="10.140625" hidden="1" customWidth="1"/>
    <col min="13" max="14" width="10.140625" customWidth="1"/>
    <col min="15" max="17" width="10.140625" hidden="1" customWidth="1"/>
    <col min="18" max="19" width="10.140625" customWidth="1"/>
    <col min="20" max="22" width="10.140625" hidden="1" customWidth="1"/>
    <col min="23" max="24" width="10.140625" customWidth="1"/>
    <col min="25" max="27" width="10.140625" hidden="1" customWidth="1"/>
    <col min="28" max="29" width="10.140625" customWidth="1"/>
    <col min="30" max="32" width="10.140625" hidden="1" customWidth="1"/>
    <col min="33" max="34" width="10.140625" customWidth="1"/>
    <col min="35" max="37" width="10.140625" hidden="1" customWidth="1"/>
    <col min="38" max="39" width="10.140625" customWidth="1"/>
    <col min="40" max="42" width="10.140625" hidden="1" customWidth="1"/>
    <col min="43" max="43" width="10.140625" customWidth="1"/>
    <col min="44" max="44" width="8" customWidth="1"/>
    <col min="45" max="47" width="10.140625" hidden="1" customWidth="1"/>
    <col min="48" max="48" width="11.5703125" customWidth="1"/>
    <col min="49" max="49" width="10.140625" customWidth="1"/>
    <col min="50" max="52" width="10.140625" hidden="1" customWidth="1"/>
    <col min="53" max="54" width="11.5703125" customWidth="1"/>
    <col min="55" max="57" width="11.5703125" hidden="1" customWidth="1"/>
    <col min="58" max="58" width="7.42578125" style="10" customWidth="1"/>
  </cols>
  <sheetData>
    <row r="1" spans="1:59" x14ac:dyDescent="0.2">
      <c r="A1" s="349"/>
      <c r="B1" s="1"/>
      <c r="C1" s="67"/>
      <c r="D1" s="67"/>
      <c r="E1" s="67"/>
      <c r="F1" s="67"/>
      <c r="G1" s="67"/>
      <c r="X1" s="132" t="s">
        <v>380</v>
      </c>
      <c r="BB1" s="132"/>
      <c r="BE1" s="64"/>
    </row>
    <row r="2" spans="1:59" x14ac:dyDescent="0.2">
      <c r="A2" s="349"/>
      <c r="B2" s="1"/>
      <c r="C2" s="67"/>
      <c r="D2" s="67"/>
      <c r="E2" s="67"/>
      <c r="F2" s="67"/>
      <c r="G2" s="67"/>
      <c r="X2" s="766"/>
      <c r="BB2" s="132"/>
      <c r="BE2" s="64"/>
    </row>
    <row r="3" spans="1:59" s="89" customFormat="1" ht="15.75" x14ac:dyDescent="0.25">
      <c r="B3" s="926"/>
      <c r="C3" s="987" t="s">
        <v>97</v>
      </c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7"/>
      <c r="T3" s="987"/>
      <c r="U3" s="987"/>
      <c r="V3" s="987"/>
      <c r="W3" s="987"/>
      <c r="X3" s="987"/>
      <c r="Y3" s="927"/>
      <c r="Z3" s="927"/>
      <c r="AA3" s="927"/>
      <c r="AB3" s="987" t="s">
        <v>97</v>
      </c>
      <c r="AC3" s="987"/>
      <c r="AD3" s="987"/>
      <c r="AE3" s="987"/>
      <c r="AF3" s="987"/>
      <c r="AG3" s="987"/>
      <c r="AH3" s="987"/>
      <c r="AI3" s="987"/>
      <c r="AJ3" s="987"/>
      <c r="AK3" s="987"/>
      <c r="AL3" s="987"/>
      <c r="AM3" s="987"/>
      <c r="AN3" s="987"/>
      <c r="AO3" s="987"/>
      <c r="AP3" s="987"/>
      <c r="AQ3" s="987"/>
      <c r="AR3" s="987"/>
      <c r="AS3" s="987"/>
      <c r="AT3" s="987"/>
      <c r="AU3" s="987"/>
      <c r="AV3" s="987"/>
      <c r="AW3" s="987"/>
      <c r="AX3" s="987"/>
      <c r="AY3" s="987"/>
      <c r="AZ3" s="987"/>
      <c r="BA3" s="987"/>
      <c r="BB3" s="987"/>
      <c r="BC3" s="926"/>
      <c r="BD3" s="926"/>
      <c r="BE3" s="926"/>
      <c r="BF3" s="612"/>
    </row>
    <row r="4" spans="1:59" s="89" customFormat="1" ht="15.75" x14ac:dyDescent="0.25">
      <c r="B4" s="926"/>
      <c r="C4" s="987" t="s">
        <v>1085</v>
      </c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/>
      <c r="Y4" s="927"/>
      <c r="Z4" s="927"/>
      <c r="AA4" s="927"/>
      <c r="AB4" s="987" t="s">
        <v>1085</v>
      </c>
      <c r="AC4" s="987"/>
      <c r="AD4" s="987"/>
      <c r="AE4" s="987"/>
      <c r="AF4" s="987"/>
      <c r="AG4" s="987"/>
      <c r="AH4" s="987"/>
      <c r="AI4" s="987"/>
      <c r="AJ4" s="987"/>
      <c r="AK4" s="987"/>
      <c r="AL4" s="987"/>
      <c r="AM4" s="987"/>
      <c r="AN4" s="987"/>
      <c r="AO4" s="987"/>
      <c r="AP4" s="987"/>
      <c r="AQ4" s="987"/>
      <c r="AR4" s="987"/>
      <c r="AS4" s="987"/>
      <c r="AT4" s="987"/>
      <c r="AU4" s="987"/>
      <c r="AV4" s="987"/>
      <c r="AW4" s="987"/>
      <c r="AX4" s="987"/>
      <c r="AY4" s="987"/>
      <c r="AZ4" s="987"/>
      <c r="BA4" s="987"/>
      <c r="BB4" s="987"/>
      <c r="BC4" s="926"/>
      <c r="BD4" s="926"/>
      <c r="BE4" s="926"/>
      <c r="BF4" s="612"/>
    </row>
    <row r="5" spans="1:59" s="89" customFormat="1" ht="15.75" x14ac:dyDescent="0.25">
      <c r="B5" s="926"/>
      <c r="C5" s="987" t="s">
        <v>325</v>
      </c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987"/>
      <c r="S5" s="987"/>
      <c r="T5" s="987"/>
      <c r="U5" s="987"/>
      <c r="V5" s="987"/>
      <c r="W5" s="987"/>
      <c r="X5" s="987"/>
      <c r="Y5" s="927"/>
      <c r="Z5" s="927"/>
      <c r="AA5" s="927"/>
      <c r="AB5" s="987" t="s">
        <v>325</v>
      </c>
      <c r="AC5" s="987"/>
      <c r="AD5" s="987"/>
      <c r="AE5" s="987"/>
      <c r="AF5" s="987"/>
      <c r="AG5" s="987"/>
      <c r="AH5" s="987"/>
      <c r="AI5" s="987"/>
      <c r="AJ5" s="987"/>
      <c r="AK5" s="987"/>
      <c r="AL5" s="987"/>
      <c r="AM5" s="987"/>
      <c r="AN5" s="987"/>
      <c r="AO5" s="987"/>
      <c r="AP5" s="987"/>
      <c r="AQ5" s="987"/>
      <c r="AR5" s="987"/>
      <c r="AS5" s="987"/>
      <c r="AT5" s="987"/>
      <c r="AU5" s="987"/>
      <c r="AV5" s="987"/>
      <c r="AW5" s="987"/>
      <c r="AX5" s="987"/>
      <c r="AY5" s="987"/>
      <c r="AZ5" s="987"/>
      <c r="BA5" s="987"/>
      <c r="BB5" s="987"/>
      <c r="BC5" s="926"/>
      <c r="BD5" s="926"/>
      <c r="BE5" s="926"/>
      <c r="BF5" s="612"/>
    </row>
    <row r="6" spans="1:59" ht="13.5" thickBot="1" x14ac:dyDescent="0.25">
      <c r="B6" s="257">
        <v>27790</v>
      </c>
      <c r="C6" s="334"/>
      <c r="D6" s="334"/>
      <c r="E6" s="334"/>
      <c r="F6" s="334"/>
      <c r="G6" s="334"/>
      <c r="H6" s="215"/>
      <c r="I6" s="215"/>
      <c r="J6" s="215"/>
      <c r="K6" s="21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B6" s="12" t="s">
        <v>0</v>
      </c>
      <c r="BD6" s="65"/>
    </row>
    <row r="7" spans="1:59" s="231" customFormat="1" ht="59.25" customHeight="1" x14ac:dyDescent="0.2">
      <c r="A7" s="977" t="s">
        <v>124</v>
      </c>
      <c r="B7" s="979" t="s">
        <v>29</v>
      </c>
      <c r="C7" s="981" t="s">
        <v>889</v>
      </c>
      <c r="D7" s="982"/>
      <c r="E7" s="982"/>
      <c r="F7" s="982"/>
      <c r="G7" s="983"/>
      <c r="H7" s="981" t="s">
        <v>1147</v>
      </c>
      <c r="I7" s="982"/>
      <c r="J7" s="982"/>
      <c r="K7" s="982"/>
      <c r="L7" s="982"/>
      <c r="M7" s="981" t="s">
        <v>122</v>
      </c>
      <c r="N7" s="982"/>
      <c r="O7" s="982"/>
      <c r="P7" s="982"/>
      <c r="Q7" s="983"/>
      <c r="R7" s="981" t="s">
        <v>1329</v>
      </c>
      <c r="S7" s="982"/>
      <c r="T7" s="982"/>
      <c r="U7" s="982"/>
      <c r="V7" s="982"/>
      <c r="W7" s="981" t="s">
        <v>324</v>
      </c>
      <c r="X7" s="982"/>
      <c r="Y7" s="982"/>
      <c r="Z7" s="982"/>
      <c r="AA7" s="983"/>
      <c r="AB7" s="981" t="s">
        <v>513</v>
      </c>
      <c r="AC7" s="982"/>
      <c r="AD7" s="982"/>
      <c r="AE7" s="982"/>
      <c r="AF7" s="983"/>
      <c r="AG7" s="981" t="s">
        <v>458</v>
      </c>
      <c r="AH7" s="982"/>
      <c r="AI7" s="982"/>
      <c r="AJ7" s="982"/>
      <c r="AK7" s="983"/>
      <c r="AL7" s="981" t="s">
        <v>802</v>
      </c>
      <c r="AM7" s="982"/>
      <c r="AN7" s="982"/>
      <c r="AO7" s="982"/>
      <c r="AP7" s="983"/>
      <c r="AQ7" s="981" t="s">
        <v>123</v>
      </c>
      <c r="AR7" s="982"/>
      <c r="AS7" s="982"/>
      <c r="AT7" s="982"/>
      <c r="AU7" s="983"/>
      <c r="AV7" s="981" t="s">
        <v>339</v>
      </c>
      <c r="AW7" s="982"/>
      <c r="AX7" s="982"/>
      <c r="AY7" s="982"/>
      <c r="AZ7" s="983"/>
      <c r="BA7" s="984" t="s">
        <v>32</v>
      </c>
      <c r="BB7" s="985"/>
      <c r="BC7" s="985"/>
      <c r="BD7" s="985"/>
      <c r="BE7" s="986"/>
      <c r="BF7" s="10"/>
    </row>
    <row r="8" spans="1:59" s="364" customFormat="1" ht="39" customHeight="1" thickBot="1" x14ac:dyDescent="0.25">
      <c r="A8" s="978"/>
      <c r="B8" s="980"/>
      <c r="C8" s="652" t="s">
        <v>766</v>
      </c>
      <c r="D8" s="652" t="s">
        <v>1342</v>
      </c>
      <c r="E8" s="652" t="s">
        <v>1086</v>
      </c>
      <c r="F8" s="652" t="s">
        <v>1086</v>
      </c>
      <c r="G8" s="652" t="s">
        <v>1087</v>
      </c>
      <c r="H8" s="652" t="str">
        <f>C8</f>
        <v>2021. évi eredeti előirányzat</v>
      </c>
      <c r="I8" s="652" t="str">
        <f>D8</f>
        <v>mód.ei.          2021.07.hó</v>
      </c>
      <c r="J8" s="652" t="str">
        <f>E8</f>
        <v>mód.ei.          2021. . hó</v>
      </c>
      <c r="K8" s="652" t="str">
        <f>F8</f>
        <v>mód.ei.          2021. . hó</v>
      </c>
      <c r="L8" s="652" t="str">
        <f>G8</f>
        <v>teljesítés 2021.12.31</v>
      </c>
      <c r="M8" s="652" t="str">
        <f>C8</f>
        <v>2021. évi eredeti előirányzat</v>
      </c>
      <c r="N8" s="652" t="str">
        <f>D8</f>
        <v>mód.ei.          2021.07.hó</v>
      </c>
      <c r="O8" s="652" t="str">
        <f>E8</f>
        <v>mód.ei.          2021. . hó</v>
      </c>
      <c r="P8" s="652" t="str">
        <f>F8</f>
        <v>mód.ei.          2021. . hó</v>
      </c>
      <c r="Q8" s="652" t="str">
        <f>G8</f>
        <v>teljesítés 2021.12.31</v>
      </c>
      <c r="R8" s="652" t="str">
        <f>C8</f>
        <v>2021. évi eredeti előirányzat</v>
      </c>
      <c r="S8" s="652" t="str">
        <f>D8</f>
        <v>mód.ei.          2021.07.hó</v>
      </c>
      <c r="T8" s="652" t="str">
        <f>E8</f>
        <v>mód.ei.          2021. . hó</v>
      </c>
      <c r="U8" s="652" t="str">
        <f>F8</f>
        <v>mód.ei.          2021. . hó</v>
      </c>
      <c r="V8" s="652" t="str">
        <f>G8</f>
        <v>teljesítés 2021.12.31</v>
      </c>
      <c r="W8" s="652" t="str">
        <f>C8</f>
        <v>2021. évi eredeti előirányzat</v>
      </c>
      <c r="X8" s="652" t="str">
        <f>D8</f>
        <v>mód.ei.          2021.07.hó</v>
      </c>
      <c r="Y8" s="652" t="str">
        <f>E8</f>
        <v>mód.ei.          2021. . hó</v>
      </c>
      <c r="Z8" s="652" t="str">
        <f>F8</f>
        <v>mód.ei.          2021. . hó</v>
      </c>
      <c r="AA8" s="652" t="str">
        <f>G8</f>
        <v>teljesítés 2021.12.31</v>
      </c>
      <c r="AB8" s="652" t="str">
        <f>C8</f>
        <v>2021. évi eredeti előirányzat</v>
      </c>
      <c r="AC8" s="652" t="str">
        <f>D8</f>
        <v>mód.ei.          2021.07.hó</v>
      </c>
      <c r="AD8" s="652" t="str">
        <f>E8</f>
        <v>mód.ei.          2021. . hó</v>
      </c>
      <c r="AE8" s="652" t="str">
        <f>F8</f>
        <v>mód.ei.          2021. . hó</v>
      </c>
      <c r="AF8" s="652" t="str">
        <f>G8</f>
        <v>teljesítés 2021.12.31</v>
      </c>
      <c r="AG8" s="652" t="str">
        <f>C8</f>
        <v>2021. évi eredeti előirányzat</v>
      </c>
      <c r="AH8" s="652" t="str">
        <f>D8</f>
        <v>mód.ei.          2021.07.hó</v>
      </c>
      <c r="AI8" s="652" t="str">
        <f>E8</f>
        <v>mód.ei.          2021. . hó</v>
      </c>
      <c r="AJ8" s="652" t="str">
        <f>F8</f>
        <v>mód.ei.          2021. . hó</v>
      </c>
      <c r="AK8" s="652" t="str">
        <f>G8</f>
        <v>teljesítés 2021.12.31</v>
      </c>
      <c r="AL8" s="652" t="str">
        <f>C8</f>
        <v>2021. évi eredeti előirányzat</v>
      </c>
      <c r="AM8" s="652" t="str">
        <f>D8</f>
        <v>mód.ei.          2021.07.hó</v>
      </c>
      <c r="AN8" s="652" t="str">
        <f>E8</f>
        <v>mód.ei.          2021. . hó</v>
      </c>
      <c r="AO8" s="652" t="str">
        <f>F8</f>
        <v>mód.ei.          2021. . hó</v>
      </c>
      <c r="AP8" s="652" t="str">
        <f>G8</f>
        <v>teljesítés 2021.12.31</v>
      </c>
      <c r="AQ8" s="652" t="str">
        <f>C8</f>
        <v>2021. évi eredeti előirányzat</v>
      </c>
      <c r="AR8" s="652" t="str">
        <f>D8</f>
        <v>mód.ei.          2021.07.hó</v>
      </c>
      <c r="AS8" s="652" t="str">
        <f>E8</f>
        <v>mód.ei.          2021. . hó</v>
      </c>
      <c r="AT8" s="652" t="str">
        <f>F8</f>
        <v>mód.ei.          2021. . hó</v>
      </c>
      <c r="AU8" s="652" t="str">
        <f>G8</f>
        <v>teljesítés 2021.12.31</v>
      </c>
      <c r="AV8" s="652" t="str">
        <f>C8</f>
        <v>2021. évi eredeti előirányzat</v>
      </c>
      <c r="AW8" s="652" t="str">
        <f>D8</f>
        <v>mód.ei.          2021.07.hó</v>
      </c>
      <c r="AX8" s="652" t="str">
        <f>E8</f>
        <v>mód.ei.          2021. . hó</v>
      </c>
      <c r="AY8" s="652" t="str">
        <f>F8</f>
        <v>mód.ei.          2021. . hó</v>
      </c>
      <c r="AZ8" s="652" t="str">
        <f>G8</f>
        <v>teljesítés 2021.12.31</v>
      </c>
      <c r="BA8" s="686" t="str">
        <f>C8</f>
        <v>2021. évi eredeti előirányzat</v>
      </c>
      <c r="BB8" s="686" t="str">
        <f>D8</f>
        <v>mód.ei.          2021.07.hó</v>
      </c>
      <c r="BC8" s="686" t="str">
        <f>E8</f>
        <v>mód.ei.          2021. . hó</v>
      </c>
      <c r="BD8" s="686" t="str">
        <f>F8</f>
        <v>mód.ei.          2021. . hó</v>
      </c>
      <c r="BE8" s="686" t="str">
        <f>G8</f>
        <v>teljesítés 2021.12.31</v>
      </c>
      <c r="BF8" s="393"/>
    </row>
    <row r="9" spans="1:59" x14ac:dyDescent="0.2">
      <c r="A9" s="350" t="s">
        <v>302</v>
      </c>
      <c r="B9" s="21" t="s">
        <v>303</v>
      </c>
      <c r="C9" s="326">
        <f t="shared" ref="C9:AH9" si="0">SUM(C10:C14)</f>
        <v>0</v>
      </c>
      <c r="D9" s="326">
        <f>SUM(D10:D14)</f>
        <v>0</v>
      </c>
      <c r="E9" s="326">
        <f t="shared" si="0"/>
        <v>50</v>
      </c>
      <c r="F9" s="326">
        <f t="shared" si="0"/>
        <v>50</v>
      </c>
      <c r="G9" s="326">
        <f t="shared" si="0"/>
        <v>50</v>
      </c>
      <c r="H9" s="326">
        <f t="shared" si="0"/>
        <v>7781</v>
      </c>
      <c r="I9" s="326">
        <f>SUM(I10:I14)</f>
        <v>8397</v>
      </c>
      <c r="J9" s="326">
        <f t="shared" si="0"/>
        <v>8198</v>
      </c>
      <c r="K9" s="326">
        <f t="shared" si="0"/>
        <v>8198</v>
      </c>
      <c r="L9" s="326">
        <f t="shared" si="0"/>
        <v>8198</v>
      </c>
      <c r="M9" s="326">
        <f t="shared" si="0"/>
        <v>0</v>
      </c>
      <c r="N9" s="326">
        <f t="shared" si="0"/>
        <v>0</v>
      </c>
      <c r="O9" s="326">
        <f t="shared" si="0"/>
        <v>0</v>
      </c>
      <c r="P9" s="326">
        <f t="shared" si="0"/>
        <v>0</v>
      </c>
      <c r="Q9" s="326">
        <f t="shared" si="0"/>
        <v>0</v>
      </c>
      <c r="R9" s="326">
        <f t="shared" si="0"/>
        <v>0</v>
      </c>
      <c r="S9" s="326">
        <f t="shared" si="0"/>
        <v>0</v>
      </c>
      <c r="T9" s="326">
        <f t="shared" si="0"/>
        <v>0</v>
      </c>
      <c r="U9" s="326">
        <f t="shared" si="0"/>
        <v>0</v>
      </c>
      <c r="V9" s="326">
        <f t="shared" si="0"/>
        <v>0</v>
      </c>
      <c r="W9" s="326">
        <f t="shared" si="0"/>
        <v>9383</v>
      </c>
      <c r="X9" s="326">
        <f>SUM(X10:X14)</f>
        <v>9698</v>
      </c>
      <c r="Y9" s="326">
        <f t="shared" si="0"/>
        <v>9439</v>
      </c>
      <c r="Z9" s="326">
        <f t="shared" si="0"/>
        <v>9439</v>
      </c>
      <c r="AA9" s="326">
        <f t="shared" si="0"/>
        <v>9439</v>
      </c>
      <c r="AB9" s="326">
        <f t="shared" si="0"/>
        <v>1521</v>
      </c>
      <c r="AC9" s="326">
        <f>SUM(AC10:AC14)</f>
        <v>1569</v>
      </c>
      <c r="AD9" s="326">
        <f t="shared" si="0"/>
        <v>1465</v>
      </c>
      <c r="AE9" s="326">
        <f t="shared" si="0"/>
        <v>1465</v>
      </c>
      <c r="AF9" s="326">
        <f t="shared" si="0"/>
        <v>1465</v>
      </c>
      <c r="AG9" s="326">
        <f t="shared" si="0"/>
        <v>0</v>
      </c>
      <c r="AH9" s="326">
        <f t="shared" si="0"/>
        <v>0</v>
      </c>
      <c r="AI9" s="326">
        <f t="shared" ref="AI9:AZ9" si="1">SUM(AI10:AI14)</f>
        <v>0</v>
      </c>
      <c r="AJ9" s="326">
        <f t="shared" si="1"/>
        <v>0</v>
      </c>
      <c r="AK9" s="326">
        <f t="shared" si="1"/>
        <v>0</v>
      </c>
      <c r="AL9" s="326">
        <f t="shared" si="1"/>
        <v>0</v>
      </c>
      <c r="AM9" s="326">
        <f t="shared" si="1"/>
        <v>0</v>
      </c>
      <c r="AN9" s="326">
        <f t="shared" si="1"/>
        <v>0</v>
      </c>
      <c r="AO9" s="326">
        <f t="shared" si="1"/>
        <v>0</v>
      </c>
      <c r="AP9" s="326">
        <f t="shared" si="1"/>
        <v>0</v>
      </c>
      <c r="AQ9" s="326">
        <f t="shared" si="1"/>
        <v>0</v>
      </c>
      <c r="AR9" s="326">
        <f t="shared" si="1"/>
        <v>0</v>
      </c>
      <c r="AS9" s="326">
        <f t="shared" si="1"/>
        <v>0</v>
      </c>
      <c r="AT9" s="326">
        <f t="shared" si="1"/>
        <v>0</v>
      </c>
      <c r="AU9" s="326">
        <f t="shared" si="1"/>
        <v>0</v>
      </c>
      <c r="AV9" s="326">
        <f t="shared" si="1"/>
        <v>3196</v>
      </c>
      <c r="AW9" s="326">
        <f t="shared" si="1"/>
        <v>3316</v>
      </c>
      <c r="AX9" s="326">
        <f t="shared" si="1"/>
        <v>3222</v>
      </c>
      <c r="AY9" s="326">
        <f t="shared" si="1"/>
        <v>3222</v>
      </c>
      <c r="AZ9" s="326">
        <f t="shared" si="1"/>
        <v>3222</v>
      </c>
      <c r="BA9" s="368">
        <f t="shared" ref="BA9:BA24" si="2">C9+H9+M9+R9+W9+AB9+AG9+AL9+AQ9+AV9</f>
        <v>21881</v>
      </c>
      <c r="BB9" s="368">
        <f t="shared" ref="BB9:BE24" si="3">D9+I9+N9+S9+X9+AC9+AH9+AM9+AR9+AW9</f>
        <v>22980</v>
      </c>
      <c r="BC9" s="368">
        <f t="shared" si="3"/>
        <v>22374</v>
      </c>
      <c r="BD9" s="368">
        <f t="shared" si="3"/>
        <v>22374</v>
      </c>
      <c r="BE9" s="368">
        <f t="shared" si="3"/>
        <v>22374</v>
      </c>
      <c r="BF9" s="395">
        <f>SUM(BA10:BA14)</f>
        <v>21881</v>
      </c>
    </row>
    <row r="10" spans="1:59" x14ac:dyDescent="0.2">
      <c r="A10" s="350"/>
      <c r="B10" s="61" t="s">
        <v>350</v>
      </c>
      <c r="C10" s="291"/>
      <c r="D10" s="291"/>
      <c r="E10" s="291"/>
      <c r="F10" s="291"/>
      <c r="G10" s="291"/>
      <c r="H10" s="292">
        <v>7289</v>
      </c>
      <c r="I10" s="292">
        <f>7289+611</f>
        <v>7900</v>
      </c>
      <c r="J10" s="292">
        <f>7289-165-90</f>
        <v>7034</v>
      </c>
      <c r="K10" s="292">
        <f>7289-165-90</f>
        <v>7034</v>
      </c>
      <c r="L10" s="292">
        <f>7289-165-90</f>
        <v>7034</v>
      </c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>
        <v>8995</v>
      </c>
      <c r="X10" s="292">
        <v>8995</v>
      </c>
      <c r="Y10" s="292">
        <f>8995+175</f>
        <v>9170</v>
      </c>
      <c r="Z10" s="292">
        <f>8995+175</f>
        <v>9170</v>
      </c>
      <c r="AA10" s="292">
        <f>8995+175</f>
        <v>9170</v>
      </c>
      <c r="AB10" s="292">
        <v>1449</v>
      </c>
      <c r="AC10" s="292">
        <f>1449+48</f>
        <v>1497</v>
      </c>
      <c r="AD10" s="292">
        <f>1449-150</f>
        <v>1299</v>
      </c>
      <c r="AE10" s="292">
        <f>1449-150</f>
        <v>1299</v>
      </c>
      <c r="AF10" s="292">
        <f>1449-150</f>
        <v>1299</v>
      </c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>
        <v>3000</v>
      </c>
      <c r="AW10" s="292">
        <f>3000+120</f>
        <v>3120</v>
      </c>
      <c r="AX10" s="292">
        <f>3000+90</f>
        <v>3090</v>
      </c>
      <c r="AY10" s="292">
        <f>3000+90</f>
        <v>3090</v>
      </c>
      <c r="AZ10" s="292">
        <f>3000+90</f>
        <v>3090</v>
      </c>
      <c r="BA10" s="367">
        <f t="shared" si="2"/>
        <v>20733</v>
      </c>
      <c r="BB10" s="367">
        <f t="shared" si="3"/>
        <v>21512</v>
      </c>
      <c r="BC10" s="367">
        <f t="shared" si="3"/>
        <v>20593</v>
      </c>
      <c r="BD10" s="367">
        <f t="shared" si="3"/>
        <v>20593</v>
      </c>
      <c r="BE10" s="367">
        <f t="shared" si="3"/>
        <v>20593</v>
      </c>
      <c r="BF10" s="395"/>
    </row>
    <row r="11" spans="1:59" x14ac:dyDescent="0.2">
      <c r="A11" s="350"/>
      <c r="B11" s="61" t="s">
        <v>61</v>
      </c>
      <c r="C11" s="291"/>
      <c r="D11" s="291"/>
      <c r="E11" s="291"/>
      <c r="F11" s="291"/>
      <c r="G11" s="291"/>
      <c r="H11" s="293">
        <v>200</v>
      </c>
      <c r="I11" s="293">
        <v>200</v>
      </c>
      <c r="J11" s="293">
        <f>200-15</f>
        <v>185</v>
      </c>
      <c r="K11" s="293">
        <f>200-15</f>
        <v>185</v>
      </c>
      <c r="L11" s="293">
        <f>200-15</f>
        <v>185</v>
      </c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>
        <v>0</v>
      </c>
      <c r="X11" s="293">
        <v>0</v>
      </c>
      <c r="Y11" s="293">
        <v>15</v>
      </c>
      <c r="Z11" s="293">
        <v>15</v>
      </c>
      <c r="AA11" s="293">
        <v>15</v>
      </c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367">
        <f t="shared" si="2"/>
        <v>200</v>
      </c>
      <c r="BB11" s="367">
        <f t="shared" si="3"/>
        <v>200</v>
      </c>
      <c r="BC11" s="367">
        <f t="shared" si="3"/>
        <v>200</v>
      </c>
      <c r="BD11" s="367">
        <f t="shared" si="3"/>
        <v>200</v>
      </c>
      <c r="BE11" s="367">
        <f t="shared" si="3"/>
        <v>200</v>
      </c>
      <c r="BF11" s="395"/>
    </row>
    <row r="12" spans="1:59" s="10" customFormat="1" x14ac:dyDescent="0.2">
      <c r="A12" s="69"/>
      <c r="B12" s="9" t="s">
        <v>33</v>
      </c>
      <c r="C12" s="333"/>
      <c r="D12" s="333"/>
      <c r="E12" s="333"/>
      <c r="F12" s="333"/>
      <c r="G12" s="333"/>
      <c r="H12" s="173">
        <v>192</v>
      </c>
      <c r="I12" s="173">
        <v>192</v>
      </c>
      <c r="J12" s="173">
        <f>48+16</f>
        <v>64</v>
      </c>
      <c r="K12" s="173">
        <f>48+16</f>
        <v>64</v>
      </c>
      <c r="L12" s="173">
        <f>48+16</f>
        <v>64</v>
      </c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>
        <v>288</v>
      </c>
      <c r="X12" s="173">
        <v>288</v>
      </c>
      <c r="Y12" s="173">
        <f>72+32</f>
        <v>104</v>
      </c>
      <c r="Z12" s="173">
        <f>72+32</f>
        <v>104</v>
      </c>
      <c r="AA12" s="173">
        <f>72+32</f>
        <v>104</v>
      </c>
      <c r="AB12" s="173">
        <v>72</v>
      </c>
      <c r="AC12" s="173">
        <v>72</v>
      </c>
      <c r="AD12" s="173">
        <f>18-2</f>
        <v>16</v>
      </c>
      <c r="AE12" s="173">
        <f>18-2</f>
        <v>16</v>
      </c>
      <c r="AF12" s="173">
        <f>18-2</f>
        <v>16</v>
      </c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>
        <v>96</v>
      </c>
      <c r="AW12" s="173">
        <v>96</v>
      </c>
      <c r="AX12" s="173">
        <f>24+2+6</f>
        <v>32</v>
      </c>
      <c r="AY12" s="173">
        <f>24+2+6</f>
        <v>32</v>
      </c>
      <c r="AZ12" s="173">
        <f>24+2+6</f>
        <v>32</v>
      </c>
      <c r="BA12" s="367">
        <f t="shared" si="2"/>
        <v>648</v>
      </c>
      <c r="BB12" s="367">
        <f t="shared" si="3"/>
        <v>648</v>
      </c>
      <c r="BC12" s="367">
        <f t="shared" si="3"/>
        <v>216</v>
      </c>
      <c r="BD12" s="367">
        <f t="shared" si="3"/>
        <v>216</v>
      </c>
      <c r="BE12" s="367">
        <f t="shared" si="3"/>
        <v>216</v>
      </c>
      <c r="BF12" s="395"/>
      <c r="BG12" s="45"/>
    </row>
    <row r="13" spans="1:59" s="10" customFormat="1" x14ac:dyDescent="0.2">
      <c r="A13" s="69"/>
      <c r="B13" s="9" t="s">
        <v>517</v>
      </c>
      <c r="C13" s="333"/>
      <c r="D13" s="333"/>
      <c r="E13" s="333"/>
      <c r="F13" s="333"/>
      <c r="G13" s="33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>
        <v>0</v>
      </c>
      <c r="X13" s="173">
        <v>15</v>
      </c>
      <c r="Y13" s="173">
        <v>50</v>
      </c>
      <c r="Z13" s="173">
        <v>50</v>
      </c>
      <c r="AA13" s="173">
        <v>50</v>
      </c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367">
        <f t="shared" si="2"/>
        <v>0</v>
      </c>
      <c r="BB13" s="367">
        <f t="shared" si="3"/>
        <v>15</v>
      </c>
      <c r="BC13" s="367">
        <f t="shared" si="3"/>
        <v>50</v>
      </c>
      <c r="BD13" s="367">
        <f t="shared" si="3"/>
        <v>50</v>
      </c>
      <c r="BE13" s="367">
        <f t="shared" si="3"/>
        <v>50</v>
      </c>
      <c r="BF13" s="395"/>
    </row>
    <row r="14" spans="1:59" s="10" customFormat="1" x14ac:dyDescent="0.2">
      <c r="A14" s="69"/>
      <c r="B14" s="25" t="s">
        <v>763</v>
      </c>
      <c r="C14" s="173"/>
      <c r="D14" s="173"/>
      <c r="E14" s="173">
        <v>50</v>
      </c>
      <c r="F14" s="173">
        <v>50</v>
      </c>
      <c r="G14" s="173">
        <v>50</v>
      </c>
      <c r="H14" s="173">
        <v>100</v>
      </c>
      <c r="I14" s="173">
        <f>100+5</f>
        <v>105</v>
      </c>
      <c r="J14" s="173">
        <f>100+650+165</f>
        <v>915</v>
      </c>
      <c r="K14" s="173">
        <f>100+650+165</f>
        <v>915</v>
      </c>
      <c r="L14" s="173">
        <f>100+650+165</f>
        <v>915</v>
      </c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>
        <v>100</v>
      </c>
      <c r="X14" s="173">
        <f>100+300</f>
        <v>400</v>
      </c>
      <c r="Y14" s="173">
        <v>100</v>
      </c>
      <c r="Z14" s="173">
        <v>100</v>
      </c>
      <c r="AA14" s="173">
        <v>100</v>
      </c>
      <c r="AB14" s="173">
        <v>0</v>
      </c>
      <c r="AC14" s="173">
        <v>0</v>
      </c>
      <c r="AD14" s="173">
        <v>150</v>
      </c>
      <c r="AE14" s="173">
        <v>150</v>
      </c>
      <c r="AF14" s="173">
        <v>150</v>
      </c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>
        <v>100</v>
      </c>
      <c r="AW14" s="173">
        <v>100</v>
      </c>
      <c r="AX14" s="173">
        <v>100</v>
      </c>
      <c r="AY14" s="173">
        <v>100</v>
      </c>
      <c r="AZ14" s="173">
        <v>100</v>
      </c>
      <c r="BA14" s="367">
        <f t="shared" si="2"/>
        <v>300</v>
      </c>
      <c r="BB14" s="367">
        <f t="shared" si="3"/>
        <v>605</v>
      </c>
      <c r="BC14" s="367">
        <f t="shared" si="3"/>
        <v>1315</v>
      </c>
      <c r="BD14" s="367">
        <f t="shared" si="3"/>
        <v>1315</v>
      </c>
      <c r="BE14" s="367">
        <f t="shared" si="3"/>
        <v>1315</v>
      </c>
      <c r="BF14" s="395"/>
      <c r="BG14" s="45"/>
    </row>
    <row r="15" spans="1:59" s="10" customFormat="1" x14ac:dyDescent="0.2">
      <c r="A15" s="351" t="s">
        <v>304</v>
      </c>
      <c r="B15" s="29" t="s">
        <v>347</v>
      </c>
      <c r="C15" s="88">
        <f t="shared" ref="C15:AH15" si="4">SUM(C16:C22)</f>
        <v>17647</v>
      </c>
      <c r="D15" s="88">
        <f>SUM(D16:D22)</f>
        <v>17134</v>
      </c>
      <c r="E15" s="88">
        <f t="shared" si="4"/>
        <v>12001</v>
      </c>
      <c r="F15" s="88">
        <f t="shared" si="4"/>
        <v>12001</v>
      </c>
      <c r="G15" s="88">
        <f t="shared" si="4"/>
        <v>12001</v>
      </c>
      <c r="H15" s="88">
        <f t="shared" si="4"/>
        <v>0</v>
      </c>
      <c r="I15" s="88">
        <f>SUM(I16:I22)</f>
        <v>0</v>
      </c>
      <c r="J15" s="88">
        <f t="shared" si="4"/>
        <v>0</v>
      </c>
      <c r="K15" s="88">
        <f t="shared" si="4"/>
        <v>0</v>
      </c>
      <c r="L15" s="88">
        <f t="shared" si="4"/>
        <v>0</v>
      </c>
      <c r="M15" s="88">
        <f t="shared" si="4"/>
        <v>0</v>
      </c>
      <c r="N15" s="88">
        <f t="shared" si="4"/>
        <v>0</v>
      </c>
      <c r="O15" s="88">
        <f t="shared" si="4"/>
        <v>0</v>
      </c>
      <c r="P15" s="88">
        <f t="shared" si="4"/>
        <v>0</v>
      </c>
      <c r="Q15" s="88">
        <f t="shared" si="4"/>
        <v>0</v>
      </c>
      <c r="R15" s="88">
        <f t="shared" si="4"/>
        <v>0</v>
      </c>
      <c r="S15" s="88">
        <f t="shared" si="4"/>
        <v>0</v>
      </c>
      <c r="T15" s="88">
        <f t="shared" si="4"/>
        <v>0</v>
      </c>
      <c r="U15" s="88">
        <f t="shared" si="4"/>
        <v>0</v>
      </c>
      <c r="V15" s="88">
        <f t="shared" si="4"/>
        <v>0</v>
      </c>
      <c r="W15" s="88">
        <f t="shared" si="4"/>
        <v>0</v>
      </c>
      <c r="X15" s="88">
        <f>SUM(X16:X22)</f>
        <v>0</v>
      </c>
      <c r="Y15" s="88">
        <f t="shared" si="4"/>
        <v>0</v>
      </c>
      <c r="Z15" s="88">
        <f t="shared" si="4"/>
        <v>0</v>
      </c>
      <c r="AA15" s="88">
        <f t="shared" si="4"/>
        <v>0</v>
      </c>
      <c r="AB15" s="88">
        <f t="shared" si="4"/>
        <v>0</v>
      </c>
      <c r="AC15" s="88">
        <f>SUM(AC16:AC22)</f>
        <v>150</v>
      </c>
      <c r="AD15" s="88">
        <f t="shared" si="4"/>
        <v>100</v>
      </c>
      <c r="AE15" s="88">
        <f t="shared" si="4"/>
        <v>100</v>
      </c>
      <c r="AF15" s="88">
        <f t="shared" si="4"/>
        <v>100</v>
      </c>
      <c r="AG15" s="88">
        <f t="shared" si="4"/>
        <v>0</v>
      </c>
      <c r="AH15" s="88">
        <f t="shared" si="4"/>
        <v>0</v>
      </c>
      <c r="AI15" s="88">
        <f t="shared" ref="AI15:AZ15" si="5">SUM(AI16:AI22)</f>
        <v>0</v>
      </c>
      <c r="AJ15" s="88">
        <f t="shared" si="5"/>
        <v>0</v>
      </c>
      <c r="AK15" s="88">
        <f t="shared" si="5"/>
        <v>0</v>
      </c>
      <c r="AL15" s="88">
        <f t="shared" si="5"/>
        <v>0</v>
      </c>
      <c r="AM15" s="88">
        <f t="shared" si="5"/>
        <v>0</v>
      </c>
      <c r="AN15" s="88">
        <f t="shared" si="5"/>
        <v>0</v>
      </c>
      <c r="AO15" s="88">
        <f t="shared" si="5"/>
        <v>0</v>
      </c>
      <c r="AP15" s="88">
        <f t="shared" si="5"/>
        <v>0</v>
      </c>
      <c r="AQ15" s="88">
        <f t="shared" si="5"/>
        <v>0</v>
      </c>
      <c r="AR15" s="88">
        <f t="shared" si="5"/>
        <v>0</v>
      </c>
      <c r="AS15" s="88">
        <f t="shared" si="5"/>
        <v>0</v>
      </c>
      <c r="AT15" s="88">
        <f t="shared" si="5"/>
        <v>0</v>
      </c>
      <c r="AU15" s="88">
        <f t="shared" si="5"/>
        <v>0</v>
      </c>
      <c r="AV15" s="88">
        <f t="shared" si="5"/>
        <v>0</v>
      </c>
      <c r="AW15" s="88">
        <f>SUM(AW16:AW22)</f>
        <v>0</v>
      </c>
      <c r="AX15" s="88">
        <f t="shared" si="5"/>
        <v>0</v>
      </c>
      <c r="AY15" s="88">
        <f t="shared" si="5"/>
        <v>0</v>
      </c>
      <c r="AZ15" s="88">
        <f t="shared" si="5"/>
        <v>0</v>
      </c>
      <c r="BA15" s="368">
        <f t="shared" si="2"/>
        <v>17647</v>
      </c>
      <c r="BB15" s="368">
        <f t="shared" si="3"/>
        <v>17284</v>
      </c>
      <c r="BC15" s="368">
        <f t="shared" si="3"/>
        <v>12101</v>
      </c>
      <c r="BD15" s="368">
        <f t="shared" si="3"/>
        <v>12101</v>
      </c>
      <c r="BE15" s="368">
        <f t="shared" si="3"/>
        <v>12101</v>
      </c>
      <c r="BF15" s="395">
        <f>SUM(BA16:BA22)</f>
        <v>17647</v>
      </c>
    </row>
    <row r="16" spans="1:59" s="10" customFormat="1" x14ac:dyDescent="0.2">
      <c r="A16" s="351"/>
      <c r="B16" s="25" t="s">
        <v>58</v>
      </c>
      <c r="C16" s="291">
        <v>7568</v>
      </c>
      <c r="D16" s="291">
        <f>7568-48</f>
        <v>7520</v>
      </c>
      <c r="E16" s="291">
        <f>7568-502-350</f>
        <v>6716</v>
      </c>
      <c r="F16" s="291">
        <f>7568-502-350</f>
        <v>6716</v>
      </c>
      <c r="G16" s="291">
        <f>7568-502-350</f>
        <v>6716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368">
        <f t="shared" si="2"/>
        <v>7568</v>
      </c>
      <c r="BB16" s="368">
        <f t="shared" si="3"/>
        <v>7520</v>
      </c>
      <c r="BC16" s="368">
        <f t="shared" si="3"/>
        <v>6716</v>
      </c>
      <c r="BD16" s="368">
        <f t="shared" si="3"/>
        <v>6716</v>
      </c>
      <c r="BE16" s="368">
        <f t="shared" si="3"/>
        <v>6716</v>
      </c>
      <c r="BF16" s="395"/>
    </row>
    <row r="17" spans="1:59" s="10" customFormat="1" x14ac:dyDescent="0.2">
      <c r="A17" s="351"/>
      <c r="B17" s="192" t="s">
        <v>497</v>
      </c>
      <c r="C17" s="291">
        <v>1350</v>
      </c>
      <c r="D17" s="291">
        <v>1350</v>
      </c>
      <c r="E17" s="291">
        <f>1000+350</f>
        <v>1350</v>
      </c>
      <c r="F17" s="291">
        <f>1000+350</f>
        <v>1350</v>
      </c>
      <c r="G17" s="291">
        <f>1000+350</f>
        <v>1350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368">
        <f t="shared" si="2"/>
        <v>1350</v>
      </c>
      <c r="BB17" s="368">
        <f t="shared" si="3"/>
        <v>1350</v>
      </c>
      <c r="BC17" s="368">
        <f t="shared" si="3"/>
        <v>1350</v>
      </c>
      <c r="BD17" s="368">
        <f t="shared" si="3"/>
        <v>1350</v>
      </c>
      <c r="BE17" s="368">
        <f t="shared" si="3"/>
        <v>1350</v>
      </c>
      <c r="BF17" s="395"/>
    </row>
    <row r="18" spans="1:59" s="10" customFormat="1" x14ac:dyDescent="0.2">
      <c r="A18" s="351"/>
      <c r="B18" s="9" t="s">
        <v>33</v>
      </c>
      <c r="C18" s="173">
        <v>209</v>
      </c>
      <c r="D18" s="173">
        <v>209</v>
      </c>
      <c r="E18" s="173">
        <v>178</v>
      </c>
      <c r="F18" s="173">
        <v>178</v>
      </c>
      <c r="G18" s="173">
        <v>178</v>
      </c>
      <c r="H18" s="173"/>
      <c r="I18" s="173"/>
      <c r="J18" s="173"/>
      <c r="K18" s="173"/>
      <c r="L18" s="173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368">
        <f t="shared" si="2"/>
        <v>209</v>
      </c>
      <c r="BB18" s="368">
        <f t="shared" si="3"/>
        <v>209</v>
      </c>
      <c r="BC18" s="368">
        <f t="shared" si="3"/>
        <v>178</v>
      </c>
      <c r="BD18" s="368">
        <f t="shared" si="3"/>
        <v>178</v>
      </c>
      <c r="BE18" s="368">
        <f t="shared" si="3"/>
        <v>178</v>
      </c>
      <c r="BF18" s="395"/>
    </row>
    <row r="19" spans="1:59" s="10" customFormat="1" x14ac:dyDescent="0.2">
      <c r="A19" s="351"/>
      <c r="B19" s="25" t="s">
        <v>498</v>
      </c>
      <c r="C19" s="173">
        <f>6720+300</f>
        <v>7020</v>
      </c>
      <c r="D19" s="173">
        <f>(6720+300)-15-300-228-150</f>
        <v>6327</v>
      </c>
      <c r="E19" s="173">
        <f>1755+502</f>
        <v>2257</v>
      </c>
      <c r="F19" s="173">
        <f>1755+502</f>
        <v>2257</v>
      </c>
      <c r="G19" s="173">
        <f>1755+502</f>
        <v>2257</v>
      </c>
      <c r="H19" s="173"/>
      <c r="I19" s="173"/>
      <c r="J19" s="173"/>
      <c r="K19" s="173"/>
      <c r="L19" s="173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368">
        <f t="shared" si="2"/>
        <v>7020</v>
      </c>
      <c r="BB19" s="368">
        <f t="shared" si="3"/>
        <v>6327</v>
      </c>
      <c r="BC19" s="368">
        <f t="shared" si="3"/>
        <v>2257</v>
      </c>
      <c r="BD19" s="368">
        <f t="shared" si="3"/>
        <v>2257</v>
      </c>
      <c r="BE19" s="368">
        <f t="shared" si="3"/>
        <v>2257</v>
      </c>
      <c r="BF19" s="395"/>
    </row>
    <row r="20" spans="1:59" s="10" customFormat="1" x14ac:dyDescent="0.2">
      <c r="A20" s="351"/>
      <c r="B20" s="25" t="s">
        <v>1180</v>
      </c>
      <c r="C20" s="173">
        <v>500</v>
      </c>
      <c r="D20" s="173">
        <f>500+228</f>
        <v>728</v>
      </c>
      <c r="E20" s="173">
        <v>1000</v>
      </c>
      <c r="F20" s="173">
        <v>1000</v>
      </c>
      <c r="G20" s="173">
        <v>1000</v>
      </c>
      <c r="H20" s="173"/>
      <c r="I20" s="173"/>
      <c r="J20" s="173"/>
      <c r="K20" s="173"/>
      <c r="L20" s="173"/>
      <c r="M20" s="88"/>
      <c r="N20" s="88"/>
      <c r="O20" s="88"/>
      <c r="P20" s="88"/>
      <c r="Q20" s="88"/>
      <c r="R20" s="88"/>
      <c r="S20" s="88"/>
      <c r="T20" s="88"/>
      <c r="U20" s="88"/>
      <c r="V20" s="173"/>
      <c r="W20" s="173"/>
      <c r="X20" s="173"/>
      <c r="Y20" s="173"/>
      <c r="Z20" s="173"/>
      <c r="AA20" s="173"/>
      <c r="AB20" s="173">
        <v>0</v>
      </c>
      <c r="AC20" s="173">
        <v>150</v>
      </c>
      <c r="AD20" s="173">
        <v>100</v>
      </c>
      <c r="AE20" s="173">
        <v>100</v>
      </c>
      <c r="AF20" s="173">
        <v>100</v>
      </c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368">
        <f t="shared" si="2"/>
        <v>500</v>
      </c>
      <c r="BB20" s="368">
        <f t="shared" si="3"/>
        <v>878</v>
      </c>
      <c r="BC20" s="368">
        <f t="shared" si="3"/>
        <v>1100</v>
      </c>
      <c r="BD20" s="368">
        <f t="shared" si="3"/>
        <v>1100</v>
      </c>
      <c r="BE20" s="368">
        <f t="shared" si="3"/>
        <v>1100</v>
      </c>
      <c r="BF20" s="395"/>
    </row>
    <row r="21" spans="1:59" x14ac:dyDescent="0.2">
      <c r="A21" s="351"/>
      <c r="B21" s="25" t="s">
        <v>358</v>
      </c>
      <c r="C21" s="291">
        <v>500</v>
      </c>
      <c r="D21" s="291">
        <v>500</v>
      </c>
      <c r="E21" s="291">
        <v>500</v>
      </c>
      <c r="F21" s="291">
        <v>500</v>
      </c>
      <c r="G21" s="291">
        <v>500</v>
      </c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368">
        <f t="shared" si="2"/>
        <v>500</v>
      </c>
      <c r="BB21" s="368">
        <f t="shared" si="3"/>
        <v>500</v>
      </c>
      <c r="BC21" s="368">
        <f t="shared" si="3"/>
        <v>500</v>
      </c>
      <c r="BD21" s="368">
        <f t="shared" si="3"/>
        <v>500</v>
      </c>
      <c r="BE21" s="368">
        <f t="shared" si="3"/>
        <v>500</v>
      </c>
      <c r="BF21" s="395"/>
      <c r="BG21" s="10"/>
    </row>
    <row r="22" spans="1:59" x14ac:dyDescent="0.2">
      <c r="A22" s="351"/>
      <c r="B22" s="25" t="s">
        <v>483</v>
      </c>
      <c r="C22" s="173">
        <v>500</v>
      </c>
      <c r="D22" s="173">
        <v>500</v>
      </c>
      <c r="E22" s="173"/>
      <c r="F22" s="173"/>
      <c r="G22" s="173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368">
        <f t="shared" si="2"/>
        <v>500</v>
      </c>
      <c r="BB22" s="368">
        <f t="shared" si="3"/>
        <v>500</v>
      </c>
      <c r="BC22" s="368">
        <f t="shared" si="3"/>
        <v>0</v>
      </c>
      <c r="BD22" s="368">
        <f t="shared" si="3"/>
        <v>0</v>
      </c>
      <c r="BE22" s="368">
        <f t="shared" si="3"/>
        <v>0</v>
      </c>
      <c r="BF22" s="395"/>
    </row>
    <row r="23" spans="1:59" x14ac:dyDescent="0.2">
      <c r="A23" s="351" t="s">
        <v>222</v>
      </c>
      <c r="B23" s="135" t="s">
        <v>301</v>
      </c>
      <c r="C23" s="172">
        <f t="shared" ref="C23:AH23" si="6">SUM(C9+C15)</f>
        <v>17647</v>
      </c>
      <c r="D23" s="172">
        <f>SUM(D9+D15)</f>
        <v>17134</v>
      </c>
      <c r="E23" s="172">
        <f t="shared" si="6"/>
        <v>12051</v>
      </c>
      <c r="F23" s="172">
        <f t="shared" si="6"/>
        <v>12051</v>
      </c>
      <c r="G23" s="172">
        <f t="shared" si="6"/>
        <v>12051</v>
      </c>
      <c r="H23" s="172">
        <f t="shared" si="6"/>
        <v>7781</v>
      </c>
      <c r="I23" s="172">
        <f>SUM(I9+I15)</f>
        <v>8397</v>
      </c>
      <c r="J23" s="172">
        <f t="shared" si="6"/>
        <v>8198</v>
      </c>
      <c r="K23" s="172">
        <f t="shared" si="6"/>
        <v>8198</v>
      </c>
      <c r="L23" s="172">
        <f t="shared" si="6"/>
        <v>8198</v>
      </c>
      <c r="M23" s="172">
        <f t="shared" si="6"/>
        <v>0</v>
      </c>
      <c r="N23" s="172">
        <f t="shared" si="6"/>
        <v>0</v>
      </c>
      <c r="O23" s="172">
        <f t="shared" si="6"/>
        <v>0</v>
      </c>
      <c r="P23" s="172">
        <f t="shared" si="6"/>
        <v>0</v>
      </c>
      <c r="Q23" s="172">
        <f t="shared" si="6"/>
        <v>0</v>
      </c>
      <c r="R23" s="172">
        <f t="shared" si="6"/>
        <v>0</v>
      </c>
      <c r="S23" s="172">
        <f t="shared" si="6"/>
        <v>0</v>
      </c>
      <c r="T23" s="172">
        <f t="shared" si="6"/>
        <v>0</v>
      </c>
      <c r="U23" s="172">
        <f t="shared" si="6"/>
        <v>0</v>
      </c>
      <c r="V23" s="172">
        <f t="shared" si="6"/>
        <v>0</v>
      </c>
      <c r="W23" s="172">
        <f t="shared" si="6"/>
        <v>9383</v>
      </c>
      <c r="X23" s="172">
        <f>SUM(X9+X15)</f>
        <v>9698</v>
      </c>
      <c r="Y23" s="172">
        <f t="shared" si="6"/>
        <v>9439</v>
      </c>
      <c r="Z23" s="172">
        <f t="shared" si="6"/>
        <v>9439</v>
      </c>
      <c r="AA23" s="172">
        <f t="shared" si="6"/>
        <v>9439</v>
      </c>
      <c r="AB23" s="172">
        <f t="shared" si="6"/>
        <v>1521</v>
      </c>
      <c r="AC23" s="172">
        <f>SUM(AC9+AC15)</f>
        <v>1719</v>
      </c>
      <c r="AD23" s="172">
        <f t="shared" si="6"/>
        <v>1565</v>
      </c>
      <c r="AE23" s="172">
        <f t="shared" si="6"/>
        <v>1565</v>
      </c>
      <c r="AF23" s="172">
        <f t="shared" si="6"/>
        <v>1565</v>
      </c>
      <c r="AG23" s="172">
        <f t="shared" si="6"/>
        <v>0</v>
      </c>
      <c r="AH23" s="172">
        <f t="shared" si="6"/>
        <v>0</v>
      </c>
      <c r="AI23" s="172">
        <f t="shared" ref="AI23:AZ23" si="7">SUM(AI9+AI15)</f>
        <v>0</v>
      </c>
      <c r="AJ23" s="172">
        <f t="shared" si="7"/>
        <v>0</v>
      </c>
      <c r="AK23" s="172">
        <f t="shared" si="7"/>
        <v>0</v>
      </c>
      <c r="AL23" s="172">
        <f t="shared" si="7"/>
        <v>0</v>
      </c>
      <c r="AM23" s="172">
        <f t="shared" si="7"/>
        <v>0</v>
      </c>
      <c r="AN23" s="172">
        <f t="shared" si="7"/>
        <v>0</v>
      </c>
      <c r="AO23" s="172">
        <f t="shared" si="7"/>
        <v>0</v>
      </c>
      <c r="AP23" s="172">
        <f t="shared" si="7"/>
        <v>0</v>
      </c>
      <c r="AQ23" s="172">
        <f t="shared" si="7"/>
        <v>0</v>
      </c>
      <c r="AR23" s="172">
        <f t="shared" si="7"/>
        <v>0</v>
      </c>
      <c r="AS23" s="172">
        <f t="shared" si="7"/>
        <v>0</v>
      </c>
      <c r="AT23" s="172">
        <f t="shared" si="7"/>
        <v>0</v>
      </c>
      <c r="AU23" s="172">
        <f t="shared" si="7"/>
        <v>0</v>
      </c>
      <c r="AV23" s="172">
        <f t="shared" si="7"/>
        <v>3196</v>
      </c>
      <c r="AW23" s="172">
        <f>SUM(AW9+AW15)</f>
        <v>3316</v>
      </c>
      <c r="AX23" s="172">
        <f t="shared" si="7"/>
        <v>3222</v>
      </c>
      <c r="AY23" s="172">
        <f t="shared" si="7"/>
        <v>3222</v>
      </c>
      <c r="AZ23" s="172">
        <f t="shared" si="7"/>
        <v>3222</v>
      </c>
      <c r="BA23" s="172">
        <f t="shared" si="2"/>
        <v>39528</v>
      </c>
      <c r="BB23" s="172">
        <f t="shared" si="3"/>
        <v>40264</v>
      </c>
      <c r="BC23" s="172">
        <f t="shared" si="3"/>
        <v>34475</v>
      </c>
      <c r="BD23" s="172">
        <f t="shared" si="3"/>
        <v>34475</v>
      </c>
      <c r="BE23" s="172">
        <f t="shared" si="3"/>
        <v>34475</v>
      </c>
      <c r="BF23" s="395">
        <f>SUM(BA9+BA15)</f>
        <v>39528</v>
      </c>
      <c r="BG23" s="86"/>
    </row>
    <row r="24" spans="1:59" x14ac:dyDescent="0.2">
      <c r="A24" s="69"/>
      <c r="B24" s="25" t="s">
        <v>30</v>
      </c>
      <c r="C24" s="173">
        <v>2550</v>
      </c>
      <c r="D24" s="173">
        <v>2550</v>
      </c>
      <c r="E24" s="173">
        <f>2000+55</f>
        <v>2055</v>
      </c>
      <c r="F24" s="173">
        <f>2000+55</f>
        <v>2055</v>
      </c>
      <c r="G24" s="173">
        <f>2000+55</f>
        <v>2055</v>
      </c>
      <c r="H24" s="173">
        <v>1145</v>
      </c>
      <c r="I24" s="173">
        <f>1145+95</f>
        <v>1240</v>
      </c>
      <c r="J24" s="173">
        <f>1276+40</f>
        <v>1316</v>
      </c>
      <c r="K24" s="173">
        <f>1276+40</f>
        <v>1316</v>
      </c>
      <c r="L24" s="173">
        <f>1276+40</f>
        <v>1316</v>
      </c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>
        <v>1410</v>
      </c>
      <c r="X24" s="173">
        <v>1410</v>
      </c>
      <c r="Y24" s="173">
        <f>1574-6-1</f>
        <v>1567</v>
      </c>
      <c r="Z24" s="173">
        <f>1574-6-1</f>
        <v>1567</v>
      </c>
      <c r="AA24" s="173">
        <f>1574-6-1</f>
        <v>1567</v>
      </c>
      <c r="AB24" s="173">
        <v>225</v>
      </c>
      <c r="AC24" s="173">
        <v>225</v>
      </c>
      <c r="AD24" s="173">
        <f>254+1+5</f>
        <v>260</v>
      </c>
      <c r="AE24" s="173">
        <f>254+1+5</f>
        <v>260</v>
      </c>
      <c r="AF24" s="173">
        <f>254+1+5</f>
        <v>260</v>
      </c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>
        <v>465</v>
      </c>
      <c r="AW24" s="173">
        <v>465</v>
      </c>
      <c r="AX24" s="173">
        <f>525-5</f>
        <v>520</v>
      </c>
      <c r="AY24" s="173">
        <f>525-5</f>
        <v>520</v>
      </c>
      <c r="AZ24" s="173">
        <f>525-5</f>
        <v>520</v>
      </c>
      <c r="BA24" s="367">
        <f t="shared" si="2"/>
        <v>5795</v>
      </c>
      <c r="BB24" s="367">
        <f t="shared" si="3"/>
        <v>5890</v>
      </c>
      <c r="BC24" s="367">
        <f t="shared" si="3"/>
        <v>5718</v>
      </c>
      <c r="BD24" s="367">
        <f t="shared" si="3"/>
        <v>5718</v>
      </c>
      <c r="BE24" s="367">
        <f t="shared" si="3"/>
        <v>5718</v>
      </c>
      <c r="BF24" s="395"/>
    </row>
    <row r="25" spans="1:59" hidden="1" x14ac:dyDescent="0.2">
      <c r="A25" s="69"/>
      <c r="B25" s="25" t="s">
        <v>415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367" t="e">
        <f>C25+H25+M25+R25+W25+AB25+AG25+AL25+AQ25+AV25+#REF!</f>
        <v>#REF!</v>
      </c>
      <c r="BB25" s="367" t="e">
        <f>D25+I25+N25+S25+X25+AC25+AH25+AM25+AR25+AW25+#REF!</f>
        <v>#REF!</v>
      </c>
      <c r="BC25" s="367" t="e">
        <f>E25+J25+O25+T25+Y25+AD25+AI25+AN25+AS25+AX25+#REF!</f>
        <v>#REF!</v>
      </c>
      <c r="BD25" s="367" t="e">
        <f>F25+K25+P25+U25+Z25+AE25+AJ25+AO25+AT25+AY25+#REF!</f>
        <v>#REF!</v>
      </c>
      <c r="BE25" s="367" t="e">
        <f>G25+L25+Q25+V25+AA25+AF25+AK25+AP25+AU25+AZ25+#REF!</f>
        <v>#REF!</v>
      </c>
      <c r="BF25" s="395"/>
    </row>
    <row r="26" spans="1:59" x14ac:dyDescent="0.2">
      <c r="A26" s="69"/>
      <c r="B26" s="25" t="s">
        <v>121</v>
      </c>
      <c r="C26" s="173">
        <f>(360+70+31)</f>
        <v>461</v>
      </c>
      <c r="D26" s="173">
        <f>(360+70+31)</f>
        <v>461</v>
      </c>
      <c r="E26" s="173">
        <f>(354+33)-55-40</f>
        <v>292</v>
      </c>
      <c r="F26" s="173">
        <f>(354+33)-55-40</f>
        <v>292</v>
      </c>
      <c r="G26" s="173">
        <f>(354+33)-55-40</f>
        <v>292</v>
      </c>
      <c r="H26" s="173">
        <v>30</v>
      </c>
      <c r="I26" s="173">
        <v>30</v>
      </c>
      <c r="J26" s="173">
        <v>17</v>
      </c>
      <c r="K26" s="173">
        <v>17</v>
      </c>
      <c r="L26" s="173">
        <v>17</v>
      </c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>
        <v>45</v>
      </c>
      <c r="X26" s="234">
        <v>45</v>
      </c>
      <c r="Y26" s="234">
        <v>26</v>
      </c>
      <c r="Z26" s="234">
        <v>26</v>
      </c>
      <c r="AA26" s="234">
        <v>26</v>
      </c>
      <c r="AB26" s="234">
        <v>11</v>
      </c>
      <c r="AC26" s="234">
        <v>11</v>
      </c>
      <c r="AD26" s="234">
        <v>7</v>
      </c>
      <c r="AE26" s="234">
        <v>7</v>
      </c>
      <c r="AF26" s="234">
        <v>7</v>
      </c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>
        <v>15</v>
      </c>
      <c r="AW26" s="234">
        <v>15</v>
      </c>
      <c r="AX26" s="173">
        <v>9</v>
      </c>
      <c r="AY26" s="173">
        <v>9</v>
      </c>
      <c r="AZ26" s="173">
        <v>9</v>
      </c>
      <c r="BA26" s="367">
        <f t="shared" ref="BA26:BA57" si="8">C26+H26+M26+R26+W26+AB26+AG26+AL26+AQ26+AV26</f>
        <v>562</v>
      </c>
      <c r="BB26" s="367">
        <f t="shared" ref="BB26:BE41" si="9">D26+I26+N26+S26+X26+AC26+AH26+AM26+AR26+AW26</f>
        <v>562</v>
      </c>
      <c r="BC26" s="367">
        <f t="shared" si="9"/>
        <v>351</v>
      </c>
      <c r="BD26" s="367">
        <f t="shared" si="9"/>
        <v>351</v>
      </c>
      <c r="BE26" s="367">
        <f t="shared" si="9"/>
        <v>351</v>
      </c>
      <c r="BF26" s="395"/>
      <c r="BG26" s="86"/>
    </row>
    <row r="27" spans="1:59" x14ac:dyDescent="0.2">
      <c r="A27" s="351" t="s">
        <v>223</v>
      </c>
      <c r="B27" s="135" t="s">
        <v>107</v>
      </c>
      <c r="C27" s="172">
        <f t="shared" ref="C27:W27" si="10">SUM(C24:C26)</f>
        <v>3011</v>
      </c>
      <c r="D27" s="172">
        <f>SUM(D24:D26)</f>
        <v>3011</v>
      </c>
      <c r="E27" s="172">
        <f t="shared" ref="E27:L27" si="11">SUM(E24:E26)</f>
        <v>2347</v>
      </c>
      <c r="F27" s="172">
        <f t="shared" si="11"/>
        <v>2347</v>
      </c>
      <c r="G27" s="172">
        <f t="shared" si="11"/>
        <v>2347</v>
      </c>
      <c r="H27" s="172">
        <f t="shared" si="11"/>
        <v>1175</v>
      </c>
      <c r="I27" s="172">
        <f>SUM(I24:I26)</f>
        <v>1270</v>
      </c>
      <c r="J27" s="172">
        <f t="shared" si="11"/>
        <v>1333</v>
      </c>
      <c r="K27" s="172">
        <f t="shared" si="11"/>
        <v>1333</v>
      </c>
      <c r="L27" s="172">
        <f t="shared" si="11"/>
        <v>1333</v>
      </c>
      <c r="M27" s="172">
        <f t="shared" si="10"/>
        <v>0</v>
      </c>
      <c r="N27" s="172">
        <f t="shared" si="10"/>
        <v>0</v>
      </c>
      <c r="O27" s="172">
        <f t="shared" si="10"/>
        <v>0</v>
      </c>
      <c r="P27" s="172">
        <f t="shared" si="10"/>
        <v>0</v>
      </c>
      <c r="Q27" s="172">
        <f t="shared" si="10"/>
        <v>0</v>
      </c>
      <c r="R27" s="172">
        <f t="shared" si="10"/>
        <v>0</v>
      </c>
      <c r="S27" s="172">
        <f t="shared" si="10"/>
        <v>0</v>
      </c>
      <c r="T27" s="172">
        <f t="shared" si="10"/>
        <v>0</v>
      </c>
      <c r="U27" s="172">
        <f t="shared" si="10"/>
        <v>0</v>
      </c>
      <c r="V27" s="172">
        <f t="shared" si="10"/>
        <v>0</v>
      </c>
      <c r="W27" s="172">
        <f t="shared" si="10"/>
        <v>1455</v>
      </c>
      <c r="X27" s="172">
        <f>SUM(X24:X26)</f>
        <v>1455</v>
      </c>
      <c r="Y27" s="172">
        <f t="shared" ref="Y27:AZ27" si="12">SUM(Y24:Y26)</f>
        <v>1593</v>
      </c>
      <c r="Z27" s="172">
        <f t="shared" si="12"/>
        <v>1593</v>
      </c>
      <c r="AA27" s="172">
        <f t="shared" si="12"/>
        <v>1593</v>
      </c>
      <c r="AB27" s="172">
        <f t="shared" si="12"/>
        <v>236</v>
      </c>
      <c r="AC27" s="172">
        <f>SUM(AC24:AC26)</f>
        <v>236</v>
      </c>
      <c r="AD27" s="172">
        <f t="shared" si="12"/>
        <v>267</v>
      </c>
      <c r="AE27" s="172">
        <f t="shared" si="12"/>
        <v>267</v>
      </c>
      <c r="AF27" s="172">
        <f t="shared" si="12"/>
        <v>267</v>
      </c>
      <c r="AG27" s="172">
        <f t="shared" si="12"/>
        <v>0</v>
      </c>
      <c r="AH27" s="172">
        <f t="shared" si="12"/>
        <v>0</v>
      </c>
      <c r="AI27" s="172">
        <f>SUM(AI24:AI26)</f>
        <v>0</v>
      </c>
      <c r="AJ27" s="172">
        <f t="shared" si="12"/>
        <v>0</v>
      </c>
      <c r="AK27" s="172">
        <f t="shared" si="12"/>
        <v>0</v>
      </c>
      <c r="AL27" s="172">
        <f t="shared" si="12"/>
        <v>0</v>
      </c>
      <c r="AM27" s="172">
        <f>SUM(AM24:AM26)</f>
        <v>0</v>
      </c>
      <c r="AN27" s="172">
        <f>SUM(AN24:AN26)</f>
        <v>0</v>
      </c>
      <c r="AO27" s="172">
        <f>SUM(AO24:AO26)</f>
        <v>0</v>
      </c>
      <c r="AP27" s="172">
        <f t="shared" si="12"/>
        <v>0</v>
      </c>
      <c r="AQ27" s="172">
        <f t="shared" si="12"/>
        <v>0</v>
      </c>
      <c r="AR27" s="172">
        <f>SUM(AR24:AR26)</f>
        <v>0</v>
      </c>
      <c r="AS27" s="172">
        <f>SUM(AS24:AS26)</f>
        <v>0</v>
      </c>
      <c r="AT27" s="172">
        <f>SUM(AT24:AT26)</f>
        <v>0</v>
      </c>
      <c r="AU27" s="172">
        <f t="shared" si="12"/>
        <v>0</v>
      </c>
      <c r="AV27" s="172">
        <f>SUM(AV24:AV26)</f>
        <v>480</v>
      </c>
      <c r="AW27" s="172">
        <f>SUM(AW24:AW26)</f>
        <v>480</v>
      </c>
      <c r="AX27" s="172">
        <f t="shared" si="12"/>
        <v>529</v>
      </c>
      <c r="AY27" s="172">
        <f t="shared" si="12"/>
        <v>529</v>
      </c>
      <c r="AZ27" s="172">
        <f t="shared" si="12"/>
        <v>529</v>
      </c>
      <c r="BA27" s="172">
        <f t="shared" si="8"/>
        <v>6357</v>
      </c>
      <c r="BB27" s="172">
        <f t="shared" si="9"/>
        <v>6452</v>
      </c>
      <c r="BC27" s="172">
        <f t="shared" si="9"/>
        <v>6069</v>
      </c>
      <c r="BD27" s="172">
        <f t="shared" si="9"/>
        <v>6069</v>
      </c>
      <c r="BE27" s="172">
        <f t="shared" si="9"/>
        <v>6069</v>
      </c>
      <c r="BF27" s="395"/>
    </row>
    <row r="28" spans="1:59" x14ac:dyDescent="0.2">
      <c r="A28" s="351" t="s">
        <v>268</v>
      </c>
      <c r="B28" s="29" t="s">
        <v>290</v>
      </c>
      <c r="C28" s="88">
        <f t="shared" ref="C28:AD28" si="13">SUM(C29:C36)</f>
        <v>2530</v>
      </c>
      <c r="D28" s="88">
        <f>SUM(D29:D36)</f>
        <v>2530</v>
      </c>
      <c r="E28" s="88">
        <f t="shared" si="13"/>
        <v>2530</v>
      </c>
      <c r="F28" s="88">
        <f t="shared" ref="F28:L28" si="14">SUM(F29:F36)</f>
        <v>2530</v>
      </c>
      <c r="G28" s="88">
        <f t="shared" si="14"/>
        <v>2530</v>
      </c>
      <c r="H28" s="88">
        <f t="shared" si="14"/>
        <v>105</v>
      </c>
      <c r="I28" s="88">
        <f>SUM(I29:I36)</f>
        <v>105</v>
      </c>
      <c r="J28" s="88">
        <f t="shared" si="14"/>
        <v>105</v>
      </c>
      <c r="K28" s="88">
        <f t="shared" si="14"/>
        <v>105</v>
      </c>
      <c r="L28" s="88">
        <f t="shared" si="14"/>
        <v>105</v>
      </c>
      <c r="M28" s="88">
        <f t="shared" si="13"/>
        <v>0</v>
      </c>
      <c r="N28" s="88">
        <f t="shared" si="13"/>
        <v>0</v>
      </c>
      <c r="O28" s="88">
        <f t="shared" si="13"/>
        <v>0</v>
      </c>
      <c r="P28" s="88">
        <f t="shared" si="13"/>
        <v>0</v>
      </c>
      <c r="Q28" s="88">
        <f t="shared" si="13"/>
        <v>0</v>
      </c>
      <c r="R28" s="88">
        <f t="shared" si="13"/>
        <v>130</v>
      </c>
      <c r="S28" s="88">
        <f t="shared" si="13"/>
        <v>180</v>
      </c>
      <c r="T28" s="88">
        <f t="shared" si="13"/>
        <v>300</v>
      </c>
      <c r="U28" s="88">
        <f>SUM(U29:U36)</f>
        <v>300</v>
      </c>
      <c r="V28" s="88">
        <f>SUM(V29:V36)</f>
        <v>300</v>
      </c>
      <c r="W28" s="88">
        <f t="shared" si="13"/>
        <v>100</v>
      </c>
      <c r="X28" s="88">
        <f>SUM(X29:X36)</f>
        <v>100</v>
      </c>
      <c r="Y28" s="88">
        <f t="shared" si="13"/>
        <v>100</v>
      </c>
      <c r="Z28" s="88">
        <f>SUM(Z29:Z36)</f>
        <v>100</v>
      </c>
      <c r="AA28" s="88">
        <f>SUM(AA29:AA36)</f>
        <v>100</v>
      </c>
      <c r="AB28" s="88">
        <f t="shared" si="13"/>
        <v>0</v>
      </c>
      <c r="AC28" s="88">
        <f>SUM(AC29:AC36)</f>
        <v>0</v>
      </c>
      <c r="AD28" s="88">
        <f t="shared" si="13"/>
        <v>0</v>
      </c>
      <c r="AE28" s="88">
        <f t="shared" ref="AE28:AX28" si="15">SUM(AE29:AE36)</f>
        <v>0</v>
      </c>
      <c r="AF28" s="88">
        <f t="shared" si="15"/>
        <v>0</v>
      </c>
      <c r="AG28" s="88">
        <f t="shared" si="15"/>
        <v>0</v>
      </c>
      <c r="AH28" s="88">
        <f t="shared" si="15"/>
        <v>0</v>
      </c>
      <c r="AI28" s="88">
        <f>SUM(AI29:AI36)</f>
        <v>1104</v>
      </c>
      <c r="AJ28" s="88">
        <f t="shared" si="15"/>
        <v>1104</v>
      </c>
      <c r="AK28" s="88">
        <f t="shared" si="15"/>
        <v>1104</v>
      </c>
      <c r="AL28" s="88">
        <f t="shared" si="15"/>
        <v>0</v>
      </c>
      <c r="AM28" s="88">
        <f>SUM(AM29:AM36)</f>
        <v>0</v>
      </c>
      <c r="AN28" s="88">
        <f>SUM(AN29:AN36)</f>
        <v>0</v>
      </c>
      <c r="AO28" s="88">
        <f>SUM(AO29:AO36)</f>
        <v>0</v>
      </c>
      <c r="AP28" s="88">
        <f t="shared" si="15"/>
        <v>0</v>
      </c>
      <c r="AQ28" s="88">
        <f t="shared" si="15"/>
        <v>50</v>
      </c>
      <c r="AR28" s="88">
        <f>SUM(AR29:AR36)</f>
        <v>0</v>
      </c>
      <c r="AS28" s="88">
        <f>SUM(AS29:AS36)</f>
        <v>50</v>
      </c>
      <c r="AT28" s="88">
        <f>SUM(AT29:AT36)</f>
        <v>50</v>
      </c>
      <c r="AU28" s="88">
        <f t="shared" si="15"/>
        <v>50</v>
      </c>
      <c r="AV28" s="88">
        <f>SUM(AV29:AV36)</f>
        <v>820</v>
      </c>
      <c r="AW28" s="88">
        <f>SUM(AW29:AW36)</f>
        <v>820</v>
      </c>
      <c r="AX28" s="88">
        <f t="shared" si="15"/>
        <v>820</v>
      </c>
      <c r="AY28" s="88">
        <f>SUM(AY29:AY36)</f>
        <v>820</v>
      </c>
      <c r="AZ28" s="88">
        <f>SUM(AZ29:AZ36)</f>
        <v>820</v>
      </c>
      <c r="BA28" s="368">
        <f t="shared" si="8"/>
        <v>3735</v>
      </c>
      <c r="BB28" s="368">
        <f t="shared" si="9"/>
        <v>3735</v>
      </c>
      <c r="BC28" s="368">
        <f t="shared" si="9"/>
        <v>5009</v>
      </c>
      <c r="BD28" s="368">
        <f t="shared" si="9"/>
        <v>5009</v>
      </c>
      <c r="BE28" s="368">
        <f t="shared" si="9"/>
        <v>5009</v>
      </c>
      <c r="BF28" s="395">
        <f>SUM(BA29:BA36)</f>
        <v>3735</v>
      </c>
    </row>
    <row r="29" spans="1:59" x14ac:dyDescent="0.2">
      <c r="A29" s="69" t="s">
        <v>269</v>
      </c>
      <c r="B29" s="25" t="s">
        <v>340</v>
      </c>
      <c r="C29" s="173">
        <v>300</v>
      </c>
      <c r="D29" s="173">
        <v>300</v>
      </c>
      <c r="E29" s="173">
        <v>300</v>
      </c>
      <c r="F29" s="173">
        <v>300</v>
      </c>
      <c r="G29" s="173">
        <v>300</v>
      </c>
      <c r="H29" s="173">
        <v>50</v>
      </c>
      <c r="I29" s="173">
        <v>50</v>
      </c>
      <c r="J29" s="173">
        <v>50</v>
      </c>
      <c r="K29" s="173">
        <v>50</v>
      </c>
      <c r="L29" s="173">
        <v>50</v>
      </c>
      <c r="M29" s="234"/>
      <c r="N29" s="234"/>
      <c r="O29" s="234"/>
      <c r="P29" s="234"/>
      <c r="Q29" s="234"/>
      <c r="R29" s="234">
        <f>20+30</f>
        <v>50</v>
      </c>
      <c r="S29" s="234">
        <f>20+30</f>
        <v>50</v>
      </c>
      <c r="T29" s="234">
        <f>20+30</f>
        <v>50</v>
      </c>
      <c r="U29" s="234">
        <f>20+30</f>
        <v>50</v>
      </c>
      <c r="V29" s="234">
        <f>20+30</f>
        <v>50</v>
      </c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>
        <v>700</v>
      </c>
      <c r="AW29" s="234">
        <v>700</v>
      </c>
      <c r="AX29" s="234">
        <v>700</v>
      </c>
      <c r="AY29" s="234">
        <v>700</v>
      </c>
      <c r="AZ29" s="234">
        <v>700</v>
      </c>
      <c r="BA29" s="367">
        <f t="shared" si="8"/>
        <v>1100</v>
      </c>
      <c r="BB29" s="367">
        <f t="shared" si="9"/>
        <v>1100</v>
      </c>
      <c r="BC29" s="367">
        <f t="shared" si="9"/>
        <v>1100</v>
      </c>
      <c r="BD29" s="367">
        <f t="shared" si="9"/>
        <v>1100</v>
      </c>
      <c r="BE29" s="367">
        <f t="shared" si="9"/>
        <v>1100</v>
      </c>
      <c r="BF29" s="395"/>
    </row>
    <row r="30" spans="1:59" x14ac:dyDescent="0.2">
      <c r="A30" s="69" t="s">
        <v>270</v>
      </c>
      <c r="B30" s="25" t="s">
        <v>291</v>
      </c>
      <c r="C30" s="173">
        <v>250</v>
      </c>
      <c r="D30" s="173">
        <v>250</v>
      </c>
      <c r="E30" s="173">
        <f>250+600</f>
        <v>850</v>
      </c>
      <c r="F30" s="173">
        <f>250+600</f>
        <v>850</v>
      </c>
      <c r="G30" s="173">
        <f>250+600</f>
        <v>850</v>
      </c>
      <c r="H30" s="173"/>
      <c r="I30" s="173"/>
      <c r="J30" s="173"/>
      <c r="K30" s="173"/>
      <c r="L30" s="173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>
        <v>50</v>
      </c>
      <c r="X30" s="234">
        <v>50</v>
      </c>
      <c r="Y30" s="234">
        <v>50</v>
      </c>
      <c r="Z30" s="234">
        <v>50</v>
      </c>
      <c r="AA30" s="234">
        <v>50</v>
      </c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367">
        <f t="shared" si="8"/>
        <v>300</v>
      </c>
      <c r="BB30" s="367">
        <f t="shared" si="9"/>
        <v>300</v>
      </c>
      <c r="BC30" s="367">
        <f t="shared" si="9"/>
        <v>900</v>
      </c>
      <c r="BD30" s="367">
        <f t="shared" si="9"/>
        <v>900</v>
      </c>
      <c r="BE30" s="367">
        <f t="shared" si="9"/>
        <v>900</v>
      </c>
      <c r="BF30" s="395"/>
    </row>
    <row r="31" spans="1:59" x14ac:dyDescent="0.2">
      <c r="A31" s="69"/>
      <c r="B31" s="25" t="s">
        <v>460</v>
      </c>
      <c r="C31" s="173">
        <f>500-250</f>
        <v>250</v>
      </c>
      <c r="D31" s="173">
        <f>500-250</f>
        <v>250</v>
      </c>
      <c r="E31" s="173">
        <f>500-250</f>
        <v>250</v>
      </c>
      <c r="F31" s="173">
        <f>500-250</f>
        <v>250</v>
      </c>
      <c r="G31" s="173">
        <f>500-250</f>
        <v>250</v>
      </c>
      <c r="H31" s="173">
        <v>15</v>
      </c>
      <c r="I31" s="173">
        <v>15</v>
      </c>
      <c r="J31" s="173">
        <v>15</v>
      </c>
      <c r="K31" s="173">
        <v>15</v>
      </c>
      <c r="L31" s="173">
        <v>15</v>
      </c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>
        <v>50</v>
      </c>
      <c r="AW31" s="234">
        <v>50</v>
      </c>
      <c r="AX31" s="234">
        <v>50</v>
      </c>
      <c r="AY31" s="234">
        <v>50</v>
      </c>
      <c r="AZ31" s="234">
        <v>50</v>
      </c>
      <c r="BA31" s="367">
        <f t="shared" si="8"/>
        <v>315</v>
      </c>
      <c r="BB31" s="367">
        <f t="shared" si="9"/>
        <v>315</v>
      </c>
      <c r="BC31" s="367">
        <f t="shared" si="9"/>
        <v>315</v>
      </c>
      <c r="BD31" s="367">
        <f t="shared" si="9"/>
        <v>315</v>
      </c>
      <c r="BE31" s="367">
        <f t="shared" si="9"/>
        <v>315</v>
      </c>
      <c r="BF31" s="395"/>
    </row>
    <row r="32" spans="1:59" x14ac:dyDescent="0.2">
      <c r="A32" s="69"/>
      <c r="B32" s="25" t="s">
        <v>312</v>
      </c>
      <c r="C32" s="173">
        <f>100+500</f>
        <v>600</v>
      </c>
      <c r="D32" s="173">
        <f>100+500</f>
        <v>600</v>
      </c>
      <c r="E32" s="173">
        <f>100+500-600</f>
        <v>0</v>
      </c>
      <c r="F32" s="173">
        <f>100+500-600</f>
        <v>0</v>
      </c>
      <c r="G32" s="173">
        <f>100+500-600</f>
        <v>0</v>
      </c>
      <c r="H32" s="173"/>
      <c r="I32" s="173"/>
      <c r="J32" s="173"/>
      <c r="K32" s="173"/>
      <c r="L32" s="173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>
        <v>70</v>
      </c>
      <c r="AW32" s="234">
        <v>70</v>
      </c>
      <c r="AX32" s="234">
        <v>70</v>
      </c>
      <c r="AY32" s="234">
        <v>70</v>
      </c>
      <c r="AZ32" s="234">
        <v>70</v>
      </c>
      <c r="BA32" s="367">
        <f t="shared" si="8"/>
        <v>670</v>
      </c>
      <c r="BB32" s="367">
        <f t="shared" si="9"/>
        <v>670</v>
      </c>
      <c r="BC32" s="367">
        <f t="shared" si="9"/>
        <v>70</v>
      </c>
      <c r="BD32" s="367">
        <f t="shared" si="9"/>
        <v>70</v>
      </c>
      <c r="BE32" s="367">
        <f t="shared" si="9"/>
        <v>70</v>
      </c>
      <c r="BF32" s="395"/>
    </row>
    <row r="33" spans="1:58" x14ac:dyDescent="0.2">
      <c r="A33" s="69"/>
      <c r="B33" s="25" t="s">
        <v>313</v>
      </c>
      <c r="C33" s="173">
        <f>1000-100</f>
        <v>900</v>
      </c>
      <c r="D33" s="173">
        <f>1000-100</f>
        <v>900</v>
      </c>
      <c r="E33" s="173">
        <f>1000-100</f>
        <v>900</v>
      </c>
      <c r="F33" s="173">
        <f>1000-100</f>
        <v>900</v>
      </c>
      <c r="G33" s="173">
        <f>1000-100</f>
        <v>900</v>
      </c>
      <c r="H33" s="173"/>
      <c r="I33" s="173"/>
      <c r="J33" s="173"/>
      <c r="K33" s="173"/>
      <c r="L33" s="173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>
        <v>25</v>
      </c>
      <c r="X33" s="234">
        <v>25</v>
      </c>
      <c r="Y33" s="234">
        <v>25</v>
      </c>
      <c r="Z33" s="234">
        <v>25</v>
      </c>
      <c r="AA33" s="234">
        <v>25</v>
      </c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367">
        <f t="shared" si="8"/>
        <v>925</v>
      </c>
      <c r="BB33" s="367">
        <f t="shared" si="9"/>
        <v>925</v>
      </c>
      <c r="BC33" s="367">
        <f t="shared" si="9"/>
        <v>925</v>
      </c>
      <c r="BD33" s="367">
        <f t="shared" si="9"/>
        <v>925</v>
      </c>
      <c r="BE33" s="367">
        <f t="shared" si="9"/>
        <v>925</v>
      </c>
      <c r="BF33" s="395"/>
    </row>
    <row r="34" spans="1:58" x14ac:dyDescent="0.2">
      <c r="A34" s="69"/>
      <c r="B34" s="25" t="s">
        <v>459</v>
      </c>
      <c r="C34" s="173">
        <f>300-100</f>
        <v>200</v>
      </c>
      <c r="D34" s="173">
        <f>300-100</f>
        <v>200</v>
      </c>
      <c r="E34" s="173">
        <f>300-100</f>
        <v>200</v>
      </c>
      <c r="F34" s="173">
        <f>300-100</f>
        <v>200</v>
      </c>
      <c r="G34" s="173">
        <f>300-100</f>
        <v>200</v>
      </c>
      <c r="H34" s="173">
        <v>10</v>
      </c>
      <c r="I34" s="173">
        <v>10</v>
      </c>
      <c r="J34" s="173">
        <v>10</v>
      </c>
      <c r="K34" s="173">
        <v>10</v>
      </c>
      <c r="L34" s="173">
        <v>10</v>
      </c>
      <c r="M34" s="234"/>
      <c r="N34" s="234"/>
      <c r="O34" s="234"/>
      <c r="P34" s="234"/>
      <c r="Q34" s="234"/>
      <c r="R34" s="234">
        <v>80</v>
      </c>
      <c r="S34" s="234">
        <f>80+50</f>
        <v>130</v>
      </c>
      <c r="T34" s="234">
        <f>80+170</f>
        <v>250</v>
      </c>
      <c r="U34" s="234">
        <f>80+170</f>
        <v>250</v>
      </c>
      <c r="V34" s="234">
        <f>80+170</f>
        <v>250</v>
      </c>
      <c r="W34" s="234">
        <v>25</v>
      </c>
      <c r="X34" s="234">
        <v>25</v>
      </c>
      <c r="Y34" s="234">
        <v>25</v>
      </c>
      <c r="Z34" s="234">
        <v>25</v>
      </c>
      <c r="AA34" s="234">
        <v>25</v>
      </c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>
        <v>50</v>
      </c>
      <c r="AR34" s="234">
        <f>50-50</f>
        <v>0</v>
      </c>
      <c r="AS34" s="234">
        <v>50</v>
      </c>
      <c r="AT34" s="234">
        <v>50</v>
      </c>
      <c r="AU34" s="234">
        <v>50</v>
      </c>
      <c r="AV34" s="234"/>
      <c r="AW34" s="234"/>
      <c r="AX34" s="234"/>
      <c r="AY34" s="234"/>
      <c r="AZ34" s="234"/>
      <c r="BA34" s="367">
        <f t="shared" si="8"/>
        <v>365</v>
      </c>
      <c r="BB34" s="367">
        <f t="shared" si="9"/>
        <v>365</v>
      </c>
      <c r="BC34" s="367">
        <f t="shared" si="9"/>
        <v>535</v>
      </c>
      <c r="BD34" s="367">
        <f t="shared" si="9"/>
        <v>535</v>
      </c>
      <c r="BE34" s="367">
        <f t="shared" si="9"/>
        <v>535</v>
      </c>
      <c r="BF34" s="395"/>
    </row>
    <row r="35" spans="1:58" x14ac:dyDescent="0.2">
      <c r="A35" s="69"/>
      <c r="B35" s="25" t="s">
        <v>328</v>
      </c>
      <c r="C35" s="173">
        <v>30</v>
      </c>
      <c r="D35" s="173">
        <v>30</v>
      </c>
      <c r="E35" s="173">
        <v>30</v>
      </c>
      <c r="F35" s="173">
        <v>30</v>
      </c>
      <c r="G35" s="173">
        <v>30</v>
      </c>
      <c r="H35" s="173">
        <v>30</v>
      </c>
      <c r="I35" s="173">
        <v>30</v>
      </c>
      <c r="J35" s="173">
        <v>30</v>
      </c>
      <c r="K35" s="173">
        <v>30</v>
      </c>
      <c r="L35" s="173">
        <v>30</v>
      </c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367">
        <f t="shared" si="8"/>
        <v>60</v>
      </c>
      <c r="BB35" s="367">
        <f t="shared" si="9"/>
        <v>60</v>
      </c>
      <c r="BC35" s="367">
        <f t="shared" si="9"/>
        <v>60</v>
      </c>
      <c r="BD35" s="367">
        <f t="shared" si="9"/>
        <v>60</v>
      </c>
      <c r="BE35" s="367">
        <f t="shared" si="9"/>
        <v>60</v>
      </c>
      <c r="BF35" s="395"/>
    </row>
    <row r="36" spans="1:58" x14ac:dyDescent="0.2">
      <c r="A36" s="69"/>
      <c r="B36" s="25" t="s">
        <v>1145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>
        <v>0</v>
      </c>
      <c r="AH36" s="234">
        <v>0</v>
      </c>
      <c r="AI36" s="234">
        <v>1104</v>
      </c>
      <c r="AJ36" s="234">
        <v>1104</v>
      </c>
      <c r="AK36" s="234">
        <v>1104</v>
      </c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367">
        <f t="shared" si="8"/>
        <v>0</v>
      </c>
      <c r="BB36" s="367">
        <f t="shared" si="9"/>
        <v>0</v>
      </c>
      <c r="BC36" s="367">
        <f t="shared" si="9"/>
        <v>1104</v>
      </c>
      <c r="BD36" s="367">
        <f t="shared" si="9"/>
        <v>1104</v>
      </c>
      <c r="BE36" s="367">
        <f t="shared" si="9"/>
        <v>1104</v>
      </c>
      <c r="BF36" s="395"/>
    </row>
    <row r="37" spans="1:58" x14ac:dyDescent="0.2">
      <c r="A37" s="351" t="s">
        <v>271</v>
      </c>
      <c r="B37" s="29" t="s">
        <v>292</v>
      </c>
      <c r="C37" s="88">
        <f t="shared" ref="C37:AD37" si="16">SUM(C38:C39)</f>
        <v>1290</v>
      </c>
      <c r="D37" s="88">
        <f>SUM(D38:D39)</f>
        <v>1281</v>
      </c>
      <c r="E37" s="88">
        <f t="shared" si="16"/>
        <v>1440</v>
      </c>
      <c r="F37" s="88">
        <f t="shared" ref="F37:L37" si="17">SUM(F38:F39)</f>
        <v>1440</v>
      </c>
      <c r="G37" s="88">
        <f t="shared" si="17"/>
        <v>1440</v>
      </c>
      <c r="H37" s="88">
        <f t="shared" si="17"/>
        <v>100</v>
      </c>
      <c r="I37" s="88">
        <f>SUM(I38:I39)</f>
        <v>109</v>
      </c>
      <c r="J37" s="88">
        <f t="shared" si="17"/>
        <v>100</v>
      </c>
      <c r="K37" s="88">
        <f t="shared" si="17"/>
        <v>100</v>
      </c>
      <c r="L37" s="88">
        <f t="shared" si="17"/>
        <v>100</v>
      </c>
      <c r="M37" s="88">
        <f t="shared" si="16"/>
        <v>0</v>
      </c>
      <c r="N37" s="88">
        <f t="shared" si="16"/>
        <v>0</v>
      </c>
      <c r="O37" s="88">
        <f t="shared" si="16"/>
        <v>0</v>
      </c>
      <c r="P37" s="88">
        <f t="shared" si="16"/>
        <v>0</v>
      </c>
      <c r="Q37" s="88">
        <f t="shared" si="16"/>
        <v>0</v>
      </c>
      <c r="R37" s="88">
        <f t="shared" si="16"/>
        <v>15</v>
      </c>
      <c r="S37" s="88">
        <f t="shared" si="16"/>
        <v>40</v>
      </c>
      <c r="T37" s="88">
        <f t="shared" si="16"/>
        <v>95</v>
      </c>
      <c r="U37" s="88">
        <f>SUM(U38:U39)</f>
        <v>95</v>
      </c>
      <c r="V37" s="88">
        <f>SUM(V38:V39)</f>
        <v>95</v>
      </c>
      <c r="W37" s="88">
        <f t="shared" si="16"/>
        <v>145</v>
      </c>
      <c r="X37" s="88">
        <f>SUM(X38:X39)</f>
        <v>145</v>
      </c>
      <c r="Y37" s="88">
        <f t="shared" si="16"/>
        <v>20</v>
      </c>
      <c r="Z37" s="88">
        <f>SUM(Z38:Z39)</f>
        <v>20</v>
      </c>
      <c r="AA37" s="88">
        <f>SUM(AA38:AA39)</f>
        <v>20</v>
      </c>
      <c r="AB37" s="88">
        <f t="shared" si="16"/>
        <v>0</v>
      </c>
      <c r="AC37" s="88">
        <f>SUM(AC38:AC39)</f>
        <v>0</v>
      </c>
      <c r="AD37" s="88">
        <f t="shared" si="16"/>
        <v>0</v>
      </c>
      <c r="AE37" s="88">
        <f t="shared" ref="AE37:AX37" si="18">SUM(AE38:AE39)</f>
        <v>0</v>
      </c>
      <c r="AF37" s="88">
        <f t="shared" si="18"/>
        <v>0</v>
      </c>
      <c r="AG37" s="88">
        <f t="shared" si="18"/>
        <v>0</v>
      </c>
      <c r="AH37" s="88">
        <f t="shared" si="18"/>
        <v>0</v>
      </c>
      <c r="AI37" s="88">
        <f>SUM(AI38:AI39)</f>
        <v>0</v>
      </c>
      <c r="AJ37" s="88">
        <f t="shared" si="18"/>
        <v>0</v>
      </c>
      <c r="AK37" s="88">
        <f t="shared" si="18"/>
        <v>0</v>
      </c>
      <c r="AL37" s="88">
        <f t="shared" si="18"/>
        <v>0</v>
      </c>
      <c r="AM37" s="88">
        <f t="shared" si="18"/>
        <v>0</v>
      </c>
      <c r="AN37" s="88">
        <f t="shared" si="18"/>
        <v>0</v>
      </c>
      <c r="AO37" s="88">
        <f t="shared" si="18"/>
        <v>0</v>
      </c>
      <c r="AP37" s="88">
        <f t="shared" si="18"/>
        <v>0</v>
      </c>
      <c r="AQ37" s="88">
        <f t="shared" si="18"/>
        <v>25</v>
      </c>
      <c r="AR37" s="88">
        <f t="shared" si="18"/>
        <v>0</v>
      </c>
      <c r="AS37" s="88">
        <f t="shared" si="18"/>
        <v>25</v>
      </c>
      <c r="AT37" s="88">
        <f>SUM(AT38:AT39)</f>
        <v>25</v>
      </c>
      <c r="AU37" s="88">
        <f>SUM(AU38:AU39)</f>
        <v>25</v>
      </c>
      <c r="AV37" s="88">
        <f t="shared" si="18"/>
        <v>70</v>
      </c>
      <c r="AW37" s="88">
        <f>SUM(AW38:AW39)</f>
        <v>70</v>
      </c>
      <c r="AX37" s="88">
        <f t="shared" si="18"/>
        <v>115</v>
      </c>
      <c r="AY37" s="88">
        <f>SUM(AY38:AY39)</f>
        <v>115</v>
      </c>
      <c r="AZ37" s="88">
        <f>SUM(AZ38:AZ39)</f>
        <v>115</v>
      </c>
      <c r="BA37" s="925">
        <f t="shared" si="8"/>
        <v>1645</v>
      </c>
      <c r="BB37" s="925">
        <f t="shared" si="9"/>
        <v>1645</v>
      </c>
      <c r="BC37" s="925">
        <f t="shared" si="9"/>
        <v>1795</v>
      </c>
      <c r="BD37" s="925">
        <f t="shared" si="9"/>
        <v>1795</v>
      </c>
      <c r="BE37" s="925">
        <f t="shared" si="9"/>
        <v>1795</v>
      </c>
      <c r="BF37" s="395">
        <f>SUM(BA38:BA39)</f>
        <v>1645</v>
      </c>
    </row>
    <row r="38" spans="1:58" ht="25.5" customHeight="1" x14ac:dyDescent="0.2">
      <c r="A38" s="69" t="s">
        <v>272</v>
      </c>
      <c r="B38" s="800" t="s">
        <v>1146</v>
      </c>
      <c r="C38" s="173">
        <f>(150+90+500)</f>
        <v>740</v>
      </c>
      <c r="D38" s="173">
        <f>(150+90+500)-9</f>
        <v>731</v>
      </c>
      <c r="E38" s="173">
        <f>(150+90+500)+150</f>
        <v>890</v>
      </c>
      <c r="F38" s="173">
        <f>(150+90+500)+150</f>
        <v>890</v>
      </c>
      <c r="G38" s="173">
        <f>(150+90+500)+150</f>
        <v>890</v>
      </c>
      <c r="H38" s="173">
        <v>100</v>
      </c>
      <c r="I38" s="173">
        <f>100+9</f>
        <v>109</v>
      </c>
      <c r="J38" s="173">
        <v>100</v>
      </c>
      <c r="K38" s="173">
        <v>100</v>
      </c>
      <c r="L38" s="173">
        <v>100</v>
      </c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>
        <f>115-70</f>
        <v>45</v>
      </c>
      <c r="X38" s="234">
        <f>115-70</f>
        <v>45</v>
      </c>
      <c r="Y38" s="234">
        <f>115-70-45</f>
        <v>0</v>
      </c>
      <c r="Z38" s="234">
        <f>115-70-45</f>
        <v>0</v>
      </c>
      <c r="AA38" s="234">
        <f>115-70-45</f>
        <v>0</v>
      </c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>
        <v>70</v>
      </c>
      <c r="AW38" s="234">
        <v>70</v>
      </c>
      <c r="AX38" s="234">
        <f>70+45</f>
        <v>115</v>
      </c>
      <c r="AY38" s="234">
        <f>70+45</f>
        <v>115</v>
      </c>
      <c r="AZ38" s="234">
        <f>70+45</f>
        <v>115</v>
      </c>
      <c r="BA38" s="367">
        <f t="shared" si="8"/>
        <v>955</v>
      </c>
      <c r="BB38" s="367">
        <f t="shared" si="9"/>
        <v>955</v>
      </c>
      <c r="BC38" s="367">
        <f t="shared" si="9"/>
        <v>1105</v>
      </c>
      <c r="BD38" s="367">
        <f t="shared" si="9"/>
        <v>1105</v>
      </c>
      <c r="BE38" s="367">
        <f t="shared" si="9"/>
        <v>1105</v>
      </c>
      <c r="BF38" s="395"/>
    </row>
    <row r="39" spans="1:58" x14ac:dyDescent="0.2">
      <c r="A39" s="69" t="s">
        <v>273</v>
      </c>
      <c r="B39" s="25" t="s">
        <v>315</v>
      </c>
      <c r="C39" s="173">
        <v>550</v>
      </c>
      <c r="D39" s="173">
        <v>550</v>
      </c>
      <c r="E39" s="173">
        <v>550</v>
      </c>
      <c r="F39" s="173">
        <v>550</v>
      </c>
      <c r="G39" s="173">
        <v>550</v>
      </c>
      <c r="H39" s="247"/>
      <c r="I39" s="247"/>
      <c r="J39" s="247"/>
      <c r="K39" s="247"/>
      <c r="L39" s="247"/>
      <c r="M39" s="234"/>
      <c r="N39" s="234"/>
      <c r="O39" s="234"/>
      <c r="P39" s="234"/>
      <c r="Q39" s="234"/>
      <c r="R39" s="234">
        <v>15</v>
      </c>
      <c r="S39" s="234">
        <f>15+25</f>
        <v>40</v>
      </c>
      <c r="T39" s="234">
        <f>15+80</f>
        <v>95</v>
      </c>
      <c r="U39" s="234">
        <f>15+80</f>
        <v>95</v>
      </c>
      <c r="V39" s="234">
        <f>15+80</f>
        <v>95</v>
      </c>
      <c r="W39" s="234">
        <v>100</v>
      </c>
      <c r="X39" s="234">
        <v>100</v>
      </c>
      <c r="Y39" s="234">
        <f>100-80</f>
        <v>20</v>
      </c>
      <c r="Z39" s="234">
        <f>100-80</f>
        <v>20</v>
      </c>
      <c r="AA39" s="234">
        <f>100-80</f>
        <v>20</v>
      </c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>
        <v>25</v>
      </c>
      <c r="AR39" s="234">
        <f>25-25</f>
        <v>0</v>
      </c>
      <c r="AS39" s="234">
        <v>25</v>
      </c>
      <c r="AT39" s="234">
        <v>25</v>
      </c>
      <c r="AU39" s="234">
        <v>25</v>
      </c>
      <c r="AV39" s="234"/>
      <c r="AW39" s="234"/>
      <c r="AX39" s="234"/>
      <c r="AY39" s="234"/>
      <c r="AZ39" s="234"/>
      <c r="BA39" s="367">
        <f t="shared" si="8"/>
        <v>690</v>
      </c>
      <c r="BB39" s="367">
        <f t="shared" si="9"/>
        <v>690</v>
      </c>
      <c r="BC39" s="367">
        <f t="shared" si="9"/>
        <v>690</v>
      </c>
      <c r="BD39" s="367">
        <f t="shared" si="9"/>
        <v>690</v>
      </c>
      <c r="BE39" s="367">
        <f t="shared" si="9"/>
        <v>690</v>
      </c>
      <c r="BF39" s="395"/>
    </row>
    <row r="40" spans="1:58" x14ac:dyDescent="0.2">
      <c r="A40" s="351" t="s">
        <v>274</v>
      </c>
      <c r="B40" s="29" t="s">
        <v>294</v>
      </c>
      <c r="C40" s="88">
        <f t="shared" ref="C40:AH40" si="19">SUM(C41:C80)</f>
        <v>59925</v>
      </c>
      <c r="D40" s="88">
        <f t="shared" si="19"/>
        <v>72025</v>
      </c>
      <c r="E40" s="88">
        <f t="shared" si="19"/>
        <v>67073</v>
      </c>
      <c r="F40" s="88">
        <f t="shared" si="19"/>
        <v>67073</v>
      </c>
      <c r="G40" s="88">
        <f t="shared" si="19"/>
        <v>67073</v>
      </c>
      <c r="H40" s="88">
        <f t="shared" si="19"/>
        <v>50</v>
      </c>
      <c r="I40" s="88">
        <f t="shared" si="19"/>
        <v>50</v>
      </c>
      <c r="J40" s="88">
        <f t="shared" si="19"/>
        <v>80</v>
      </c>
      <c r="K40" s="88">
        <f t="shared" si="19"/>
        <v>80</v>
      </c>
      <c r="L40" s="88">
        <f t="shared" si="19"/>
        <v>80</v>
      </c>
      <c r="M40" s="88">
        <f t="shared" si="19"/>
        <v>20720</v>
      </c>
      <c r="N40" s="88">
        <f t="shared" si="19"/>
        <v>26720</v>
      </c>
      <c r="O40" s="88">
        <f t="shared" si="19"/>
        <v>23361</v>
      </c>
      <c r="P40" s="88">
        <f t="shared" si="19"/>
        <v>23361</v>
      </c>
      <c r="Q40" s="88">
        <f t="shared" si="19"/>
        <v>23361</v>
      </c>
      <c r="R40" s="88">
        <f t="shared" si="19"/>
        <v>12863</v>
      </c>
      <c r="S40" s="88">
        <f t="shared" si="19"/>
        <v>12863</v>
      </c>
      <c r="T40" s="88">
        <f t="shared" si="19"/>
        <v>12526</v>
      </c>
      <c r="U40" s="88">
        <f t="shared" si="19"/>
        <v>12526</v>
      </c>
      <c r="V40" s="88">
        <f t="shared" si="19"/>
        <v>12526</v>
      </c>
      <c r="W40" s="88">
        <f t="shared" si="19"/>
        <v>4086</v>
      </c>
      <c r="X40" s="88">
        <f t="shared" si="19"/>
        <v>3896</v>
      </c>
      <c r="Y40" s="88">
        <f t="shared" si="19"/>
        <v>4056</v>
      </c>
      <c r="Z40" s="88">
        <f t="shared" si="19"/>
        <v>4056</v>
      </c>
      <c r="AA40" s="88">
        <f t="shared" si="19"/>
        <v>4056</v>
      </c>
      <c r="AB40" s="88">
        <f t="shared" si="19"/>
        <v>6600</v>
      </c>
      <c r="AC40" s="88">
        <f t="shared" si="19"/>
        <v>8600</v>
      </c>
      <c r="AD40" s="88">
        <f t="shared" si="19"/>
        <v>9600</v>
      </c>
      <c r="AE40" s="88">
        <f t="shared" si="19"/>
        <v>9600</v>
      </c>
      <c r="AF40" s="88">
        <f t="shared" si="19"/>
        <v>9600</v>
      </c>
      <c r="AG40" s="88">
        <f t="shared" si="19"/>
        <v>0</v>
      </c>
      <c r="AH40" s="88">
        <f t="shared" si="19"/>
        <v>0</v>
      </c>
      <c r="AI40" s="88">
        <f t="shared" ref="AI40:AZ40" si="20">SUM(AI41:AI80)</f>
        <v>0</v>
      </c>
      <c r="AJ40" s="88">
        <f t="shared" si="20"/>
        <v>0</v>
      </c>
      <c r="AK40" s="88">
        <f t="shared" si="20"/>
        <v>0</v>
      </c>
      <c r="AL40" s="88">
        <f t="shared" si="20"/>
        <v>3120</v>
      </c>
      <c r="AM40" s="88">
        <f t="shared" si="20"/>
        <v>3120</v>
      </c>
      <c r="AN40" s="88">
        <f t="shared" si="20"/>
        <v>3340</v>
      </c>
      <c r="AO40" s="88">
        <f t="shared" si="20"/>
        <v>3340</v>
      </c>
      <c r="AP40" s="88">
        <f t="shared" si="20"/>
        <v>3340</v>
      </c>
      <c r="AQ40" s="88">
        <f t="shared" si="20"/>
        <v>0</v>
      </c>
      <c r="AR40" s="88">
        <f t="shared" si="20"/>
        <v>0</v>
      </c>
      <c r="AS40" s="88">
        <f t="shared" si="20"/>
        <v>0</v>
      </c>
      <c r="AT40" s="88">
        <f t="shared" si="20"/>
        <v>0</v>
      </c>
      <c r="AU40" s="88">
        <f t="shared" si="20"/>
        <v>0</v>
      </c>
      <c r="AV40" s="88">
        <f t="shared" si="20"/>
        <v>470</v>
      </c>
      <c r="AW40" s="88">
        <f t="shared" si="20"/>
        <v>470</v>
      </c>
      <c r="AX40" s="88">
        <f t="shared" si="20"/>
        <v>470</v>
      </c>
      <c r="AY40" s="88">
        <f t="shared" si="20"/>
        <v>470</v>
      </c>
      <c r="AZ40" s="88">
        <f t="shared" si="20"/>
        <v>470</v>
      </c>
      <c r="BA40" s="925">
        <f t="shared" si="8"/>
        <v>107834</v>
      </c>
      <c r="BB40" s="925">
        <f t="shared" si="9"/>
        <v>127744</v>
      </c>
      <c r="BC40" s="925">
        <f t="shared" si="9"/>
        <v>120506</v>
      </c>
      <c r="BD40" s="925">
        <f t="shared" si="9"/>
        <v>120506</v>
      </c>
      <c r="BE40" s="925">
        <f t="shared" si="9"/>
        <v>120506</v>
      </c>
      <c r="BF40" s="395">
        <f>SUM(BA41:BA80)</f>
        <v>107834</v>
      </c>
    </row>
    <row r="41" spans="1:58" s="10" customFormat="1" x14ac:dyDescent="0.2">
      <c r="A41" s="69" t="s">
        <v>275</v>
      </c>
      <c r="B41" s="25" t="s">
        <v>311</v>
      </c>
      <c r="C41" s="173"/>
      <c r="D41" s="173"/>
      <c r="E41" s="173"/>
      <c r="F41" s="173"/>
      <c r="G41" s="173"/>
      <c r="H41" s="247"/>
      <c r="I41" s="247"/>
      <c r="J41" s="247"/>
      <c r="K41" s="247"/>
      <c r="L41" s="247"/>
      <c r="M41" s="234">
        <v>8000</v>
      </c>
      <c r="N41" s="234">
        <f>8000+3000+1000</f>
        <v>12000</v>
      </c>
      <c r="O41" s="234">
        <v>8000</v>
      </c>
      <c r="P41" s="234">
        <v>8000</v>
      </c>
      <c r="Q41" s="234">
        <v>8000</v>
      </c>
      <c r="R41" s="234">
        <v>2500</v>
      </c>
      <c r="S41" s="234">
        <v>2500</v>
      </c>
      <c r="T41" s="234">
        <v>2500</v>
      </c>
      <c r="U41" s="234">
        <v>2500</v>
      </c>
      <c r="V41" s="234">
        <v>2500</v>
      </c>
      <c r="W41" s="173">
        <v>3000</v>
      </c>
      <c r="X41" s="173">
        <v>3000</v>
      </c>
      <c r="Y41" s="173">
        <v>3000</v>
      </c>
      <c r="Z41" s="173">
        <v>3000</v>
      </c>
      <c r="AA41" s="173">
        <v>3000</v>
      </c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367">
        <f t="shared" si="8"/>
        <v>13500</v>
      </c>
      <c r="BB41" s="367">
        <f t="shared" si="9"/>
        <v>17500</v>
      </c>
      <c r="BC41" s="367">
        <f t="shared" si="9"/>
        <v>13500</v>
      </c>
      <c r="BD41" s="367">
        <f t="shared" si="9"/>
        <v>13500</v>
      </c>
      <c r="BE41" s="367">
        <f t="shared" si="9"/>
        <v>13500</v>
      </c>
      <c r="BF41" s="395"/>
    </row>
    <row r="42" spans="1:58" s="10" customFormat="1" x14ac:dyDescent="0.2">
      <c r="A42" s="69" t="s">
        <v>326</v>
      </c>
      <c r="B42" s="25" t="s">
        <v>327</v>
      </c>
      <c r="C42" s="173"/>
      <c r="D42" s="173"/>
      <c r="E42" s="173"/>
      <c r="F42" s="173"/>
      <c r="G42" s="173"/>
      <c r="H42" s="247"/>
      <c r="I42" s="247"/>
      <c r="J42" s="247"/>
      <c r="K42" s="247"/>
      <c r="L42" s="247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>
        <v>6600</v>
      </c>
      <c r="AC42" s="234">
        <f>6600+2000</f>
        <v>8600</v>
      </c>
      <c r="AD42" s="234">
        <v>9600</v>
      </c>
      <c r="AE42" s="234">
        <v>9600</v>
      </c>
      <c r="AF42" s="234">
        <f>(6600+3000)</f>
        <v>9600</v>
      </c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367">
        <f t="shared" si="8"/>
        <v>6600</v>
      </c>
      <c r="BB42" s="367">
        <f t="shared" ref="BB42:BE45" si="21">D42+I42+N42+S42+X42+AC42+AH42+AM42+AR42+AW42</f>
        <v>8600</v>
      </c>
      <c r="BC42" s="367">
        <f t="shared" si="21"/>
        <v>9600</v>
      </c>
      <c r="BD42" s="367">
        <f t="shared" si="21"/>
        <v>9600</v>
      </c>
      <c r="BE42" s="367">
        <f t="shared" si="21"/>
        <v>9600</v>
      </c>
      <c r="BF42" s="395"/>
    </row>
    <row r="43" spans="1:58" s="10" customFormat="1" x14ac:dyDescent="0.2">
      <c r="A43" s="69" t="s">
        <v>276</v>
      </c>
      <c r="B43" s="25" t="s">
        <v>310</v>
      </c>
      <c r="C43" s="173">
        <v>850</v>
      </c>
      <c r="D43" s="173">
        <v>850</v>
      </c>
      <c r="E43" s="173">
        <f>850-765</f>
        <v>85</v>
      </c>
      <c r="F43" s="173">
        <f>850-765</f>
        <v>85</v>
      </c>
      <c r="G43" s="173">
        <f>850-765</f>
        <v>85</v>
      </c>
      <c r="H43" s="247"/>
      <c r="I43" s="247"/>
      <c r="J43" s="247"/>
      <c r="K43" s="247"/>
      <c r="L43" s="247"/>
      <c r="M43" s="234">
        <v>12720</v>
      </c>
      <c r="N43" s="234">
        <v>12720</v>
      </c>
      <c r="O43" s="234">
        <f>12720+765</f>
        <v>13485</v>
      </c>
      <c r="P43" s="234">
        <f>12720+765</f>
        <v>13485</v>
      </c>
      <c r="Q43" s="234">
        <f>12720+765</f>
        <v>13485</v>
      </c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367">
        <f t="shared" si="8"/>
        <v>13570</v>
      </c>
      <c r="BB43" s="367">
        <f t="shared" si="21"/>
        <v>13570</v>
      </c>
      <c r="BC43" s="367">
        <f t="shared" si="21"/>
        <v>13570</v>
      </c>
      <c r="BD43" s="367">
        <f t="shared" si="21"/>
        <v>13570</v>
      </c>
      <c r="BE43" s="367">
        <f t="shared" si="21"/>
        <v>13570</v>
      </c>
      <c r="BF43" s="395"/>
    </row>
    <row r="44" spans="1:58" s="10" customFormat="1" x14ac:dyDescent="0.2">
      <c r="A44" s="69" t="s">
        <v>277</v>
      </c>
      <c r="B44" s="25" t="s">
        <v>309</v>
      </c>
      <c r="C44" s="173">
        <v>1500</v>
      </c>
      <c r="D44" s="173">
        <f>1500+190</f>
        <v>1690</v>
      </c>
      <c r="E44" s="173">
        <v>1500</v>
      </c>
      <c r="F44" s="173">
        <v>1500</v>
      </c>
      <c r="G44" s="173">
        <v>1500</v>
      </c>
      <c r="H44" s="247"/>
      <c r="I44" s="247"/>
      <c r="J44" s="247"/>
      <c r="K44" s="247"/>
      <c r="L44" s="247"/>
      <c r="M44" s="234"/>
      <c r="N44" s="234"/>
      <c r="O44" s="234"/>
      <c r="P44" s="234"/>
      <c r="Q44" s="234"/>
      <c r="R44" s="234">
        <v>200</v>
      </c>
      <c r="S44" s="234">
        <v>200</v>
      </c>
      <c r="T44" s="234">
        <v>200</v>
      </c>
      <c r="U44" s="234">
        <v>200</v>
      </c>
      <c r="V44" s="234">
        <v>200</v>
      </c>
      <c r="W44" s="234">
        <f>700-500-10</f>
        <v>190</v>
      </c>
      <c r="X44" s="234">
        <f>700-500-10-190</f>
        <v>0</v>
      </c>
      <c r="Y44" s="234">
        <f>700-500-10</f>
        <v>190</v>
      </c>
      <c r="Z44" s="234">
        <f>700-500-10</f>
        <v>190</v>
      </c>
      <c r="AA44" s="234">
        <f>700-500-10</f>
        <v>190</v>
      </c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>
        <v>150</v>
      </c>
      <c r="AW44" s="234">
        <v>150</v>
      </c>
      <c r="AX44" s="234">
        <v>150</v>
      </c>
      <c r="AY44" s="234">
        <v>150</v>
      </c>
      <c r="AZ44" s="234">
        <v>150</v>
      </c>
      <c r="BA44" s="367">
        <f t="shared" si="8"/>
        <v>2040</v>
      </c>
      <c r="BB44" s="367">
        <f t="shared" si="21"/>
        <v>2040</v>
      </c>
      <c r="BC44" s="367">
        <f t="shared" si="21"/>
        <v>2040</v>
      </c>
      <c r="BD44" s="367">
        <f t="shared" si="21"/>
        <v>2040</v>
      </c>
      <c r="BE44" s="367">
        <f t="shared" si="21"/>
        <v>2040</v>
      </c>
      <c r="BF44" s="395"/>
    </row>
    <row r="45" spans="1:58" s="10" customFormat="1" x14ac:dyDescent="0.2">
      <c r="A45" s="69"/>
      <c r="B45" s="25" t="s">
        <v>422</v>
      </c>
      <c r="C45" s="173"/>
      <c r="D45" s="173"/>
      <c r="E45" s="173"/>
      <c r="F45" s="173"/>
      <c r="G45" s="173"/>
      <c r="H45" s="247"/>
      <c r="I45" s="247"/>
      <c r="J45" s="247"/>
      <c r="K45" s="247"/>
      <c r="L45" s="247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>
        <v>796</v>
      </c>
      <c r="X45" s="234">
        <v>796</v>
      </c>
      <c r="Y45" s="234">
        <v>796</v>
      </c>
      <c r="Z45" s="234">
        <v>796</v>
      </c>
      <c r="AA45" s="234">
        <v>796</v>
      </c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367">
        <f t="shared" si="8"/>
        <v>796</v>
      </c>
      <c r="BB45" s="367">
        <f t="shared" si="21"/>
        <v>796</v>
      </c>
      <c r="BC45" s="367">
        <f t="shared" si="21"/>
        <v>796</v>
      </c>
      <c r="BD45" s="367">
        <f t="shared" si="21"/>
        <v>796</v>
      </c>
      <c r="BE45" s="367">
        <f t="shared" si="21"/>
        <v>796</v>
      </c>
      <c r="BF45" s="395"/>
    </row>
    <row r="46" spans="1:58" s="10" customFormat="1" ht="12.75" hidden="1" customHeight="1" x14ac:dyDescent="0.2">
      <c r="A46" s="69"/>
      <c r="B46" s="25"/>
      <c r="C46" s="173"/>
      <c r="D46" s="173"/>
      <c r="E46" s="173"/>
      <c r="F46" s="173"/>
      <c r="G46" s="173"/>
      <c r="H46" s="247"/>
      <c r="I46" s="247"/>
      <c r="J46" s="247"/>
      <c r="K46" s="247"/>
      <c r="L46" s="247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367">
        <f t="shared" si="8"/>
        <v>0</v>
      </c>
      <c r="BB46" s="367" t="e">
        <f>D46+I46+N46+S46+X46+AC46+AH46+AM46+AR46+AW46+#REF!</f>
        <v>#REF!</v>
      </c>
      <c r="BC46" s="367" t="e">
        <f>E46+J46+O46+T46+Y46+AD46+AI46+AN46+AS46+AX46+#REF!</f>
        <v>#REF!</v>
      </c>
      <c r="BD46" s="367" t="e">
        <f>F46+K46+P46+U46+Z46+AE46+AJ46+AO46+AT46+AY46+#REF!</f>
        <v>#REF!</v>
      </c>
      <c r="BE46" s="367" t="e">
        <f>G46+L46+Q46+V46+AA46+AF46+AK46+AP46+AU46+AZ46+#REF!</f>
        <v>#REF!</v>
      </c>
      <c r="BF46" s="395"/>
    </row>
    <row r="47" spans="1:58" s="10" customFormat="1" x14ac:dyDescent="0.2">
      <c r="A47" s="69" t="s">
        <v>279</v>
      </c>
      <c r="B47" s="25" t="s">
        <v>307</v>
      </c>
      <c r="C47" s="173"/>
      <c r="D47" s="173"/>
      <c r="E47" s="173"/>
      <c r="F47" s="173"/>
      <c r="G47" s="173"/>
      <c r="H47" s="247"/>
      <c r="I47" s="247"/>
      <c r="J47" s="247"/>
      <c r="K47" s="247"/>
      <c r="L47" s="247"/>
      <c r="M47" s="234"/>
      <c r="N47" s="234"/>
      <c r="O47" s="234"/>
      <c r="P47" s="234"/>
      <c r="Q47" s="234"/>
      <c r="R47" s="234">
        <v>30</v>
      </c>
      <c r="S47" s="234">
        <v>30</v>
      </c>
      <c r="T47" s="234">
        <v>30</v>
      </c>
      <c r="U47" s="234">
        <v>30</v>
      </c>
      <c r="V47" s="234">
        <v>30</v>
      </c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367">
        <f t="shared" si="8"/>
        <v>30</v>
      </c>
      <c r="BB47" s="367">
        <f t="shared" ref="BB47:BE62" si="22">D47+I47+N47+S47+X47+AC47+AH47+AM47+AR47+AW47</f>
        <v>30</v>
      </c>
      <c r="BC47" s="367">
        <f t="shared" si="22"/>
        <v>30</v>
      </c>
      <c r="BD47" s="367">
        <f t="shared" si="22"/>
        <v>30</v>
      </c>
      <c r="BE47" s="367">
        <f t="shared" si="22"/>
        <v>30</v>
      </c>
      <c r="BF47" s="395"/>
    </row>
    <row r="48" spans="1:58" s="10" customFormat="1" x14ac:dyDescent="0.2">
      <c r="A48" s="69"/>
      <c r="B48" s="25" t="s">
        <v>317</v>
      </c>
      <c r="C48" s="173">
        <v>1254</v>
      </c>
      <c r="D48" s="173">
        <v>1254</v>
      </c>
      <c r="E48" s="173">
        <v>1254</v>
      </c>
      <c r="F48" s="173">
        <v>1254</v>
      </c>
      <c r="G48" s="173">
        <v>1254</v>
      </c>
      <c r="H48" s="247"/>
      <c r="I48" s="247"/>
      <c r="J48" s="247"/>
      <c r="K48" s="247"/>
      <c r="L48" s="247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367">
        <f t="shared" si="8"/>
        <v>1254</v>
      </c>
      <c r="BB48" s="367">
        <f t="shared" si="22"/>
        <v>1254</v>
      </c>
      <c r="BC48" s="367">
        <f t="shared" si="22"/>
        <v>1254</v>
      </c>
      <c r="BD48" s="367">
        <f t="shared" si="22"/>
        <v>1254</v>
      </c>
      <c r="BE48" s="367">
        <f t="shared" si="22"/>
        <v>1254</v>
      </c>
      <c r="BF48" s="395"/>
    </row>
    <row r="49" spans="1:58" s="10" customFormat="1" hidden="1" x14ac:dyDescent="0.2">
      <c r="A49" s="69"/>
      <c r="B49" s="25" t="s">
        <v>764</v>
      </c>
      <c r="C49" s="277"/>
      <c r="D49" s="277"/>
      <c r="E49" s="277"/>
      <c r="F49" s="277"/>
      <c r="G49" s="277"/>
      <c r="H49" s="247"/>
      <c r="I49" s="247"/>
      <c r="J49" s="247"/>
      <c r="K49" s="247"/>
      <c r="L49" s="247"/>
      <c r="M49" s="234"/>
      <c r="N49" s="234"/>
      <c r="O49" s="234"/>
      <c r="P49" s="234"/>
      <c r="Q49" s="234"/>
      <c r="R49" s="173"/>
      <c r="S49" s="173"/>
      <c r="T49" s="173"/>
      <c r="U49" s="173"/>
      <c r="V49" s="173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367">
        <f t="shared" si="8"/>
        <v>0</v>
      </c>
      <c r="BB49" s="367">
        <f t="shared" si="22"/>
        <v>0</v>
      </c>
      <c r="BC49" s="367">
        <f t="shared" si="22"/>
        <v>0</v>
      </c>
      <c r="BD49" s="367">
        <f t="shared" si="22"/>
        <v>0</v>
      </c>
      <c r="BE49" s="367">
        <f t="shared" si="22"/>
        <v>0</v>
      </c>
      <c r="BF49" s="395"/>
    </row>
    <row r="50" spans="1:58" s="10" customFormat="1" x14ac:dyDescent="0.2">
      <c r="A50" s="69"/>
      <c r="B50" s="25" t="s">
        <v>318</v>
      </c>
      <c r="C50" s="234">
        <v>1200</v>
      </c>
      <c r="D50" s="234">
        <f>1200+400</f>
        <v>1600</v>
      </c>
      <c r="E50" s="234">
        <f>1200+280</f>
        <v>1480</v>
      </c>
      <c r="F50" s="234">
        <f>1200+280</f>
        <v>1480</v>
      </c>
      <c r="G50" s="234">
        <f>1200+280</f>
        <v>1480</v>
      </c>
      <c r="H50" s="247"/>
      <c r="I50" s="247"/>
      <c r="J50" s="247"/>
      <c r="K50" s="247"/>
      <c r="L50" s="247"/>
      <c r="M50" s="234"/>
      <c r="N50" s="234"/>
      <c r="O50" s="234"/>
      <c r="P50" s="234"/>
      <c r="Q50" s="234"/>
      <c r="R50" s="173"/>
      <c r="S50" s="173"/>
      <c r="T50" s="173"/>
      <c r="U50" s="173"/>
      <c r="V50" s="173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367">
        <f t="shared" si="8"/>
        <v>1200</v>
      </c>
      <c r="BB50" s="367">
        <f t="shared" si="22"/>
        <v>1600</v>
      </c>
      <c r="BC50" s="367">
        <f t="shared" si="22"/>
        <v>1480</v>
      </c>
      <c r="BD50" s="367">
        <f t="shared" si="22"/>
        <v>1480</v>
      </c>
      <c r="BE50" s="367">
        <f t="shared" si="22"/>
        <v>1480</v>
      </c>
      <c r="BF50" s="395"/>
    </row>
    <row r="51" spans="1:58" s="10" customFormat="1" x14ac:dyDescent="0.2">
      <c r="A51" s="69"/>
      <c r="B51" s="25" t="s">
        <v>335</v>
      </c>
      <c r="C51" s="234">
        <v>1000</v>
      </c>
      <c r="D51" s="234">
        <v>1000</v>
      </c>
      <c r="E51" s="234">
        <v>1000</v>
      </c>
      <c r="F51" s="234">
        <v>1000</v>
      </c>
      <c r="G51" s="234">
        <v>1000</v>
      </c>
      <c r="H51" s="247"/>
      <c r="I51" s="247"/>
      <c r="J51" s="247"/>
      <c r="K51" s="247"/>
      <c r="L51" s="247"/>
      <c r="M51" s="234"/>
      <c r="N51" s="234"/>
      <c r="O51" s="234"/>
      <c r="P51" s="234"/>
      <c r="Q51" s="234"/>
      <c r="R51" s="173"/>
      <c r="S51" s="173"/>
      <c r="T51" s="173"/>
      <c r="U51" s="173"/>
      <c r="V51" s="173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367">
        <f t="shared" si="8"/>
        <v>1000</v>
      </c>
      <c r="BB51" s="367">
        <f t="shared" si="22"/>
        <v>1000</v>
      </c>
      <c r="BC51" s="367">
        <f t="shared" si="22"/>
        <v>1000</v>
      </c>
      <c r="BD51" s="367">
        <f t="shared" si="22"/>
        <v>1000</v>
      </c>
      <c r="BE51" s="367">
        <f t="shared" si="22"/>
        <v>1000</v>
      </c>
      <c r="BF51" s="395"/>
    </row>
    <row r="52" spans="1:58" s="10" customFormat="1" x14ac:dyDescent="0.2">
      <c r="A52" s="69"/>
      <c r="B52" s="25" t="s">
        <v>888</v>
      </c>
      <c r="C52" s="277">
        <v>500</v>
      </c>
      <c r="D52" s="277">
        <f>500+570+530</f>
        <v>1600</v>
      </c>
      <c r="E52" s="277">
        <v>500</v>
      </c>
      <c r="F52" s="277">
        <v>500</v>
      </c>
      <c r="G52" s="277">
        <v>500</v>
      </c>
      <c r="H52" s="247"/>
      <c r="I52" s="247"/>
      <c r="J52" s="247"/>
      <c r="K52" s="247"/>
      <c r="L52" s="247"/>
      <c r="M52" s="234"/>
      <c r="N52" s="234"/>
      <c r="O52" s="234"/>
      <c r="P52" s="234"/>
      <c r="Q52" s="234"/>
      <c r="R52" s="173"/>
      <c r="S52" s="173"/>
      <c r="T52" s="173"/>
      <c r="U52" s="173"/>
      <c r="V52" s="173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367">
        <f t="shared" si="8"/>
        <v>500</v>
      </c>
      <c r="BB52" s="367">
        <f t="shared" si="22"/>
        <v>1600</v>
      </c>
      <c r="BC52" s="367">
        <f t="shared" si="22"/>
        <v>500</v>
      </c>
      <c r="BD52" s="367">
        <f t="shared" si="22"/>
        <v>500</v>
      </c>
      <c r="BE52" s="367">
        <f t="shared" si="22"/>
        <v>500</v>
      </c>
      <c r="BF52" s="395"/>
    </row>
    <row r="53" spans="1:58" s="10" customFormat="1" x14ac:dyDescent="0.2">
      <c r="A53" s="69"/>
      <c r="B53" s="25" t="s">
        <v>331</v>
      </c>
      <c r="C53" s="277"/>
      <c r="D53" s="277"/>
      <c r="E53" s="277"/>
      <c r="F53" s="277"/>
      <c r="G53" s="277"/>
      <c r="H53" s="247"/>
      <c r="I53" s="247"/>
      <c r="J53" s="247"/>
      <c r="K53" s="247"/>
      <c r="L53" s="247"/>
      <c r="M53" s="234"/>
      <c r="N53" s="234"/>
      <c r="O53" s="234"/>
      <c r="P53" s="234"/>
      <c r="Q53" s="234"/>
      <c r="R53" s="173">
        <v>90</v>
      </c>
      <c r="S53" s="173">
        <v>90</v>
      </c>
      <c r="T53" s="173">
        <f>90+98</f>
        <v>188</v>
      </c>
      <c r="U53" s="173">
        <f>90+98</f>
        <v>188</v>
      </c>
      <c r="V53" s="173">
        <f>90+98</f>
        <v>188</v>
      </c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367">
        <f t="shared" si="8"/>
        <v>90</v>
      </c>
      <c r="BB53" s="367">
        <f t="shared" si="22"/>
        <v>90</v>
      </c>
      <c r="BC53" s="367">
        <f t="shared" si="22"/>
        <v>188</v>
      </c>
      <c r="BD53" s="367">
        <f t="shared" si="22"/>
        <v>188</v>
      </c>
      <c r="BE53" s="367">
        <f t="shared" si="22"/>
        <v>188</v>
      </c>
      <c r="BF53" s="395"/>
    </row>
    <row r="54" spans="1:58" s="10" customFormat="1" x14ac:dyDescent="0.2">
      <c r="A54" s="69"/>
      <c r="B54" s="25" t="s">
        <v>96</v>
      </c>
      <c r="C54" s="333"/>
      <c r="D54" s="333"/>
      <c r="E54" s="333"/>
      <c r="F54" s="333"/>
      <c r="G54" s="333"/>
      <c r="H54" s="283"/>
      <c r="I54" s="283"/>
      <c r="J54" s="283"/>
      <c r="K54" s="283"/>
      <c r="L54" s="283"/>
      <c r="M54" s="173"/>
      <c r="N54" s="173"/>
      <c r="O54" s="173"/>
      <c r="P54" s="173"/>
      <c r="Q54" s="173"/>
      <c r="R54" s="173">
        <v>955</v>
      </c>
      <c r="S54" s="173">
        <v>955</v>
      </c>
      <c r="T54" s="173">
        <v>955</v>
      </c>
      <c r="U54" s="173">
        <v>955</v>
      </c>
      <c r="V54" s="173">
        <v>955</v>
      </c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367">
        <f t="shared" si="8"/>
        <v>955</v>
      </c>
      <c r="BB54" s="367">
        <f t="shared" si="22"/>
        <v>955</v>
      </c>
      <c r="BC54" s="367">
        <f t="shared" si="22"/>
        <v>955</v>
      </c>
      <c r="BD54" s="367">
        <f t="shared" si="22"/>
        <v>955</v>
      </c>
      <c r="BE54" s="367">
        <f t="shared" si="22"/>
        <v>955</v>
      </c>
      <c r="BF54" s="395"/>
    </row>
    <row r="55" spans="1:58" s="10" customFormat="1" x14ac:dyDescent="0.2">
      <c r="A55" s="69"/>
      <c r="B55" s="25" t="s">
        <v>890</v>
      </c>
      <c r="C55" s="333"/>
      <c r="D55" s="333"/>
      <c r="E55" s="333"/>
      <c r="F55" s="333"/>
      <c r="G55" s="333"/>
      <c r="H55" s="283"/>
      <c r="I55" s="283"/>
      <c r="J55" s="283"/>
      <c r="K55" s="283"/>
      <c r="L55" s="283"/>
      <c r="M55" s="173"/>
      <c r="N55" s="173"/>
      <c r="O55" s="173"/>
      <c r="P55" s="173"/>
      <c r="Q55" s="173"/>
      <c r="R55" s="173">
        <v>2404</v>
      </c>
      <c r="S55" s="173">
        <v>2404</v>
      </c>
      <c r="T55" s="173">
        <v>2334</v>
      </c>
      <c r="U55" s="173">
        <v>2334</v>
      </c>
      <c r="V55" s="173">
        <v>2334</v>
      </c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367">
        <f t="shared" si="8"/>
        <v>2404</v>
      </c>
      <c r="BB55" s="367">
        <f t="shared" si="22"/>
        <v>2404</v>
      </c>
      <c r="BC55" s="367">
        <f t="shared" si="22"/>
        <v>2334</v>
      </c>
      <c r="BD55" s="367">
        <f t="shared" si="22"/>
        <v>2334</v>
      </c>
      <c r="BE55" s="367">
        <f t="shared" si="22"/>
        <v>2334</v>
      </c>
      <c r="BF55" s="395"/>
    </row>
    <row r="56" spans="1:58" s="10" customFormat="1" x14ac:dyDescent="0.2">
      <c r="A56" s="69"/>
      <c r="B56" s="25" t="s">
        <v>425</v>
      </c>
      <c r="C56" s="333"/>
      <c r="D56" s="333"/>
      <c r="E56" s="333"/>
      <c r="F56" s="333"/>
      <c r="G56" s="333"/>
      <c r="H56" s="283"/>
      <c r="I56" s="283"/>
      <c r="J56" s="283"/>
      <c r="K56" s="283"/>
      <c r="L56" s="283"/>
      <c r="M56" s="173"/>
      <c r="N56" s="173"/>
      <c r="O56" s="173"/>
      <c r="P56" s="173"/>
      <c r="Q56" s="173"/>
      <c r="R56" s="173">
        <v>5909</v>
      </c>
      <c r="S56" s="173">
        <v>5909</v>
      </c>
      <c r="T56" s="173">
        <f>5737-98</f>
        <v>5639</v>
      </c>
      <c r="U56" s="173">
        <f>5737-98</f>
        <v>5639</v>
      </c>
      <c r="V56" s="173">
        <f>5737-98</f>
        <v>5639</v>
      </c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367">
        <f t="shared" si="8"/>
        <v>5909</v>
      </c>
      <c r="BB56" s="367">
        <f t="shared" si="22"/>
        <v>5909</v>
      </c>
      <c r="BC56" s="367">
        <f t="shared" si="22"/>
        <v>5639</v>
      </c>
      <c r="BD56" s="367">
        <f t="shared" si="22"/>
        <v>5639</v>
      </c>
      <c r="BE56" s="367">
        <f t="shared" si="22"/>
        <v>5639</v>
      </c>
      <c r="BF56" s="395"/>
    </row>
    <row r="57" spans="1:58" s="10" customFormat="1" x14ac:dyDescent="0.2">
      <c r="A57" s="69"/>
      <c r="B57" s="25" t="s">
        <v>332</v>
      </c>
      <c r="C57" s="333">
        <v>100</v>
      </c>
      <c r="D57" s="333">
        <v>100</v>
      </c>
      <c r="E57" s="333">
        <f>100+30</f>
        <v>130</v>
      </c>
      <c r="F57" s="333">
        <f>100+30</f>
        <v>130</v>
      </c>
      <c r="G57" s="333">
        <f>100+30</f>
        <v>130</v>
      </c>
      <c r="H57" s="283"/>
      <c r="I57" s="283"/>
      <c r="J57" s="283"/>
      <c r="K57" s="283"/>
      <c r="L57" s="28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234">
        <v>100</v>
      </c>
      <c r="X57" s="234">
        <v>100</v>
      </c>
      <c r="Y57" s="234">
        <f>100-30</f>
        <v>70</v>
      </c>
      <c r="Z57" s="234">
        <f>100-30</f>
        <v>70</v>
      </c>
      <c r="AA57" s="234">
        <f>100-30</f>
        <v>70</v>
      </c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367">
        <f t="shared" si="8"/>
        <v>200</v>
      </c>
      <c r="BB57" s="367">
        <f t="shared" si="22"/>
        <v>200</v>
      </c>
      <c r="BC57" s="367">
        <f t="shared" si="22"/>
        <v>200</v>
      </c>
      <c r="BD57" s="367">
        <f t="shared" si="22"/>
        <v>200</v>
      </c>
      <c r="BE57" s="367">
        <f t="shared" si="22"/>
        <v>200</v>
      </c>
      <c r="BF57" s="395"/>
    </row>
    <row r="58" spans="1:58" s="10" customFormat="1" x14ac:dyDescent="0.2">
      <c r="A58" s="69"/>
      <c r="B58" s="25" t="s">
        <v>320</v>
      </c>
      <c r="C58" s="277"/>
      <c r="D58" s="277"/>
      <c r="E58" s="277"/>
      <c r="F58" s="277"/>
      <c r="G58" s="277"/>
      <c r="H58" s="247"/>
      <c r="I58" s="247"/>
      <c r="J58" s="247"/>
      <c r="K58" s="247"/>
      <c r="L58" s="247"/>
      <c r="M58" s="234"/>
      <c r="N58" s="234"/>
      <c r="O58" s="234"/>
      <c r="P58" s="234"/>
      <c r="Q58" s="234"/>
      <c r="R58" s="173">
        <v>600</v>
      </c>
      <c r="S58" s="173">
        <v>600</v>
      </c>
      <c r="T58" s="173">
        <v>500</v>
      </c>
      <c r="U58" s="173">
        <v>500</v>
      </c>
      <c r="V58" s="173">
        <v>500</v>
      </c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367">
        <f t="shared" ref="BA58:BA90" si="23">C58+H58+M58+R58+W58+AB58+AG58+AL58+AQ58+AV58</f>
        <v>600</v>
      </c>
      <c r="BB58" s="367">
        <f t="shared" si="22"/>
        <v>600</v>
      </c>
      <c r="BC58" s="367">
        <f t="shared" si="22"/>
        <v>500</v>
      </c>
      <c r="BD58" s="367">
        <f t="shared" si="22"/>
        <v>500</v>
      </c>
      <c r="BE58" s="367">
        <f t="shared" si="22"/>
        <v>500</v>
      </c>
      <c r="BF58" s="395"/>
    </row>
    <row r="59" spans="1:58" s="10" customFormat="1" x14ac:dyDescent="0.2">
      <c r="A59" s="69"/>
      <c r="B59" s="25" t="s">
        <v>1188</v>
      </c>
      <c r="C59" s="277"/>
      <c r="D59" s="277"/>
      <c r="E59" s="277"/>
      <c r="F59" s="277"/>
      <c r="G59" s="277"/>
      <c r="H59" s="247"/>
      <c r="I59" s="247"/>
      <c r="J59" s="247"/>
      <c r="K59" s="247"/>
      <c r="L59" s="247"/>
      <c r="M59" s="234"/>
      <c r="N59" s="234"/>
      <c r="O59" s="234"/>
      <c r="P59" s="234"/>
      <c r="Q59" s="234"/>
      <c r="R59" s="173"/>
      <c r="S59" s="173"/>
      <c r="T59" s="173"/>
      <c r="U59" s="173"/>
      <c r="V59" s="173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>
        <f>(260*12)</f>
        <v>3120</v>
      </c>
      <c r="AM59" s="234">
        <v>3120</v>
      </c>
      <c r="AN59" s="234">
        <f>3120+220</f>
        <v>3340</v>
      </c>
      <c r="AO59" s="234">
        <f>3120+220</f>
        <v>3340</v>
      </c>
      <c r="AP59" s="234">
        <f>3120+220</f>
        <v>3340</v>
      </c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367">
        <f t="shared" si="23"/>
        <v>3120</v>
      </c>
      <c r="BB59" s="367">
        <f t="shared" si="22"/>
        <v>3120</v>
      </c>
      <c r="BC59" s="367">
        <f t="shared" si="22"/>
        <v>3340</v>
      </c>
      <c r="BD59" s="367">
        <f t="shared" si="22"/>
        <v>3340</v>
      </c>
      <c r="BE59" s="367">
        <f t="shared" si="22"/>
        <v>3340</v>
      </c>
      <c r="BF59" s="395"/>
    </row>
    <row r="60" spans="1:58" s="10" customFormat="1" x14ac:dyDescent="0.2">
      <c r="A60" s="69"/>
      <c r="B60" s="25" t="s">
        <v>1189</v>
      </c>
      <c r="C60" s="173">
        <v>605</v>
      </c>
      <c r="D60" s="173">
        <v>605</v>
      </c>
      <c r="E60" s="173">
        <v>605</v>
      </c>
      <c r="F60" s="173">
        <v>605</v>
      </c>
      <c r="G60" s="173">
        <v>605</v>
      </c>
      <c r="H60" s="247"/>
      <c r="I60" s="247"/>
      <c r="J60" s="247"/>
      <c r="K60" s="247"/>
      <c r="L60" s="247"/>
      <c r="M60" s="234"/>
      <c r="N60" s="234"/>
      <c r="O60" s="234"/>
      <c r="P60" s="234"/>
      <c r="Q60" s="234"/>
      <c r="R60" s="173"/>
      <c r="S60" s="173"/>
      <c r="T60" s="173"/>
      <c r="U60" s="173"/>
      <c r="V60" s="173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367">
        <f t="shared" si="23"/>
        <v>605</v>
      </c>
      <c r="BB60" s="367">
        <f t="shared" si="22"/>
        <v>605</v>
      </c>
      <c r="BC60" s="367">
        <f t="shared" si="22"/>
        <v>605</v>
      </c>
      <c r="BD60" s="367">
        <f t="shared" si="22"/>
        <v>605</v>
      </c>
      <c r="BE60" s="367">
        <f t="shared" si="22"/>
        <v>605</v>
      </c>
      <c r="BF60" s="395"/>
    </row>
    <row r="61" spans="1:58" s="10" customFormat="1" x14ac:dyDescent="0.2">
      <c r="A61" s="69"/>
      <c r="B61" s="25" t="s">
        <v>765</v>
      </c>
      <c r="C61" s="173">
        <v>2000</v>
      </c>
      <c r="D61" s="173">
        <v>2000</v>
      </c>
      <c r="E61" s="173">
        <v>2000</v>
      </c>
      <c r="F61" s="173">
        <v>2000</v>
      </c>
      <c r="G61" s="173">
        <v>2000</v>
      </c>
      <c r="H61" s="247"/>
      <c r="I61" s="247"/>
      <c r="J61" s="247"/>
      <c r="K61" s="247"/>
      <c r="L61" s="247"/>
      <c r="M61" s="234"/>
      <c r="N61" s="234"/>
      <c r="O61" s="234"/>
      <c r="P61" s="234"/>
      <c r="Q61" s="234"/>
      <c r="R61" s="173"/>
      <c r="S61" s="173"/>
      <c r="T61" s="173"/>
      <c r="U61" s="173"/>
      <c r="V61" s="173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367">
        <f t="shared" si="23"/>
        <v>2000</v>
      </c>
      <c r="BB61" s="367">
        <f t="shared" si="22"/>
        <v>2000</v>
      </c>
      <c r="BC61" s="367">
        <f t="shared" si="22"/>
        <v>2000</v>
      </c>
      <c r="BD61" s="367">
        <f t="shared" si="22"/>
        <v>2000</v>
      </c>
      <c r="BE61" s="367">
        <f t="shared" si="22"/>
        <v>2000</v>
      </c>
      <c r="BF61" s="395"/>
    </row>
    <row r="62" spans="1:58" s="10" customFormat="1" x14ac:dyDescent="0.2">
      <c r="A62" s="69"/>
      <c r="B62" s="137" t="s">
        <v>470</v>
      </c>
      <c r="C62" s="173">
        <v>0</v>
      </c>
      <c r="D62" s="173">
        <v>0</v>
      </c>
      <c r="E62" s="173">
        <f>3000+1000</f>
        <v>4000</v>
      </c>
      <c r="F62" s="173">
        <f>3000+1000</f>
        <v>4000</v>
      </c>
      <c r="G62" s="173">
        <f>3000+1000</f>
        <v>4000</v>
      </c>
      <c r="H62" s="247"/>
      <c r="I62" s="247"/>
      <c r="J62" s="247"/>
      <c r="K62" s="247"/>
      <c r="L62" s="247"/>
      <c r="M62" s="234"/>
      <c r="N62" s="234"/>
      <c r="O62" s="234"/>
      <c r="P62" s="234"/>
      <c r="Q62" s="234"/>
      <c r="R62" s="173"/>
      <c r="S62" s="173"/>
      <c r="T62" s="173"/>
      <c r="U62" s="173"/>
      <c r="V62" s="173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367">
        <f t="shared" si="23"/>
        <v>0</v>
      </c>
      <c r="BB62" s="367">
        <f t="shared" si="22"/>
        <v>0</v>
      </c>
      <c r="BC62" s="367">
        <f t="shared" si="22"/>
        <v>4000</v>
      </c>
      <c r="BD62" s="367">
        <f t="shared" si="22"/>
        <v>4000</v>
      </c>
      <c r="BE62" s="367">
        <f t="shared" si="22"/>
        <v>4000</v>
      </c>
      <c r="BF62" s="395"/>
    </row>
    <row r="63" spans="1:58" s="10" customFormat="1" x14ac:dyDescent="0.2">
      <c r="A63" s="69"/>
      <c r="B63" s="137" t="s">
        <v>894</v>
      </c>
      <c r="C63" s="173">
        <v>2000</v>
      </c>
      <c r="D63" s="173">
        <v>2000</v>
      </c>
      <c r="E63" s="173">
        <v>2000</v>
      </c>
      <c r="F63" s="173">
        <v>2000</v>
      </c>
      <c r="G63" s="173">
        <v>2000</v>
      </c>
      <c r="H63" s="247"/>
      <c r="I63" s="247"/>
      <c r="J63" s="247"/>
      <c r="K63" s="247"/>
      <c r="L63" s="247"/>
      <c r="M63" s="234"/>
      <c r="N63" s="234"/>
      <c r="O63" s="234"/>
      <c r="P63" s="234"/>
      <c r="Q63" s="234"/>
      <c r="R63" s="173"/>
      <c r="S63" s="173"/>
      <c r="T63" s="173"/>
      <c r="U63" s="173"/>
      <c r="V63" s="173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367">
        <f t="shared" si="23"/>
        <v>2000</v>
      </c>
      <c r="BB63" s="367">
        <f t="shared" ref="BB63:BE78" si="24">D63+I63+N63+S63+X63+AC63+AH63+AM63+AR63+AW63</f>
        <v>2000</v>
      </c>
      <c r="BC63" s="367">
        <f t="shared" si="24"/>
        <v>2000</v>
      </c>
      <c r="BD63" s="367">
        <f t="shared" si="24"/>
        <v>2000</v>
      </c>
      <c r="BE63" s="367">
        <f t="shared" si="24"/>
        <v>2000</v>
      </c>
      <c r="BF63" s="395"/>
    </row>
    <row r="64" spans="1:58" s="10" customFormat="1" ht="13.5" thickBot="1" x14ac:dyDescent="0.25">
      <c r="A64" s="69"/>
      <c r="B64" s="25" t="s">
        <v>471</v>
      </c>
      <c r="C64" s="173">
        <v>360</v>
      </c>
      <c r="D64" s="173">
        <f>360-360</f>
        <v>0</v>
      </c>
      <c r="E64" s="173">
        <v>300</v>
      </c>
      <c r="F64" s="173">
        <v>300</v>
      </c>
      <c r="G64" s="173">
        <v>300</v>
      </c>
      <c r="H64" s="247"/>
      <c r="I64" s="247"/>
      <c r="J64" s="247"/>
      <c r="K64" s="247"/>
      <c r="L64" s="247"/>
      <c r="M64" s="234"/>
      <c r="N64" s="234"/>
      <c r="O64" s="234"/>
      <c r="P64" s="234"/>
      <c r="Q64" s="234"/>
      <c r="R64" s="173"/>
      <c r="S64" s="173"/>
      <c r="T64" s="173"/>
      <c r="U64" s="173"/>
      <c r="V64" s="173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367">
        <f t="shared" si="23"/>
        <v>360</v>
      </c>
      <c r="BB64" s="367">
        <f t="shared" si="24"/>
        <v>0</v>
      </c>
      <c r="BC64" s="367">
        <f t="shared" si="24"/>
        <v>300</v>
      </c>
      <c r="BD64" s="367">
        <f t="shared" si="24"/>
        <v>300</v>
      </c>
      <c r="BE64" s="367">
        <f t="shared" si="24"/>
        <v>300</v>
      </c>
      <c r="BF64" s="395"/>
    </row>
    <row r="65" spans="1:58" s="10" customFormat="1" ht="13.5" hidden="1" thickBot="1" x14ac:dyDescent="0.25">
      <c r="A65" s="69"/>
      <c r="B65" s="25"/>
      <c r="C65" s="173"/>
      <c r="D65" s="173"/>
      <c r="E65" s="173"/>
      <c r="F65" s="173"/>
      <c r="G65" s="173"/>
      <c r="H65" s="247"/>
      <c r="I65" s="247"/>
      <c r="J65" s="247"/>
      <c r="K65" s="247"/>
      <c r="L65" s="247"/>
      <c r="M65" s="234"/>
      <c r="N65" s="234"/>
      <c r="O65" s="234"/>
      <c r="P65" s="234"/>
      <c r="Q65" s="234"/>
      <c r="R65" s="173"/>
      <c r="S65" s="173"/>
      <c r="T65" s="173"/>
      <c r="U65" s="173"/>
      <c r="V65" s="173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367">
        <f t="shared" si="23"/>
        <v>0</v>
      </c>
      <c r="BB65" s="367">
        <f t="shared" si="24"/>
        <v>0</v>
      </c>
      <c r="BC65" s="367">
        <f t="shared" si="24"/>
        <v>0</v>
      </c>
      <c r="BD65" s="367">
        <f t="shared" si="24"/>
        <v>0</v>
      </c>
      <c r="BE65" s="367">
        <f t="shared" si="24"/>
        <v>0</v>
      </c>
      <c r="BF65" s="395"/>
    </row>
    <row r="66" spans="1:58" s="10" customFormat="1" ht="13.5" hidden="1" thickBot="1" x14ac:dyDescent="0.25">
      <c r="A66" s="69"/>
      <c r="B66" s="25"/>
      <c r="C66" s="173"/>
      <c r="D66" s="173"/>
      <c r="E66" s="173"/>
      <c r="F66" s="173"/>
      <c r="G66" s="173"/>
      <c r="H66" s="247"/>
      <c r="I66" s="247"/>
      <c r="J66" s="247"/>
      <c r="K66" s="247"/>
      <c r="L66" s="247"/>
      <c r="M66" s="234"/>
      <c r="N66" s="234"/>
      <c r="O66" s="234"/>
      <c r="P66" s="234"/>
      <c r="Q66" s="234"/>
      <c r="R66" s="173"/>
      <c r="S66" s="173"/>
      <c r="T66" s="173"/>
      <c r="U66" s="173"/>
      <c r="V66" s="173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367">
        <f t="shared" si="23"/>
        <v>0</v>
      </c>
      <c r="BB66" s="367">
        <f t="shared" si="24"/>
        <v>0</v>
      </c>
      <c r="BC66" s="367">
        <f t="shared" si="24"/>
        <v>0</v>
      </c>
      <c r="BD66" s="367">
        <f t="shared" si="24"/>
        <v>0</v>
      </c>
      <c r="BE66" s="367">
        <f t="shared" si="24"/>
        <v>0</v>
      </c>
      <c r="BF66" s="395"/>
    </row>
    <row r="67" spans="1:58" s="10" customFormat="1" ht="37.5" thickBot="1" x14ac:dyDescent="0.25">
      <c r="A67" s="352"/>
      <c r="B67" s="337" t="s">
        <v>898</v>
      </c>
      <c r="C67" s="338">
        <v>36836</v>
      </c>
      <c r="D67" s="338">
        <f>C125</f>
        <v>37351</v>
      </c>
      <c r="E67" s="338">
        <f>SUM(C125)</f>
        <v>37351</v>
      </c>
      <c r="F67" s="338">
        <f>E67</f>
        <v>37351</v>
      </c>
      <c r="G67" s="338">
        <f>E67</f>
        <v>37351</v>
      </c>
      <c r="H67" s="327"/>
      <c r="I67" s="327"/>
      <c r="J67" s="327"/>
      <c r="K67" s="327"/>
      <c r="L67" s="327"/>
      <c r="M67" s="300"/>
      <c r="N67" s="300"/>
      <c r="O67" s="300"/>
      <c r="P67" s="300"/>
      <c r="Q67" s="300"/>
      <c r="R67" s="96"/>
      <c r="S67" s="96"/>
      <c r="T67" s="96"/>
      <c r="U67" s="96"/>
      <c r="V67" s="96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67">
        <f t="shared" si="23"/>
        <v>36836</v>
      </c>
      <c r="BB67" s="367">
        <f t="shared" si="24"/>
        <v>37351</v>
      </c>
      <c r="BC67" s="367">
        <f t="shared" si="24"/>
        <v>37351</v>
      </c>
      <c r="BD67" s="367">
        <f t="shared" si="24"/>
        <v>37351</v>
      </c>
      <c r="BE67" s="367">
        <f t="shared" si="24"/>
        <v>37351</v>
      </c>
      <c r="BF67" s="395"/>
    </row>
    <row r="68" spans="1:58" s="10" customFormat="1" x14ac:dyDescent="0.2">
      <c r="A68" s="69" t="s">
        <v>280</v>
      </c>
      <c r="B68" s="192" t="s">
        <v>306</v>
      </c>
      <c r="C68" s="293"/>
      <c r="D68" s="293"/>
      <c r="E68" s="293"/>
      <c r="F68" s="293"/>
      <c r="G68" s="293"/>
      <c r="H68" s="247"/>
      <c r="I68" s="247"/>
      <c r="J68" s="247"/>
      <c r="K68" s="247"/>
      <c r="L68" s="247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367">
        <f t="shared" si="23"/>
        <v>0</v>
      </c>
      <c r="BB68" s="367">
        <f t="shared" si="24"/>
        <v>0</v>
      </c>
      <c r="BC68" s="367">
        <f t="shared" si="24"/>
        <v>0</v>
      </c>
      <c r="BD68" s="367">
        <f t="shared" si="24"/>
        <v>0</v>
      </c>
      <c r="BE68" s="367">
        <f t="shared" si="24"/>
        <v>0</v>
      </c>
      <c r="BF68" s="395"/>
    </row>
    <row r="69" spans="1:58" s="10" customFormat="1" x14ac:dyDescent="0.2">
      <c r="A69" s="69"/>
      <c r="B69" s="9" t="s">
        <v>359</v>
      </c>
      <c r="C69" s="234">
        <v>100</v>
      </c>
      <c r="D69" s="234">
        <v>100</v>
      </c>
      <c r="E69" s="234">
        <v>100</v>
      </c>
      <c r="F69" s="234">
        <v>100</v>
      </c>
      <c r="G69" s="234">
        <v>100</v>
      </c>
      <c r="H69" s="247"/>
      <c r="I69" s="247"/>
      <c r="J69" s="247"/>
      <c r="K69" s="247"/>
      <c r="L69" s="247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367">
        <f t="shared" si="23"/>
        <v>100</v>
      </c>
      <c r="BB69" s="367">
        <f t="shared" si="24"/>
        <v>100</v>
      </c>
      <c r="BC69" s="367">
        <f t="shared" si="24"/>
        <v>100</v>
      </c>
      <c r="BD69" s="367">
        <f t="shared" si="24"/>
        <v>100</v>
      </c>
      <c r="BE69" s="367">
        <f t="shared" si="24"/>
        <v>100</v>
      </c>
      <c r="BF69" s="395"/>
    </row>
    <row r="70" spans="1:58" s="10" customFormat="1" x14ac:dyDescent="0.2">
      <c r="A70" s="69"/>
      <c r="B70" s="9" t="s">
        <v>344</v>
      </c>
      <c r="C70" s="234"/>
      <c r="D70" s="234"/>
      <c r="E70" s="234"/>
      <c r="F70" s="234"/>
      <c r="G70" s="234"/>
      <c r="H70" s="247"/>
      <c r="I70" s="247"/>
      <c r="J70" s="247"/>
      <c r="K70" s="247"/>
      <c r="L70" s="247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94"/>
      <c r="X70" s="294"/>
      <c r="Y70" s="294"/>
      <c r="Z70" s="294"/>
      <c r="AA70" s="29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234"/>
      <c r="AT70" s="234"/>
      <c r="AU70" s="234"/>
      <c r="AV70" s="234">
        <v>70</v>
      </c>
      <c r="AW70" s="234">
        <v>70</v>
      </c>
      <c r="AX70" s="234">
        <v>70</v>
      </c>
      <c r="AY70" s="234">
        <v>70</v>
      </c>
      <c r="AZ70" s="234">
        <v>70</v>
      </c>
      <c r="BA70" s="367">
        <f t="shared" si="23"/>
        <v>70</v>
      </c>
      <c r="BB70" s="367">
        <f t="shared" si="24"/>
        <v>70</v>
      </c>
      <c r="BC70" s="367">
        <f t="shared" si="24"/>
        <v>70</v>
      </c>
      <c r="BD70" s="367">
        <f t="shared" si="24"/>
        <v>70</v>
      </c>
      <c r="BE70" s="367">
        <f t="shared" si="24"/>
        <v>70</v>
      </c>
      <c r="BF70" s="395"/>
    </row>
    <row r="71" spans="1:58" s="10" customFormat="1" x14ac:dyDescent="0.2">
      <c r="A71" s="69"/>
      <c r="B71" s="25" t="s">
        <v>421</v>
      </c>
      <c r="C71" s="234">
        <v>4300</v>
      </c>
      <c r="D71" s="234">
        <v>4300</v>
      </c>
      <c r="E71" s="234">
        <f>4300-500</f>
        <v>3800</v>
      </c>
      <c r="F71" s="234">
        <f>4300-500</f>
        <v>3800</v>
      </c>
      <c r="G71" s="234">
        <f>4300-500</f>
        <v>3800</v>
      </c>
      <c r="H71" s="247"/>
      <c r="I71" s="247"/>
      <c r="J71" s="247"/>
      <c r="K71" s="247"/>
      <c r="L71" s="247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367">
        <f t="shared" si="23"/>
        <v>4300</v>
      </c>
      <c r="BB71" s="367">
        <f t="shared" si="24"/>
        <v>4300</v>
      </c>
      <c r="BC71" s="367">
        <f t="shared" si="24"/>
        <v>3800</v>
      </c>
      <c r="BD71" s="367">
        <f t="shared" si="24"/>
        <v>3800</v>
      </c>
      <c r="BE71" s="367">
        <f t="shared" si="24"/>
        <v>3800</v>
      </c>
      <c r="BF71" s="395"/>
    </row>
    <row r="72" spans="1:58" s="10" customFormat="1" x14ac:dyDescent="0.2">
      <c r="A72" s="69"/>
      <c r="B72" s="25" t="s">
        <v>523</v>
      </c>
      <c r="C72" s="173">
        <v>1800</v>
      </c>
      <c r="D72" s="173">
        <v>1800</v>
      </c>
      <c r="E72" s="173">
        <f>1800-300</f>
        <v>1500</v>
      </c>
      <c r="F72" s="173">
        <f>1800-300</f>
        <v>1500</v>
      </c>
      <c r="G72" s="173">
        <f>1800-300</f>
        <v>1500</v>
      </c>
      <c r="H72" s="173">
        <v>10</v>
      </c>
      <c r="I72" s="173">
        <v>10</v>
      </c>
      <c r="J72" s="173">
        <v>10</v>
      </c>
      <c r="K72" s="173">
        <v>10</v>
      </c>
      <c r="L72" s="173">
        <v>10</v>
      </c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367">
        <f t="shared" si="23"/>
        <v>1810</v>
      </c>
      <c r="BB72" s="367">
        <f t="shared" si="24"/>
        <v>1810</v>
      </c>
      <c r="BC72" s="367">
        <f t="shared" si="24"/>
        <v>1510</v>
      </c>
      <c r="BD72" s="367">
        <f t="shared" si="24"/>
        <v>1510</v>
      </c>
      <c r="BE72" s="367">
        <f t="shared" si="24"/>
        <v>1510</v>
      </c>
      <c r="BF72" s="395"/>
    </row>
    <row r="73" spans="1:58" s="10" customFormat="1" x14ac:dyDescent="0.2">
      <c r="A73" s="69"/>
      <c r="B73" s="25" t="s">
        <v>949</v>
      </c>
      <c r="C73" s="173">
        <v>700</v>
      </c>
      <c r="D73" s="173">
        <v>700</v>
      </c>
      <c r="E73" s="173">
        <v>700</v>
      </c>
      <c r="F73" s="173">
        <v>700</v>
      </c>
      <c r="G73" s="173">
        <v>700</v>
      </c>
      <c r="H73" s="283"/>
      <c r="I73" s="283"/>
      <c r="J73" s="283"/>
      <c r="K73" s="283"/>
      <c r="L73" s="28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367">
        <f t="shared" si="23"/>
        <v>700</v>
      </c>
      <c r="BB73" s="367">
        <f t="shared" si="24"/>
        <v>700</v>
      </c>
      <c r="BC73" s="367">
        <f t="shared" si="24"/>
        <v>700</v>
      </c>
      <c r="BD73" s="367">
        <f t="shared" si="24"/>
        <v>700</v>
      </c>
      <c r="BE73" s="367">
        <f t="shared" si="24"/>
        <v>700</v>
      </c>
      <c r="BF73" s="395"/>
    </row>
    <row r="74" spans="1:58" s="10" customFormat="1" x14ac:dyDescent="0.2">
      <c r="A74" s="69"/>
      <c r="B74" s="9" t="s">
        <v>334</v>
      </c>
      <c r="C74" s="234">
        <v>20</v>
      </c>
      <c r="D74" s="234">
        <v>20</v>
      </c>
      <c r="E74" s="234">
        <v>20</v>
      </c>
      <c r="F74" s="234">
        <v>20</v>
      </c>
      <c r="G74" s="234">
        <v>20</v>
      </c>
      <c r="H74" s="247"/>
      <c r="I74" s="247"/>
      <c r="J74" s="247"/>
      <c r="K74" s="247"/>
      <c r="L74" s="247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367">
        <f t="shared" si="23"/>
        <v>20</v>
      </c>
      <c r="BB74" s="367">
        <f t="shared" si="24"/>
        <v>20</v>
      </c>
      <c r="BC74" s="367">
        <f t="shared" si="24"/>
        <v>20</v>
      </c>
      <c r="BD74" s="367">
        <f t="shared" si="24"/>
        <v>20</v>
      </c>
      <c r="BE74" s="367">
        <f t="shared" si="24"/>
        <v>20</v>
      </c>
      <c r="BF74" s="395"/>
    </row>
    <row r="75" spans="1:58" s="10" customFormat="1" x14ac:dyDescent="0.2">
      <c r="A75" s="69"/>
      <c r="B75" s="25" t="s">
        <v>495</v>
      </c>
      <c r="C75" s="173"/>
      <c r="D75" s="173"/>
      <c r="E75" s="173"/>
      <c r="F75" s="173"/>
      <c r="G75" s="173"/>
      <c r="H75" s="247"/>
      <c r="I75" s="247"/>
      <c r="J75" s="247"/>
      <c r="K75" s="247"/>
      <c r="L75" s="247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>
        <v>250</v>
      </c>
      <c r="AW75" s="234">
        <v>250</v>
      </c>
      <c r="AX75" s="234">
        <v>250</v>
      </c>
      <c r="AY75" s="234">
        <v>250</v>
      </c>
      <c r="AZ75" s="234">
        <v>250</v>
      </c>
      <c r="BA75" s="367">
        <f t="shared" si="23"/>
        <v>250</v>
      </c>
      <c r="BB75" s="367">
        <f t="shared" si="24"/>
        <v>250</v>
      </c>
      <c r="BC75" s="367">
        <f t="shared" si="24"/>
        <v>250</v>
      </c>
      <c r="BD75" s="367">
        <f t="shared" si="24"/>
        <v>250</v>
      </c>
      <c r="BE75" s="367">
        <f t="shared" si="24"/>
        <v>250</v>
      </c>
      <c r="BF75" s="395"/>
    </row>
    <row r="76" spans="1:58" s="10" customFormat="1" x14ac:dyDescent="0.2">
      <c r="A76" s="69"/>
      <c r="B76" s="25" t="s">
        <v>322</v>
      </c>
      <c r="C76" s="173">
        <v>800</v>
      </c>
      <c r="D76" s="173">
        <v>800</v>
      </c>
      <c r="E76" s="173">
        <f>800-30</f>
        <v>770</v>
      </c>
      <c r="F76" s="173">
        <f>800-30</f>
        <v>770</v>
      </c>
      <c r="G76" s="173">
        <f>800-30</f>
        <v>770</v>
      </c>
      <c r="H76" s="173">
        <v>40</v>
      </c>
      <c r="I76" s="173">
        <v>40</v>
      </c>
      <c r="J76" s="173">
        <f>40+30</f>
        <v>70</v>
      </c>
      <c r="K76" s="173">
        <f>40+30</f>
        <v>70</v>
      </c>
      <c r="L76" s="173">
        <f>40+30</f>
        <v>70</v>
      </c>
      <c r="M76" s="234"/>
      <c r="N76" s="234"/>
      <c r="O76" s="234"/>
      <c r="P76" s="234"/>
      <c r="Q76" s="234"/>
      <c r="R76" s="234">
        <v>150</v>
      </c>
      <c r="S76" s="234">
        <v>150</v>
      </c>
      <c r="T76" s="234">
        <v>150</v>
      </c>
      <c r="U76" s="234">
        <v>150</v>
      </c>
      <c r="V76" s="234">
        <v>150</v>
      </c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367">
        <f t="shared" si="23"/>
        <v>990</v>
      </c>
      <c r="BB76" s="367">
        <f t="shared" si="24"/>
        <v>990</v>
      </c>
      <c r="BC76" s="367">
        <f t="shared" si="24"/>
        <v>990</v>
      </c>
      <c r="BD76" s="367">
        <f t="shared" si="24"/>
        <v>990</v>
      </c>
      <c r="BE76" s="367">
        <f t="shared" si="24"/>
        <v>990</v>
      </c>
      <c r="BF76" s="395"/>
    </row>
    <row r="77" spans="1:58" s="10" customFormat="1" x14ac:dyDescent="0.2">
      <c r="A77" s="69"/>
      <c r="B77" s="25" t="s">
        <v>871</v>
      </c>
      <c r="C77" s="173">
        <v>700</v>
      </c>
      <c r="D77" s="173">
        <v>700</v>
      </c>
      <c r="E77" s="173">
        <v>700</v>
      </c>
      <c r="F77" s="173">
        <v>700</v>
      </c>
      <c r="G77" s="173">
        <v>700</v>
      </c>
      <c r="H77" s="247"/>
      <c r="I77" s="247"/>
      <c r="J77" s="247"/>
      <c r="K77" s="247"/>
      <c r="L77" s="247"/>
      <c r="M77" s="234"/>
      <c r="N77" s="234"/>
      <c r="O77" s="234"/>
      <c r="P77" s="234"/>
      <c r="Q77" s="234"/>
      <c r="R77" s="234">
        <v>25</v>
      </c>
      <c r="S77" s="234">
        <v>25</v>
      </c>
      <c r="T77" s="234">
        <f>25+5</f>
        <v>30</v>
      </c>
      <c r="U77" s="234">
        <f>25+5</f>
        <v>30</v>
      </c>
      <c r="V77" s="234">
        <f>25+5</f>
        <v>30</v>
      </c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367">
        <f t="shared" si="23"/>
        <v>725</v>
      </c>
      <c r="BB77" s="367">
        <f t="shared" si="24"/>
        <v>725</v>
      </c>
      <c r="BC77" s="367">
        <f t="shared" si="24"/>
        <v>730</v>
      </c>
      <c r="BD77" s="367">
        <f t="shared" si="24"/>
        <v>730</v>
      </c>
      <c r="BE77" s="367">
        <f t="shared" si="24"/>
        <v>730</v>
      </c>
      <c r="BF77" s="395"/>
    </row>
    <row r="78" spans="1:58" s="10" customFormat="1" x14ac:dyDescent="0.2">
      <c r="A78" s="69"/>
      <c r="B78" s="25" t="s">
        <v>1289</v>
      </c>
      <c r="C78" s="173">
        <v>2000</v>
      </c>
      <c r="D78" s="173">
        <f>2000+440</f>
        <v>2440</v>
      </c>
      <c r="E78" s="173">
        <f>(2000+200)+1500+500+300</f>
        <v>4500</v>
      </c>
      <c r="F78" s="173">
        <f>(2000+200)+1500+500+300</f>
        <v>4500</v>
      </c>
      <c r="G78" s="173">
        <f>(2000+200)+1500+500+300</f>
        <v>4500</v>
      </c>
      <c r="H78" s="247"/>
      <c r="I78" s="247"/>
      <c r="J78" s="247"/>
      <c r="K78" s="247"/>
      <c r="L78" s="247"/>
      <c r="M78" s="234">
        <v>0</v>
      </c>
      <c r="N78" s="234">
        <v>2000</v>
      </c>
      <c r="O78" s="234">
        <v>1876</v>
      </c>
      <c r="P78" s="234">
        <v>1876</v>
      </c>
      <c r="Q78" s="234">
        <v>1876</v>
      </c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367">
        <f t="shared" si="23"/>
        <v>2000</v>
      </c>
      <c r="BB78" s="367">
        <f t="shared" si="24"/>
        <v>4440</v>
      </c>
      <c r="BC78" s="367">
        <f t="shared" si="24"/>
        <v>6376</v>
      </c>
      <c r="BD78" s="367">
        <f t="shared" si="24"/>
        <v>6376</v>
      </c>
      <c r="BE78" s="367">
        <f t="shared" si="24"/>
        <v>6376</v>
      </c>
      <c r="BF78" s="395"/>
    </row>
    <row r="79" spans="1:58" s="10" customFormat="1" x14ac:dyDescent="0.2">
      <c r="A79" s="69"/>
      <c r="B79" s="25" t="s">
        <v>801</v>
      </c>
      <c r="C79" s="173">
        <v>1300</v>
      </c>
      <c r="D79" s="173">
        <v>1300</v>
      </c>
      <c r="E79" s="173"/>
      <c r="F79" s="173"/>
      <c r="G79" s="173"/>
      <c r="H79" s="247"/>
      <c r="I79" s="247"/>
      <c r="J79" s="247"/>
      <c r="K79" s="247"/>
      <c r="L79" s="247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367">
        <f t="shared" si="23"/>
        <v>1300</v>
      </c>
      <c r="BB79" s="367">
        <f>D79+I79+N79+S79+X79+AC79+AH79+AM79+AR79+AW79</f>
        <v>1300</v>
      </c>
      <c r="BC79" s="367"/>
      <c r="BD79" s="367"/>
      <c r="BE79" s="367"/>
      <c r="BF79" s="395"/>
    </row>
    <row r="80" spans="1:58" s="10" customFormat="1" x14ac:dyDescent="0.2">
      <c r="A80" s="69"/>
      <c r="B80" s="25" t="s">
        <v>1263</v>
      </c>
      <c r="C80" s="173">
        <v>0</v>
      </c>
      <c r="D80" s="173">
        <v>9815</v>
      </c>
      <c r="E80" s="173">
        <f>1300+1478</f>
        <v>2778</v>
      </c>
      <c r="F80" s="173">
        <f>1300+1478</f>
        <v>2778</v>
      </c>
      <c r="G80" s="173">
        <f>1300+1478</f>
        <v>2778</v>
      </c>
      <c r="H80" s="247"/>
      <c r="I80" s="247"/>
      <c r="J80" s="247"/>
      <c r="K80" s="247"/>
      <c r="L80" s="247"/>
      <c r="M80" s="234"/>
      <c r="N80" s="234"/>
      <c r="O80" s="234"/>
      <c r="P80" s="234"/>
      <c r="Q80" s="234"/>
      <c r="R80" s="173"/>
      <c r="S80" s="173"/>
      <c r="T80" s="173"/>
      <c r="U80" s="173"/>
      <c r="V80" s="173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367">
        <f t="shared" si="23"/>
        <v>0</v>
      </c>
      <c r="BB80" s="367">
        <f>D80+I80+N80+S80+X80+AC80+AH80+AM80+AR80+AW80</f>
        <v>9815</v>
      </c>
      <c r="BC80" s="367">
        <f t="shared" ref="BB80:BE96" si="25">E80+J80+O80+T80+Y80+AD80+AI80+AN80+AS80+AX80</f>
        <v>2778</v>
      </c>
      <c r="BD80" s="367">
        <f t="shared" si="25"/>
        <v>2778</v>
      </c>
      <c r="BE80" s="367">
        <f t="shared" si="25"/>
        <v>2778</v>
      </c>
      <c r="BF80" s="395"/>
    </row>
    <row r="81" spans="1:59" s="10" customFormat="1" x14ac:dyDescent="0.2">
      <c r="A81" s="351" t="s">
        <v>281</v>
      </c>
      <c r="B81" s="29" t="s">
        <v>266</v>
      </c>
      <c r="C81" s="88">
        <f t="shared" ref="C81:AD81" si="26">SUM(C82:C83)</f>
        <v>1000</v>
      </c>
      <c r="D81" s="88">
        <f>SUM(D82:D83)</f>
        <v>1000</v>
      </c>
      <c r="E81" s="88">
        <f t="shared" si="26"/>
        <v>1000</v>
      </c>
      <c r="F81" s="88">
        <f t="shared" ref="F81:L81" si="27">SUM(F82:F83)</f>
        <v>1000</v>
      </c>
      <c r="G81" s="88">
        <f t="shared" si="27"/>
        <v>1000</v>
      </c>
      <c r="H81" s="88">
        <f t="shared" si="27"/>
        <v>30</v>
      </c>
      <c r="I81" s="88">
        <f t="shared" si="27"/>
        <v>30</v>
      </c>
      <c r="J81" s="88">
        <f t="shared" si="27"/>
        <v>30</v>
      </c>
      <c r="K81" s="88">
        <f t="shared" si="27"/>
        <v>30</v>
      </c>
      <c r="L81" s="88">
        <f t="shared" si="27"/>
        <v>30</v>
      </c>
      <c r="M81" s="88">
        <f t="shared" si="26"/>
        <v>0</v>
      </c>
      <c r="N81" s="88">
        <f t="shared" si="26"/>
        <v>0</v>
      </c>
      <c r="O81" s="88">
        <f t="shared" si="26"/>
        <v>0</v>
      </c>
      <c r="P81" s="88">
        <f>SUM(P82:P83)</f>
        <v>0</v>
      </c>
      <c r="Q81" s="88">
        <f>SUM(Q82:Q83)</f>
        <v>0</v>
      </c>
      <c r="R81" s="88">
        <f t="shared" si="26"/>
        <v>0</v>
      </c>
      <c r="S81" s="88">
        <f t="shared" si="26"/>
        <v>0</v>
      </c>
      <c r="T81" s="88">
        <f t="shared" si="26"/>
        <v>0</v>
      </c>
      <c r="U81" s="88">
        <f>SUM(U82:U83)</f>
        <v>0</v>
      </c>
      <c r="V81" s="88">
        <f>SUM(V82:V83)</f>
        <v>0</v>
      </c>
      <c r="W81" s="88">
        <f t="shared" si="26"/>
        <v>150</v>
      </c>
      <c r="X81" s="88">
        <f t="shared" si="26"/>
        <v>150</v>
      </c>
      <c r="Y81" s="88">
        <f t="shared" si="26"/>
        <v>150</v>
      </c>
      <c r="Z81" s="88">
        <f>SUM(Z82:Z83)</f>
        <v>150</v>
      </c>
      <c r="AA81" s="88">
        <f>SUM(AA82:AA83)</f>
        <v>150</v>
      </c>
      <c r="AB81" s="88">
        <f t="shared" si="26"/>
        <v>0</v>
      </c>
      <c r="AC81" s="88">
        <f t="shared" si="26"/>
        <v>0</v>
      </c>
      <c r="AD81" s="88">
        <f t="shared" si="26"/>
        <v>0</v>
      </c>
      <c r="AE81" s="88">
        <f t="shared" ref="AE81:AZ81" si="28">SUM(AE82:AE83)</f>
        <v>0</v>
      </c>
      <c r="AF81" s="88">
        <f t="shared" si="28"/>
        <v>0</v>
      </c>
      <c r="AG81" s="88">
        <f t="shared" si="28"/>
        <v>0</v>
      </c>
      <c r="AH81" s="88">
        <f t="shared" si="28"/>
        <v>0</v>
      </c>
      <c r="AI81" s="88">
        <f>SUM(AI82:AI83)</f>
        <v>0</v>
      </c>
      <c r="AJ81" s="88">
        <f t="shared" si="28"/>
        <v>0</v>
      </c>
      <c r="AK81" s="88">
        <f t="shared" si="28"/>
        <v>0</v>
      </c>
      <c r="AL81" s="88">
        <f t="shared" si="28"/>
        <v>0</v>
      </c>
      <c r="AM81" s="88">
        <f>SUM(AM82:AM83)</f>
        <v>0</v>
      </c>
      <c r="AN81" s="88">
        <f>SUM(AN82:AN83)</f>
        <v>0</v>
      </c>
      <c r="AO81" s="88">
        <f>SUM(AO82:AO83)</f>
        <v>0</v>
      </c>
      <c r="AP81" s="88">
        <f t="shared" si="28"/>
        <v>0</v>
      </c>
      <c r="AQ81" s="88">
        <f t="shared" si="28"/>
        <v>0</v>
      </c>
      <c r="AR81" s="88">
        <f>SUM(AR82:AR83)</f>
        <v>0</v>
      </c>
      <c r="AS81" s="88">
        <f>SUM(AS82:AS83)</f>
        <v>0</v>
      </c>
      <c r="AT81" s="88">
        <f>SUM(AT82:AT83)</f>
        <v>0</v>
      </c>
      <c r="AU81" s="88">
        <f t="shared" si="28"/>
        <v>0</v>
      </c>
      <c r="AV81" s="88">
        <f t="shared" si="28"/>
        <v>0</v>
      </c>
      <c r="AW81" s="88">
        <f t="shared" si="28"/>
        <v>0</v>
      </c>
      <c r="AX81" s="88">
        <f t="shared" si="28"/>
        <v>0</v>
      </c>
      <c r="AY81" s="88">
        <f t="shared" si="28"/>
        <v>0</v>
      </c>
      <c r="AZ81" s="88">
        <f t="shared" si="28"/>
        <v>0</v>
      </c>
      <c r="BA81" s="925">
        <f t="shared" si="23"/>
        <v>1180</v>
      </c>
      <c r="BB81" s="925">
        <f t="shared" si="25"/>
        <v>1180</v>
      </c>
      <c r="BC81" s="925">
        <f t="shared" si="25"/>
        <v>1180</v>
      </c>
      <c r="BD81" s="925">
        <f t="shared" si="25"/>
        <v>1180</v>
      </c>
      <c r="BE81" s="925">
        <f t="shared" si="25"/>
        <v>1180</v>
      </c>
      <c r="BF81" s="395">
        <f>SUM(BA82:BA83)</f>
        <v>1180</v>
      </c>
    </row>
    <row r="82" spans="1:59" s="10" customFormat="1" x14ac:dyDescent="0.2">
      <c r="A82" s="69" t="s">
        <v>282</v>
      </c>
      <c r="B82" s="25" t="s">
        <v>305</v>
      </c>
      <c r="C82" s="173"/>
      <c r="D82" s="173"/>
      <c r="E82" s="173"/>
      <c r="F82" s="173"/>
      <c r="G82" s="173"/>
      <c r="H82" s="173">
        <v>30</v>
      </c>
      <c r="I82" s="173">
        <v>30</v>
      </c>
      <c r="J82" s="173">
        <v>30</v>
      </c>
      <c r="K82" s="173">
        <v>30</v>
      </c>
      <c r="L82" s="173">
        <v>30</v>
      </c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>
        <v>100</v>
      </c>
      <c r="X82" s="234">
        <v>100</v>
      </c>
      <c r="Y82" s="234">
        <v>100</v>
      </c>
      <c r="Z82" s="234">
        <v>100</v>
      </c>
      <c r="AA82" s="234">
        <v>100</v>
      </c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367">
        <f t="shared" si="23"/>
        <v>130</v>
      </c>
      <c r="BB82" s="367">
        <f t="shared" si="25"/>
        <v>130</v>
      </c>
      <c r="BC82" s="367">
        <f t="shared" si="25"/>
        <v>130</v>
      </c>
      <c r="BD82" s="367">
        <f t="shared" si="25"/>
        <v>130</v>
      </c>
      <c r="BE82" s="367">
        <f t="shared" si="25"/>
        <v>130</v>
      </c>
      <c r="BF82" s="395"/>
    </row>
    <row r="83" spans="1:59" s="10" customFormat="1" x14ac:dyDescent="0.2">
      <c r="A83" s="69" t="s">
        <v>283</v>
      </c>
      <c r="B83" s="25" t="s">
        <v>319</v>
      </c>
      <c r="C83" s="173">
        <v>1000</v>
      </c>
      <c r="D83" s="173">
        <v>1000</v>
      </c>
      <c r="E83" s="173">
        <v>1000</v>
      </c>
      <c r="F83" s="173">
        <v>1000</v>
      </c>
      <c r="G83" s="173">
        <v>1000</v>
      </c>
      <c r="H83" s="247"/>
      <c r="I83" s="247"/>
      <c r="J83" s="247"/>
      <c r="K83" s="247"/>
      <c r="L83" s="247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>
        <v>50</v>
      </c>
      <c r="X83" s="234">
        <v>50</v>
      </c>
      <c r="Y83" s="234">
        <v>50</v>
      </c>
      <c r="Z83" s="234">
        <v>50</v>
      </c>
      <c r="AA83" s="234">
        <v>50</v>
      </c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367">
        <f t="shared" si="23"/>
        <v>1050</v>
      </c>
      <c r="BB83" s="367">
        <f t="shared" si="25"/>
        <v>1050</v>
      </c>
      <c r="BC83" s="367">
        <f t="shared" si="25"/>
        <v>1050</v>
      </c>
      <c r="BD83" s="367">
        <f t="shared" si="25"/>
        <v>1050</v>
      </c>
      <c r="BE83" s="367">
        <f t="shared" si="25"/>
        <v>1050</v>
      </c>
      <c r="BF83" s="395"/>
    </row>
    <row r="84" spans="1:59" x14ac:dyDescent="0.2">
      <c r="A84" s="351" t="s">
        <v>284</v>
      </c>
      <c r="B84" s="29" t="s">
        <v>267</v>
      </c>
      <c r="C84" s="88">
        <f t="shared" ref="C84:AH84" si="29">SUM(C85:C91)</f>
        <v>179336</v>
      </c>
      <c r="D84" s="88">
        <f>SUM(D85:D91)</f>
        <v>183586</v>
      </c>
      <c r="E84" s="88" t="e">
        <f t="shared" si="29"/>
        <v>#REF!</v>
      </c>
      <c r="F84" s="88">
        <f t="shared" si="29"/>
        <v>129010</v>
      </c>
      <c r="G84" s="88">
        <f t="shared" si="29"/>
        <v>129010</v>
      </c>
      <c r="H84" s="88">
        <f t="shared" si="29"/>
        <v>100</v>
      </c>
      <c r="I84" s="88">
        <f t="shared" si="29"/>
        <v>125</v>
      </c>
      <c r="J84" s="88">
        <f t="shared" si="29"/>
        <v>133</v>
      </c>
      <c r="K84" s="88">
        <f t="shared" si="29"/>
        <v>133</v>
      </c>
      <c r="L84" s="88">
        <f t="shared" si="29"/>
        <v>133</v>
      </c>
      <c r="M84" s="88">
        <f t="shared" si="29"/>
        <v>5594</v>
      </c>
      <c r="N84" s="88">
        <f t="shared" si="29"/>
        <v>5594</v>
      </c>
      <c r="O84" s="88">
        <f t="shared" si="29"/>
        <v>6100</v>
      </c>
      <c r="P84" s="88">
        <f t="shared" si="29"/>
        <v>6100</v>
      </c>
      <c r="Q84" s="88">
        <f t="shared" si="29"/>
        <v>6100</v>
      </c>
      <c r="R84" s="88">
        <f t="shared" si="29"/>
        <v>750</v>
      </c>
      <c r="S84" s="88">
        <f t="shared" si="29"/>
        <v>770</v>
      </c>
      <c r="T84" s="88">
        <f t="shared" si="29"/>
        <v>775</v>
      </c>
      <c r="U84" s="88">
        <f t="shared" si="29"/>
        <v>775</v>
      </c>
      <c r="V84" s="88">
        <f t="shared" si="29"/>
        <v>775</v>
      </c>
      <c r="W84" s="88">
        <f t="shared" si="29"/>
        <v>1200</v>
      </c>
      <c r="X84" s="88">
        <f t="shared" si="29"/>
        <v>1200</v>
      </c>
      <c r="Y84" s="88">
        <f t="shared" si="29"/>
        <v>1200</v>
      </c>
      <c r="Z84" s="88">
        <f t="shared" si="29"/>
        <v>1200</v>
      </c>
      <c r="AA84" s="88">
        <f t="shared" si="29"/>
        <v>1200</v>
      </c>
      <c r="AB84" s="88">
        <f t="shared" si="29"/>
        <v>1782</v>
      </c>
      <c r="AC84" s="88">
        <f t="shared" si="29"/>
        <v>1782</v>
      </c>
      <c r="AD84" s="88">
        <f t="shared" si="29"/>
        <v>2582</v>
      </c>
      <c r="AE84" s="88">
        <f t="shared" si="29"/>
        <v>2582</v>
      </c>
      <c r="AF84" s="88">
        <f t="shared" si="29"/>
        <v>2582</v>
      </c>
      <c r="AG84" s="88">
        <f t="shared" si="29"/>
        <v>0</v>
      </c>
      <c r="AH84" s="88">
        <f t="shared" si="29"/>
        <v>0</v>
      </c>
      <c r="AI84" s="88">
        <f t="shared" ref="AI84:AZ84" si="30">SUM(AI85:AI91)</f>
        <v>298</v>
      </c>
      <c r="AJ84" s="88">
        <f t="shared" si="30"/>
        <v>298</v>
      </c>
      <c r="AK84" s="88">
        <f t="shared" si="30"/>
        <v>298</v>
      </c>
      <c r="AL84" s="88">
        <f t="shared" si="30"/>
        <v>0</v>
      </c>
      <c r="AM84" s="88">
        <f t="shared" si="30"/>
        <v>0</v>
      </c>
      <c r="AN84" s="88">
        <f t="shared" si="30"/>
        <v>0</v>
      </c>
      <c r="AO84" s="88">
        <f t="shared" si="30"/>
        <v>0</v>
      </c>
      <c r="AP84" s="88">
        <f t="shared" si="30"/>
        <v>0</v>
      </c>
      <c r="AQ84" s="88">
        <f t="shared" si="30"/>
        <v>20</v>
      </c>
      <c r="AR84" s="88">
        <f t="shared" si="30"/>
        <v>0</v>
      </c>
      <c r="AS84" s="88">
        <f t="shared" si="30"/>
        <v>30</v>
      </c>
      <c r="AT84" s="88">
        <f t="shared" si="30"/>
        <v>30</v>
      </c>
      <c r="AU84" s="88">
        <f t="shared" si="30"/>
        <v>30</v>
      </c>
      <c r="AV84" s="88">
        <f t="shared" si="30"/>
        <v>550</v>
      </c>
      <c r="AW84" s="88">
        <f t="shared" si="30"/>
        <v>525</v>
      </c>
      <c r="AX84" s="88">
        <f t="shared" si="30"/>
        <v>650</v>
      </c>
      <c r="AY84" s="88">
        <f t="shared" si="30"/>
        <v>650</v>
      </c>
      <c r="AZ84" s="88">
        <f t="shared" si="30"/>
        <v>650</v>
      </c>
      <c r="BA84" s="925">
        <f t="shared" si="23"/>
        <v>189332</v>
      </c>
      <c r="BB84" s="925">
        <f t="shared" si="25"/>
        <v>193582</v>
      </c>
      <c r="BC84" s="925" t="e">
        <f t="shared" si="25"/>
        <v>#REF!</v>
      </c>
      <c r="BD84" s="925">
        <f t="shared" si="25"/>
        <v>140778</v>
      </c>
      <c r="BE84" s="925">
        <f t="shared" si="25"/>
        <v>140778</v>
      </c>
      <c r="BF84" s="395">
        <f>SUM(BA85:BA91)</f>
        <v>189332</v>
      </c>
      <c r="BG84" s="86"/>
    </row>
    <row r="85" spans="1:59" x14ac:dyDescent="0.2">
      <c r="A85" s="69" t="s">
        <v>285</v>
      </c>
      <c r="B85" s="25" t="s">
        <v>295</v>
      </c>
      <c r="C85" s="173">
        <f>(6000+9511)</f>
        <v>15511</v>
      </c>
      <c r="D85" s="173">
        <f>(6000+9511)+2650+97</f>
        <v>18258</v>
      </c>
      <c r="E85" s="173">
        <f>((6000+12777)+810)+216-489+62+547+37-800-8</f>
        <v>19152</v>
      </c>
      <c r="F85" s="173">
        <f>((6000+12777)+810)+216-489+62+547+37-800-8</f>
        <v>19152</v>
      </c>
      <c r="G85" s="173">
        <f>((6000+12777)+810)+216-489+62+547+37-800-8</f>
        <v>19152</v>
      </c>
      <c r="H85" s="173">
        <v>50</v>
      </c>
      <c r="I85" s="173">
        <v>50</v>
      </c>
      <c r="J85" s="173">
        <f>50+8</f>
        <v>58</v>
      </c>
      <c r="K85" s="173">
        <f>50+8</f>
        <v>58</v>
      </c>
      <c r="L85" s="173">
        <f>50+8</f>
        <v>58</v>
      </c>
      <c r="M85" s="234">
        <f>(2160+3434)</f>
        <v>5594</v>
      </c>
      <c r="N85" s="234">
        <f>(2160+3434)</f>
        <v>5594</v>
      </c>
      <c r="O85" s="234">
        <f>(2160+3434)+506</f>
        <v>6100</v>
      </c>
      <c r="P85" s="234">
        <f>(2160+3434)+506</f>
        <v>6100</v>
      </c>
      <c r="Q85" s="234">
        <f>(2160+3434)+506</f>
        <v>6100</v>
      </c>
      <c r="R85" s="234">
        <v>700</v>
      </c>
      <c r="S85" s="234">
        <f>700+10</f>
        <v>710</v>
      </c>
      <c r="T85" s="234">
        <v>700</v>
      </c>
      <c r="U85" s="234">
        <v>700</v>
      </c>
      <c r="V85" s="234">
        <v>700</v>
      </c>
      <c r="W85" s="234">
        <v>1200</v>
      </c>
      <c r="X85" s="234">
        <v>1200</v>
      </c>
      <c r="Y85" s="234">
        <v>1200</v>
      </c>
      <c r="Z85" s="234">
        <v>1200</v>
      </c>
      <c r="AA85" s="234">
        <v>1200</v>
      </c>
      <c r="AB85" s="234">
        <v>1782</v>
      </c>
      <c r="AC85" s="234">
        <v>1782</v>
      </c>
      <c r="AD85" s="234">
        <f>1782+800</f>
        <v>2582</v>
      </c>
      <c r="AE85" s="234">
        <f>1782+800</f>
        <v>2582</v>
      </c>
      <c r="AF85" s="234">
        <f>1782+800</f>
        <v>2582</v>
      </c>
      <c r="AG85" s="234">
        <v>0</v>
      </c>
      <c r="AH85" s="234">
        <v>0</v>
      </c>
      <c r="AI85" s="234">
        <v>298</v>
      </c>
      <c r="AJ85" s="234">
        <v>298</v>
      </c>
      <c r="AK85" s="234">
        <v>298</v>
      </c>
      <c r="AL85" s="234"/>
      <c r="AM85" s="234"/>
      <c r="AN85" s="234"/>
      <c r="AO85" s="234"/>
      <c r="AP85" s="234"/>
      <c r="AQ85" s="234">
        <v>10</v>
      </c>
      <c r="AR85" s="234">
        <f>10-10</f>
        <v>0</v>
      </c>
      <c r="AS85" s="234">
        <v>10</v>
      </c>
      <c r="AT85" s="234">
        <v>10</v>
      </c>
      <c r="AU85" s="234">
        <v>10</v>
      </c>
      <c r="AV85" s="234">
        <v>350</v>
      </c>
      <c r="AW85" s="234">
        <v>350</v>
      </c>
      <c r="AX85" s="234">
        <v>350</v>
      </c>
      <c r="AY85" s="234">
        <v>350</v>
      </c>
      <c r="AZ85" s="234">
        <v>350</v>
      </c>
      <c r="BA85" s="367">
        <f t="shared" si="23"/>
        <v>25197</v>
      </c>
      <c r="BB85" s="367">
        <f t="shared" si="25"/>
        <v>27944</v>
      </c>
      <c r="BC85" s="367">
        <f t="shared" si="25"/>
        <v>30450</v>
      </c>
      <c r="BD85" s="367">
        <f t="shared" si="25"/>
        <v>30450</v>
      </c>
      <c r="BE85" s="367">
        <f t="shared" si="25"/>
        <v>30450</v>
      </c>
      <c r="BF85" s="395"/>
    </row>
    <row r="86" spans="1:59" x14ac:dyDescent="0.2">
      <c r="A86" s="69" t="s">
        <v>286</v>
      </c>
      <c r="B86" s="799" t="s">
        <v>950</v>
      </c>
      <c r="C86" s="651">
        <v>157132</v>
      </c>
      <c r="D86" s="651">
        <f>AQ111</f>
        <v>157132</v>
      </c>
      <c r="E86" s="173" t="e">
        <f>SUM(#REF!)</f>
        <v>#REF!</v>
      </c>
      <c r="F86" s="173">
        <v>97056</v>
      </c>
      <c r="G86" s="173">
        <v>97056</v>
      </c>
      <c r="H86" s="247"/>
      <c r="I86" s="247"/>
      <c r="J86" s="247"/>
      <c r="K86" s="247"/>
      <c r="L86" s="247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367">
        <f t="shared" si="23"/>
        <v>157132</v>
      </c>
      <c r="BB86" s="367">
        <f t="shared" si="25"/>
        <v>157132</v>
      </c>
      <c r="BC86" s="367" t="e">
        <f t="shared" si="25"/>
        <v>#REF!</v>
      </c>
      <c r="BD86" s="367">
        <f t="shared" si="25"/>
        <v>97056</v>
      </c>
      <c r="BE86" s="367">
        <f t="shared" si="25"/>
        <v>97056</v>
      </c>
      <c r="BF86" s="395"/>
    </row>
    <row r="87" spans="1:59" x14ac:dyDescent="0.2">
      <c r="A87" s="69" t="s">
        <v>287</v>
      </c>
      <c r="B87" s="25" t="s">
        <v>945</v>
      </c>
      <c r="C87" s="173">
        <v>3643</v>
      </c>
      <c r="D87" s="173">
        <v>3643</v>
      </c>
      <c r="E87" s="173">
        <f>(2126+2004)</f>
        <v>4130</v>
      </c>
      <c r="F87" s="173">
        <f>(2126+2004)</f>
        <v>4130</v>
      </c>
      <c r="G87" s="173">
        <f>(2126+2004)</f>
        <v>4130</v>
      </c>
      <c r="H87" s="247"/>
      <c r="I87" s="247"/>
      <c r="J87" s="247"/>
      <c r="K87" s="247"/>
      <c r="L87" s="247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367">
        <f t="shared" si="23"/>
        <v>3643</v>
      </c>
      <c r="BB87" s="367">
        <f t="shared" si="25"/>
        <v>3643</v>
      </c>
      <c r="BC87" s="367">
        <f t="shared" si="25"/>
        <v>4130</v>
      </c>
      <c r="BD87" s="367">
        <f t="shared" si="25"/>
        <v>4130</v>
      </c>
      <c r="BE87" s="367">
        <f t="shared" si="25"/>
        <v>4130</v>
      </c>
      <c r="BF87" s="395"/>
    </row>
    <row r="88" spans="1:59" x14ac:dyDescent="0.2">
      <c r="A88" s="69" t="s">
        <v>289</v>
      </c>
      <c r="B88" s="25" t="s">
        <v>59</v>
      </c>
      <c r="C88" s="173"/>
      <c r="D88" s="173"/>
      <c r="E88" s="173"/>
      <c r="F88" s="173"/>
      <c r="G88" s="173"/>
      <c r="H88" s="173">
        <v>25</v>
      </c>
      <c r="I88" s="173">
        <f>25+25</f>
        <v>50</v>
      </c>
      <c r="J88" s="173">
        <v>25</v>
      </c>
      <c r="K88" s="173">
        <v>25</v>
      </c>
      <c r="L88" s="173">
        <v>25</v>
      </c>
      <c r="M88" s="173"/>
      <c r="N88" s="173"/>
      <c r="O88" s="173"/>
      <c r="P88" s="173"/>
      <c r="Q88" s="173"/>
      <c r="R88" s="173">
        <v>25</v>
      </c>
      <c r="S88" s="173">
        <v>25</v>
      </c>
      <c r="T88" s="173">
        <v>25</v>
      </c>
      <c r="U88" s="173">
        <v>25</v>
      </c>
      <c r="V88" s="173">
        <v>25</v>
      </c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>
        <v>100</v>
      </c>
      <c r="AW88" s="173">
        <f>100-25</f>
        <v>75</v>
      </c>
      <c r="AX88" s="173">
        <v>100</v>
      </c>
      <c r="AY88" s="173">
        <v>100</v>
      </c>
      <c r="AZ88" s="173">
        <v>100</v>
      </c>
      <c r="BA88" s="367">
        <f t="shared" si="23"/>
        <v>150</v>
      </c>
      <c r="BB88" s="367">
        <f t="shared" si="25"/>
        <v>150</v>
      </c>
      <c r="BC88" s="367">
        <f t="shared" si="25"/>
        <v>150</v>
      </c>
      <c r="BD88" s="367">
        <f t="shared" si="25"/>
        <v>150</v>
      </c>
      <c r="BE88" s="367">
        <f t="shared" si="25"/>
        <v>150</v>
      </c>
      <c r="BF88" s="395"/>
    </row>
    <row r="89" spans="1:59" x14ac:dyDescent="0.2">
      <c r="A89" s="69"/>
      <c r="B89" s="25" t="s">
        <v>944</v>
      </c>
      <c r="C89" s="173">
        <v>50</v>
      </c>
      <c r="D89" s="173">
        <v>50</v>
      </c>
      <c r="E89" s="173">
        <v>100</v>
      </c>
      <c r="F89" s="173">
        <v>100</v>
      </c>
      <c r="G89" s="173">
        <v>100</v>
      </c>
      <c r="H89" s="247"/>
      <c r="I89" s="247"/>
      <c r="J89" s="247"/>
      <c r="K89" s="247"/>
      <c r="L89" s="247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367">
        <f t="shared" si="23"/>
        <v>50</v>
      </c>
      <c r="BB89" s="367">
        <f t="shared" si="25"/>
        <v>50</v>
      </c>
      <c r="BC89" s="367">
        <f t="shared" si="25"/>
        <v>100</v>
      </c>
      <c r="BD89" s="367">
        <f t="shared" si="25"/>
        <v>100</v>
      </c>
      <c r="BE89" s="367">
        <f t="shared" si="25"/>
        <v>100</v>
      </c>
      <c r="BF89" s="395"/>
    </row>
    <row r="90" spans="1:59" x14ac:dyDescent="0.2">
      <c r="A90" s="69"/>
      <c r="B90" s="25" t="s">
        <v>953</v>
      </c>
      <c r="C90" s="173">
        <v>3000</v>
      </c>
      <c r="D90" s="173">
        <f>3000+143+1000</f>
        <v>4143</v>
      </c>
      <c r="E90" s="173">
        <f t="shared" ref="E90:G91" si="31">3000+686+600</f>
        <v>4286</v>
      </c>
      <c r="F90" s="173">
        <f t="shared" si="31"/>
        <v>4286</v>
      </c>
      <c r="G90" s="173">
        <f t="shared" si="31"/>
        <v>4286</v>
      </c>
      <c r="H90" s="173">
        <v>25</v>
      </c>
      <c r="I90" s="173">
        <v>25</v>
      </c>
      <c r="J90" s="173">
        <v>25</v>
      </c>
      <c r="K90" s="173">
        <v>25</v>
      </c>
      <c r="L90" s="173">
        <v>25</v>
      </c>
      <c r="M90" s="234"/>
      <c r="N90" s="234"/>
      <c r="O90" s="234"/>
      <c r="P90" s="234"/>
      <c r="Q90" s="234"/>
      <c r="R90" s="234">
        <v>25</v>
      </c>
      <c r="S90" s="234">
        <f>25+10</f>
        <v>35</v>
      </c>
      <c r="T90" s="234">
        <v>25</v>
      </c>
      <c r="U90" s="234">
        <v>25</v>
      </c>
      <c r="V90" s="234">
        <v>25</v>
      </c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>
        <v>10</v>
      </c>
      <c r="AR90" s="234">
        <f>10-10</f>
        <v>0</v>
      </c>
      <c r="AS90" s="234">
        <v>10</v>
      </c>
      <c r="AT90" s="234">
        <v>10</v>
      </c>
      <c r="AU90" s="234">
        <v>10</v>
      </c>
      <c r="AV90" s="234">
        <v>100</v>
      </c>
      <c r="AW90" s="234">
        <v>100</v>
      </c>
      <c r="AX90" s="234">
        <v>100</v>
      </c>
      <c r="AY90" s="234">
        <v>100</v>
      </c>
      <c r="AZ90" s="234">
        <v>100</v>
      </c>
      <c r="BA90" s="367">
        <f t="shared" si="23"/>
        <v>3160</v>
      </c>
      <c r="BB90" s="367">
        <f>D90+I90+N90+S90+X90+AC90+AH90+AM90+AR90+AW90</f>
        <v>4303</v>
      </c>
      <c r="BC90" s="367"/>
      <c r="BD90" s="367"/>
      <c r="BE90" s="367"/>
      <c r="BF90" s="395"/>
    </row>
    <row r="91" spans="1:59" x14ac:dyDescent="0.2">
      <c r="A91" s="69"/>
      <c r="B91" s="25" t="s">
        <v>471</v>
      </c>
      <c r="C91" s="173">
        <v>0</v>
      </c>
      <c r="D91" s="173">
        <v>360</v>
      </c>
      <c r="E91" s="173">
        <f t="shared" si="31"/>
        <v>4286</v>
      </c>
      <c r="F91" s="173">
        <f t="shared" si="31"/>
        <v>4286</v>
      </c>
      <c r="G91" s="173">
        <f t="shared" si="31"/>
        <v>4286</v>
      </c>
      <c r="H91" s="173"/>
      <c r="I91" s="173"/>
      <c r="J91" s="173">
        <v>25</v>
      </c>
      <c r="K91" s="173">
        <v>25</v>
      </c>
      <c r="L91" s="173">
        <v>25</v>
      </c>
      <c r="M91" s="234"/>
      <c r="N91" s="234"/>
      <c r="O91" s="234"/>
      <c r="P91" s="234"/>
      <c r="Q91" s="234"/>
      <c r="R91" s="234"/>
      <c r="S91" s="234"/>
      <c r="T91" s="234">
        <v>25</v>
      </c>
      <c r="U91" s="234">
        <v>25</v>
      </c>
      <c r="V91" s="234">
        <v>25</v>
      </c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>
        <v>10</v>
      </c>
      <c r="AT91" s="234">
        <v>10</v>
      </c>
      <c r="AU91" s="234">
        <v>10</v>
      </c>
      <c r="AV91" s="234"/>
      <c r="AW91" s="234"/>
      <c r="AX91" s="234">
        <v>100</v>
      </c>
      <c r="AY91" s="234">
        <v>100</v>
      </c>
      <c r="AZ91" s="234">
        <v>100</v>
      </c>
      <c r="BA91" s="367">
        <f t="shared" ref="BA91:BA98" si="32">C91+H91+M91+R91+W91+AB91+AG91+AL91+AQ91+AV91</f>
        <v>0</v>
      </c>
      <c r="BB91" s="367">
        <f t="shared" si="25"/>
        <v>360</v>
      </c>
      <c r="BC91" s="367">
        <f t="shared" si="25"/>
        <v>4446</v>
      </c>
      <c r="BD91" s="367">
        <f t="shared" si="25"/>
        <v>4446</v>
      </c>
      <c r="BE91" s="367">
        <f t="shared" si="25"/>
        <v>4446</v>
      </c>
      <c r="BF91" s="395"/>
    </row>
    <row r="92" spans="1:59" x14ac:dyDescent="0.2">
      <c r="A92" s="351" t="s">
        <v>300</v>
      </c>
      <c r="B92" s="135" t="s">
        <v>31</v>
      </c>
      <c r="C92" s="172">
        <f t="shared" ref="C92:AH92" si="33">SUM(C28+C37+C40+C81+C84)</f>
        <v>244081</v>
      </c>
      <c r="D92" s="172">
        <f t="shared" si="33"/>
        <v>260422</v>
      </c>
      <c r="E92" s="172" t="e">
        <f t="shared" si="33"/>
        <v>#REF!</v>
      </c>
      <c r="F92" s="172">
        <f t="shared" si="33"/>
        <v>201053</v>
      </c>
      <c r="G92" s="172">
        <f t="shared" si="33"/>
        <v>201053</v>
      </c>
      <c r="H92" s="172">
        <f t="shared" si="33"/>
        <v>385</v>
      </c>
      <c r="I92" s="172">
        <f t="shared" si="33"/>
        <v>419</v>
      </c>
      <c r="J92" s="172">
        <f t="shared" si="33"/>
        <v>448</v>
      </c>
      <c r="K92" s="172">
        <f t="shared" si="33"/>
        <v>448</v>
      </c>
      <c r="L92" s="172">
        <f t="shared" si="33"/>
        <v>448</v>
      </c>
      <c r="M92" s="172">
        <f t="shared" si="33"/>
        <v>26314</v>
      </c>
      <c r="N92" s="172">
        <f t="shared" si="33"/>
        <v>32314</v>
      </c>
      <c r="O92" s="172">
        <f t="shared" si="33"/>
        <v>29461</v>
      </c>
      <c r="P92" s="172">
        <f t="shared" si="33"/>
        <v>29461</v>
      </c>
      <c r="Q92" s="172">
        <f t="shared" si="33"/>
        <v>29461</v>
      </c>
      <c r="R92" s="172">
        <f t="shared" si="33"/>
        <v>13758</v>
      </c>
      <c r="S92" s="172">
        <f t="shared" si="33"/>
        <v>13853</v>
      </c>
      <c r="T92" s="172">
        <f t="shared" si="33"/>
        <v>13696</v>
      </c>
      <c r="U92" s="172">
        <f t="shared" si="33"/>
        <v>13696</v>
      </c>
      <c r="V92" s="172">
        <f t="shared" si="33"/>
        <v>13696</v>
      </c>
      <c r="W92" s="172">
        <f t="shared" si="33"/>
        <v>5681</v>
      </c>
      <c r="X92" s="172">
        <f t="shared" si="33"/>
        <v>5491</v>
      </c>
      <c r="Y92" s="172">
        <f t="shared" si="33"/>
        <v>5526</v>
      </c>
      <c r="Z92" s="172">
        <f t="shared" si="33"/>
        <v>5526</v>
      </c>
      <c r="AA92" s="172">
        <f t="shared" si="33"/>
        <v>5526</v>
      </c>
      <c r="AB92" s="172">
        <f t="shared" si="33"/>
        <v>8382</v>
      </c>
      <c r="AC92" s="172">
        <f t="shared" si="33"/>
        <v>10382</v>
      </c>
      <c r="AD92" s="172">
        <f t="shared" si="33"/>
        <v>12182</v>
      </c>
      <c r="AE92" s="172">
        <f t="shared" si="33"/>
        <v>12182</v>
      </c>
      <c r="AF92" s="172">
        <f t="shared" si="33"/>
        <v>12182</v>
      </c>
      <c r="AG92" s="172">
        <f t="shared" si="33"/>
        <v>0</v>
      </c>
      <c r="AH92" s="172">
        <f t="shared" si="33"/>
        <v>0</v>
      </c>
      <c r="AI92" s="172">
        <f t="shared" ref="AI92:AZ92" si="34">SUM(AI28+AI37+AI40+AI81+AI84)</f>
        <v>1402</v>
      </c>
      <c r="AJ92" s="172">
        <f t="shared" si="34"/>
        <v>1402</v>
      </c>
      <c r="AK92" s="172">
        <f t="shared" si="34"/>
        <v>1402</v>
      </c>
      <c r="AL92" s="172">
        <f t="shared" si="34"/>
        <v>3120</v>
      </c>
      <c r="AM92" s="172">
        <f t="shared" si="34"/>
        <v>3120</v>
      </c>
      <c r="AN92" s="172">
        <f t="shared" si="34"/>
        <v>3340</v>
      </c>
      <c r="AO92" s="172">
        <f t="shared" si="34"/>
        <v>3340</v>
      </c>
      <c r="AP92" s="172">
        <f t="shared" si="34"/>
        <v>3340</v>
      </c>
      <c r="AQ92" s="172">
        <f t="shared" si="34"/>
        <v>95</v>
      </c>
      <c r="AR92" s="172">
        <f t="shared" si="34"/>
        <v>0</v>
      </c>
      <c r="AS92" s="172">
        <f t="shared" si="34"/>
        <v>105</v>
      </c>
      <c r="AT92" s="172">
        <f t="shared" si="34"/>
        <v>105</v>
      </c>
      <c r="AU92" s="172">
        <f t="shared" si="34"/>
        <v>105</v>
      </c>
      <c r="AV92" s="172">
        <f t="shared" si="34"/>
        <v>1910</v>
      </c>
      <c r="AW92" s="172">
        <f t="shared" si="34"/>
        <v>1885</v>
      </c>
      <c r="AX92" s="172">
        <f t="shared" si="34"/>
        <v>2055</v>
      </c>
      <c r="AY92" s="172">
        <f t="shared" si="34"/>
        <v>2055</v>
      </c>
      <c r="AZ92" s="172">
        <f t="shared" si="34"/>
        <v>2055</v>
      </c>
      <c r="BA92" s="172">
        <f t="shared" si="32"/>
        <v>303726</v>
      </c>
      <c r="BB92" s="172">
        <f t="shared" si="25"/>
        <v>327886</v>
      </c>
      <c r="BC92" s="172" t="e">
        <f t="shared" si="25"/>
        <v>#REF!</v>
      </c>
      <c r="BD92" s="172">
        <f t="shared" si="25"/>
        <v>269268</v>
      </c>
      <c r="BE92" s="172">
        <f t="shared" si="25"/>
        <v>269268</v>
      </c>
      <c r="BF92" s="395">
        <f>SUM(BA28+BA37+BA40+BA81+BA84)</f>
        <v>303726</v>
      </c>
    </row>
    <row r="93" spans="1:59" x14ac:dyDescent="0.2">
      <c r="A93" s="353" t="s">
        <v>299</v>
      </c>
      <c r="B93" s="135" t="s">
        <v>518</v>
      </c>
      <c r="C93" s="172">
        <v>300</v>
      </c>
      <c r="D93" s="172">
        <v>300</v>
      </c>
      <c r="E93" s="172">
        <v>300</v>
      </c>
      <c r="F93" s="172">
        <v>300</v>
      </c>
      <c r="G93" s="172">
        <v>300</v>
      </c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>
        <v>9000</v>
      </c>
      <c r="AH93" s="172">
        <v>9000</v>
      </c>
      <c r="AI93" s="172">
        <v>9000</v>
      </c>
      <c r="AJ93" s="172">
        <v>9000</v>
      </c>
      <c r="AK93" s="172">
        <v>9000</v>
      </c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>
        <f t="shared" si="32"/>
        <v>9300</v>
      </c>
      <c r="BB93" s="172">
        <f t="shared" si="25"/>
        <v>9300</v>
      </c>
      <c r="BC93" s="172">
        <f t="shared" si="25"/>
        <v>9300</v>
      </c>
      <c r="BD93" s="172">
        <f t="shared" si="25"/>
        <v>9300</v>
      </c>
      <c r="BE93" s="172">
        <f t="shared" si="25"/>
        <v>9300</v>
      </c>
      <c r="BF93" s="395"/>
    </row>
    <row r="94" spans="1:59" ht="13.5" thickBot="1" x14ac:dyDescent="0.25">
      <c r="A94" s="353" t="s">
        <v>329</v>
      </c>
      <c r="B94" s="176" t="s">
        <v>428</v>
      </c>
      <c r="C94" s="172">
        <f>SUM('4. Átadott p.eszk.'!B76)</f>
        <v>385336</v>
      </c>
      <c r="D94" s="172">
        <f>SUM('4. Átadott p.eszk.'!C76)</f>
        <v>388888</v>
      </c>
      <c r="E94" s="172">
        <f>SUM('4. Átadott p.eszk.'!D76)</f>
        <v>346152</v>
      </c>
      <c r="F94" s="172">
        <f>SUM('4. Átadott p.eszk.'!E76)</f>
        <v>346152</v>
      </c>
      <c r="G94" s="172">
        <f>SUM('4. Átadott p.eszk.'!F76)</f>
        <v>346152</v>
      </c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72">
        <f t="shared" si="32"/>
        <v>385336</v>
      </c>
      <c r="BB94" s="172">
        <f t="shared" si="25"/>
        <v>388888</v>
      </c>
      <c r="BC94" s="172">
        <f t="shared" si="25"/>
        <v>346152</v>
      </c>
      <c r="BD94" s="172">
        <f t="shared" si="25"/>
        <v>346152</v>
      </c>
      <c r="BE94" s="172">
        <f t="shared" si="25"/>
        <v>346152</v>
      </c>
      <c r="BF94" s="395"/>
    </row>
    <row r="95" spans="1:59" ht="15.75" customHeight="1" thickBot="1" x14ac:dyDescent="0.3">
      <c r="A95" s="353"/>
      <c r="B95" s="263" t="s">
        <v>10</v>
      </c>
      <c r="C95" s="182">
        <f t="shared" ref="C95:AH95" si="35">SUM(C23+C27+C92+C93+C94)</f>
        <v>650375</v>
      </c>
      <c r="D95" s="182">
        <f t="shared" si="35"/>
        <v>669755</v>
      </c>
      <c r="E95" s="182" t="e">
        <f t="shared" si="35"/>
        <v>#REF!</v>
      </c>
      <c r="F95" s="182">
        <f t="shared" si="35"/>
        <v>561903</v>
      </c>
      <c r="G95" s="182">
        <f t="shared" si="35"/>
        <v>561903</v>
      </c>
      <c r="H95" s="182">
        <f t="shared" si="35"/>
        <v>9341</v>
      </c>
      <c r="I95" s="182">
        <f t="shared" si="35"/>
        <v>10086</v>
      </c>
      <c r="J95" s="182">
        <f t="shared" si="35"/>
        <v>9979</v>
      </c>
      <c r="K95" s="182">
        <f t="shared" si="35"/>
        <v>9979</v>
      </c>
      <c r="L95" s="182">
        <f t="shared" si="35"/>
        <v>9979</v>
      </c>
      <c r="M95" s="182">
        <f t="shared" si="35"/>
        <v>26314</v>
      </c>
      <c r="N95" s="182">
        <f t="shared" si="35"/>
        <v>32314</v>
      </c>
      <c r="O95" s="182">
        <f t="shared" si="35"/>
        <v>29461</v>
      </c>
      <c r="P95" s="182">
        <f t="shared" si="35"/>
        <v>29461</v>
      </c>
      <c r="Q95" s="182">
        <f t="shared" si="35"/>
        <v>29461</v>
      </c>
      <c r="R95" s="182">
        <f t="shared" si="35"/>
        <v>13758</v>
      </c>
      <c r="S95" s="182">
        <f t="shared" si="35"/>
        <v>13853</v>
      </c>
      <c r="T95" s="182">
        <f t="shared" si="35"/>
        <v>13696</v>
      </c>
      <c r="U95" s="182">
        <f t="shared" si="35"/>
        <v>13696</v>
      </c>
      <c r="V95" s="182">
        <f t="shared" si="35"/>
        <v>13696</v>
      </c>
      <c r="W95" s="182">
        <f t="shared" si="35"/>
        <v>16519</v>
      </c>
      <c r="X95" s="182">
        <f t="shared" si="35"/>
        <v>16644</v>
      </c>
      <c r="Y95" s="182">
        <f t="shared" si="35"/>
        <v>16558</v>
      </c>
      <c r="Z95" s="182">
        <f t="shared" si="35"/>
        <v>16558</v>
      </c>
      <c r="AA95" s="182">
        <f t="shared" si="35"/>
        <v>16558</v>
      </c>
      <c r="AB95" s="182">
        <f t="shared" si="35"/>
        <v>10139</v>
      </c>
      <c r="AC95" s="182">
        <f t="shared" si="35"/>
        <v>12337</v>
      </c>
      <c r="AD95" s="182">
        <f t="shared" si="35"/>
        <v>14014</v>
      </c>
      <c r="AE95" s="182">
        <f t="shared" si="35"/>
        <v>14014</v>
      </c>
      <c r="AF95" s="182">
        <f t="shared" si="35"/>
        <v>14014</v>
      </c>
      <c r="AG95" s="182">
        <f t="shared" si="35"/>
        <v>9000</v>
      </c>
      <c r="AH95" s="182">
        <f t="shared" si="35"/>
        <v>9000</v>
      </c>
      <c r="AI95" s="182">
        <f t="shared" ref="AI95:AZ95" si="36">SUM(AI23+AI27+AI92+AI93+AI94)</f>
        <v>10402</v>
      </c>
      <c r="AJ95" s="182">
        <f t="shared" si="36"/>
        <v>10402</v>
      </c>
      <c r="AK95" s="182">
        <f t="shared" si="36"/>
        <v>10402</v>
      </c>
      <c r="AL95" s="182">
        <f t="shared" si="36"/>
        <v>3120</v>
      </c>
      <c r="AM95" s="182">
        <f t="shared" si="36"/>
        <v>3120</v>
      </c>
      <c r="AN95" s="182">
        <f t="shared" si="36"/>
        <v>3340</v>
      </c>
      <c r="AO95" s="182">
        <f t="shared" si="36"/>
        <v>3340</v>
      </c>
      <c r="AP95" s="182">
        <f t="shared" si="36"/>
        <v>3340</v>
      </c>
      <c r="AQ95" s="182">
        <f t="shared" si="36"/>
        <v>95</v>
      </c>
      <c r="AR95" s="182">
        <f t="shared" si="36"/>
        <v>0</v>
      </c>
      <c r="AS95" s="182">
        <f t="shared" si="36"/>
        <v>105</v>
      </c>
      <c r="AT95" s="182">
        <f t="shared" si="36"/>
        <v>105</v>
      </c>
      <c r="AU95" s="182">
        <f t="shared" si="36"/>
        <v>105</v>
      </c>
      <c r="AV95" s="182">
        <f t="shared" si="36"/>
        <v>5586</v>
      </c>
      <c r="AW95" s="182">
        <f t="shared" si="36"/>
        <v>5681</v>
      </c>
      <c r="AX95" s="182">
        <f t="shared" si="36"/>
        <v>5806</v>
      </c>
      <c r="AY95" s="182">
        <f t="shared" si="36"/>
        <v>5806</v>
      </c>
      <c r="AZ95" s="182">
        <f t="shared" si="36"/>
        <v>5806</v>
      </c>
      <c r="BA95" s="182">
        <f t="shared" si="32"/>
        <v>744247</v>
      </c>
      <c r="BB95" s="182">
        <f t="shared" si="25"/>
        <v>772790</v>
      </c>
      <c r="BC95" s="182" t="e">
        <f t="shared" si="25"/>
        <v>#REF!</v>
      </c>
      <c r="BD95" s="182">
        <f t="shared" si="25"/>
        <v>665264</v>
      </c>
      <c r="BE95" s="182">
        <f t="shared" si="25"/>
        <v>665264</v>
      </c>
      <c r="BF95" s="395">
        <f>SUM(BA23+BA27+BA92+BA93+BA94)</f>
        <v>744247</v>
      </c>
      <c r="BG95" s="86"/>
    </row>
    <row r="96" spans="1:59" ht="15.75" thickBot="1" x14ac:dyDescent="0.3">
      <c r="A96" s="353" t="s">
        <v>330</v>
      </c>
      <c r="B96" s="261" t="s">
        <v>427</v>
      </c>
      <c r="C96" s="262">
        <f>SUM('3.felh'!C38+'3.felh'!C59+'3.felh'!C73)</f>
        <v>862038</v>
      </c>
      <c r="D96" s="262">
        <f>SUM('3.felh'!D38+'3.felh'!D59+'3.felh'!D73)</f>
        <v>982742</v>
      </c>
      <c r="E96" s="262">
        <f>SUM('3.felh'!E38+'3.felh'!E59+'3.felh'!E73)</f>
        <v>823680</v>
      </c>
      <c r="F96" s="262">
        <f>SUM('3.felh'!F38+'3.felh'!F59+'3.felh'!F73)</f>
        <v>823680</v>
      </c>
      <c r="G96" s="262">
        <f>SUM('3.felh'!G38+'3.felh'!G59+'3.felh'!G73)</f>
        <v>823680</v>
      </c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>
        <f t="shared" si="32"/>
        <v>862038</v>
      </c>
      <c r="BB96" s="262">
        <f t="shared" si="25"/>
        <v>982742</v>
      </c>
      <c r="BC96" s="262">
        <f t="shared" si="25"/>
        <v>823680</v>
      </c>
      <c r="BD96" s="262">
        <f t="shared" si="25"/>
        <v>823680</v>
      </c>
      <c r="BE96" s="262">
        <f t="shared" si="25"/>
        <v>823680</v>
      </c>
      <c r="BF96" s="395"/>
    </row>
    <row r="97" spans="1:59" ht="20.25" thickBot="1" x14ac:dyDescent="0.4">
      <c r="A97" s="352"/>
      <c r="B97" s="253" t="s">
        <v>7</v>
      </c>
      <c r="C97" s="254">
        <f t="shared" ref="C97:AD97" si="37">SUM(C95+C96)</f>
        <v>1512413</v>
      </c>
      <c r="D97" s="254">
        <f t="shared" si="37"/>
        <v>1652497</v>
      </c>
      <c r="E97" s="254" t="e">
        <f t="shared" si="37"/>
        <v>#REF!</v>
      </c>
      <c r="F97" s="254">
        <f t="shared" si="37"/>
        <v>1385583</v>
      </c>
      <c r="G97" s="254">
        <f t="shared" si="37"/>
        <v>1385583</v>
      </c>
      <c r="H97" s="254">
        <f>SUM(H95+H96)</f>
        <v>9341</v>
      </c>
      <c r="I97" s="254">
        <f>SUM(I95+I96)</f>
        <v>10086</v>
      </c>
      <c r="J97" s="254">
        <f>SUM(J95+J96)</f>
        <v>9979</v>
      </c>
      <c r="K97" s="254">
        <f>SUM(K95+K96)</f>
        <v>9979</v>
      </c>
      <c r="L97" s="254">
        <f>SUM(L95+L96)</f>
        <v>9979</v>
      </c>
      <c r="M97" s="254">
        <f t="shared" si="37"/>
        <v>26314</v>
      </c>
      <c r="N97" s="254">
        <f t="shared" si="37"/>
        <v>32314</v>
      </c>
      <c r="O97" s="254">
        <f t="shared" si="37"/>
        <v>29461</v>
      </c>
      <c r="P97" s="254">
        <f t="shared" si="37"/>
        <v>29461</v>
      </c>
      <c r="Q97" s="254">
        <f t="shared" si="37"/>
        <v>29461</v>
      </c>
      <c r="R97" s="254">
        <f t="shared" si="37"/>
        <v>13758</v>
      </c>
      <c r="S97" s="254">
        <f t="shared" si="37"/>
        <v>13853</v>
      </c>
      <c r="T97" s="254">
        <f t="shared" si="37"/>
        <v>13696</v>
      </c>
      <c r="U97" s="254">
        <f t="shared" si="37"/>
        <v>13696</v>
      </c>
      <c r="V97" s="254">
        <f t="shared" si="37"/>
        <v>13696</v>
      </c>
      <c r="W97" s="254">
        <f t="shared" si="37"/>
        <v>16519</v>
      </c>
      <c r="X97" s="254">
        <f t="shared" si="37"/>
        <v>16644</v>
      </c>
      <c r="Y97" s="254">
        <f t="shared" si="37"/>
        <v>16558</v>
      </c>
      <c r="Z97" s="254">
        <f t="shared" si="37"/>
        <v>16558</v>
      </c>
      <c r="AA97" s="254">
        <f t="shared" si="37"/>
        <v>16558</v>
      </c>
      <c r="AB97" s="254">
        <f t="shared" si="37"/>
        <v>10139</v>
      </c>
      <c r="AC97" s="254">
        <f t="shared" si="37"/>
        <v>12337</v>
      </c>
      <c r="AD97" s="254">
        <f t="shared" si="37"/>
        <v>14014</v>
      </c>
      <c r="AE97" s="254">
        <f t="shared" ref="AE97:AZ97" si="38">SUM(AE95+AE96)</f>
        <v>14014</v>
      </c>
      <c r="AF97" s="254">
        <f t="shared" si="38"/>
        <v>14014</v>
      </c>
      <c r="AG97" s="254">
        <f t="shared" si="38"/>
        <v>9000</v>
      </c>
      <c r="AH97" s="254">
        <f t="shared" si="38"/>
        <v>9000</v>
      </c>
      <c r="AI97" s="254">
        <f>SUM(AI95+AI96)</f>
        <v>10402</v>
      </c>
      <c r="AJ97" s="254">
        <f t="shared" si="38"/>
        <v>10402</v>
      </c>
      <c r="AK97" s="254">
        <f t="shared" si="38"/>
        <v>10402</v>
      </c>
      <c r="AL97" s="254">
        <f t="shared" si="38"/>
        <v>3120</v>
      </c>
      <c r="AM97" s="254">
        <f>SUM(AM95+AM96)</f>
        <v>3120</v>
      </c>
      <c r="AN97" s="254">
        <f>SUM(AN95+AN96)</f>
        <v>3340</v>
      </c>
      <c r="AO97" s="254">
        <f>SUM(AO95+AO96)</f>
        <v>3340</v>
      </c>
      <c r="AP97" s="254">
        <f t="shared" si="38"/>
        <v>3340</v>
      </c>
      <c r="AQ97" s="254">
        <f t="shared" si="38"/>
        <v>95</v>
      </c>
      <c r="AR97" s="254">
        <f>SUM(AR95+AR96)</f>
        <v>0</v>
      </c>
      <c r="AS97" s="254">
        <f>SUM(AS95+AS96)</f>
        <v>105</v>
      </c>
      <c r="AT97" s="254">
        <f>SUM(AT95+AT96)</f>
        <v>105</v>
      </c>
      <c r="AU97" s="254">
        <f t="shared" si="38"/>
        <v>105</v>
      </c>
      <c r="AV97" s="254">
        <f t="shared" si="38"/>
        <v>5586</v>
      </c>
      <c r="AW97" s="254">
        <f t="shared" si="38"/>
        <v>5681</v>
      </c>
      <c r="AX97" s="254">
        <f t="shared" si="38"/>
        <v>5806</v>
      </c>
      <c r="AY97" s="254">
        <f t="shared" si="38"/>
        <v>5806</v>
      </c>
      <c r="AZ97" s="254">
        <f t="shared" si="38"/>
        <v>5806</v>
      </c>
      <c r="BA97" s="254">
        <f t="shared" si="32"/>
        <v>1606285</v>
      </c>
      <c r="BB97" s="254">
        <f t="shared" ref="BB97:BE98" si="39">D97+I97+N97+S97+X97+AC97+AH97+AM97+AR97+AW97</f>
        <v>1755532</v>
      </c>
      <c r="BC97" s="254" t="e">
        <f t="shared" si="39"/>
        <v>#REF!</v>
      </c>
      <c r="BD97" s="254">
        <f t="shared" si="39"/>
        <v>1488944</v>
      </c>
      <c r="BE97" s="254">
        <f t="shared" si="39"/>
        <v>1488944</v>
      </c>
      <c r="BF97" s="395">
        <f>SUM(BA23+BA27+BA92+BA93+BA94+BA96)</f>
        <v>1606285</v>
      </c>
    </row>
    <row r="98" spans="1:59" ht="13.5" thickBot="1" x14ac:dyDescent="0.25">
      <c r="A98" s="366"/>
      <c r="B98" s="251" t="s">
        <v>60</v>
      </c>
      <c r="C98" s="295">
        <v>1</v>
      </c>
      <c r="D98" s="295">
        <v>1</v>
      </c>
      <c r="E98" s="295">
        <v>1</v>
      </c>
      <c r="F98" s="295">
        <v>1</v>
      </c>
      <c r="G98" s="295">
        <v>1</v>
      </c>
      <c r="H98" s="295">
        <v>2</v>
      </c>
      <c r="I98" s="295">
        <v>2</v>
      </c>
      <c r="J98" s="295">
        <v>2</v>
      </c>
      <c r="K98" s="295">
        <v>2</v>
      </c>
      <c r="L98" s="295">
        <v>2</v>
      </c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>
        <v>3</v>
      </c>
      <c r="X98" s="295">
        <v>3</v>
      </c>
      <c r="Y98" s="295">
        <v>3</v>
      </c>
      <c r="Z98" s="295">
        <v>3</v>
      </c>
      <c r="AA98" s="295">
        <v>3</v>
      </c>
      <c r="AB98" s="295">
        <v>1</v>
      </c>
      <c r="AC98" s="295">
        <v>1</v>
      </c>
      <c r="AD98" s="295">
        <v>1</v>
      </c>
      <c r="AE98" s="295">
        <v>1</v>
      </c>
      <c r="AF98" s="295">
        <v>1</v>
      </c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>
        <v>1</v>
      </c>
      <c r="AW98" s="295">
        <v>1</v>
      </c>
      <c r="AX98" s="295">
        <v>1</v>
      </c>
      <c r="AY98" s="295">
        <v>1</v>
      </c>
      <c r="AZ98" s="295">
        <v>1</v>
      </c>
      <c r="BA98" s="295">
        <f t="shared" si="32"/>
        <v>8</v>
      </c>
      <c r="BB98" s="295">
        <f t="shared" si="39"/>
        <v>8</v>
      </c>
      <c r="BC98" s="295">
        <f t="shared" si="39"/>
        <v>8</v>
      </c>
      <c r="BD98" s="295">
        <f t="shared" si="39"/>
        <v>8</v>
      </c>
      <c r="BE98" s="295">
        <f t="shared" si="39"/>
        <v>8</v>
      </c>
      <c r="BF98" s="395"/>
      <c r="BG98" s="86"/>
    </row>
    <row r="99" spans="1:59" s="10" customFormat="1" ht="6" customHeight="1" x14ac:dyDescent="0.2">
      <c r="A99" s="201"/>
      <c r="B99" s="252"/>
      <c r="C99" s="3"/>
      <c r="D99" s="3"/>
      <c r="E99" s="3"/>
      <c r="F99" s="3"/>
      <c r="G99" s="3"/>
      <c r="H99" s="11"/>
      <c r="I99" s="11"/>
      <c r="J99" s="11"/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50"/>
      <c r="BF99" s="395"/>
    </row>
    <row r="100" spans="1:59" s="10" customFormat="1" hidden="1" x14ac:dyDescent="0.2">
      <c r="A100" s="201"/>
      <c r="B100"/>
      <c r="C100"/>
      <c r="D100"/>
      <c r="E100"/>
      <c r="F100"/>
      <c r="G100"/>
      <c r="L100"/>
      <c r="M100"/>
      <c r="N100"/>
      <c r="O100"/>
      <c r="P100" s="246"/>
      <c r="Q100" s="246"/>
      <c r="R100" s="246"/>
      <c r="S100" s="246"/>
      <c r="T100" s="246"/>
      <c r="U100" s="246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 s="395"/>
    </row>
    <row r="101" spans="1:59" s="10" customFormat="1" hidden="1" x14ac:dyDescent="0.2">
      <c r="A101" s="201"/>
      <c r="B101"/>
      <c r="C101" s="86"/>
      <c r="D101" s="86"/>
      <c r="E101" s="86"/>
      <c r="F101" s="86"/>
      <c r="G101" s="86"/>
      <c r="H101" s="45"/>
      <c r="I101" s="45"/>
      <c r="J101" s="45"/>
      <c r="K101" s="45"/>
      <c r="L101" s="86"/>
      <c r="M101" s="86"/>
      <c r="N101" s="86"/>
      <c r="O101" s="86"/>
      <c r="P101"/>
      <c r="Q101"/>
      <c r="R101"/>
      <c r="S101"/>
      <c r="T101"/>
      <c r="U101"/>
      <c r="V101" s="255" t="s">
        <v>419</v>
      </c>
      <c r="W101" s="255"/>
      <c r="X101" s="255"/>
      <c r="Y101" s="255"/>
      <c r="Z101" s="255">
        <v>300</v>
      </c>
      <c r="AA101" s="255"/>
      <c r="AB101" s="255"/>
      <c r="AC101" s="255"/>
      <c r="AD101" s="255"/>
      <c r="AE101" s="255">
        <v>236</v>
      </c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/>
      <c r="BB101"/>
      <c r="BC101"/>
      <c r="BD101"/>
      <c r="BE101"/>
      <c r="BF101" s="395"/>
    </row>
    <row r="102" spans="1:59" s="10" customFormat="1" hidden="1" x14ac:dyDescent="0.2">
      <c r="A102" s="201"/>
      <c r="B102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/>
      <c r="Q102"/>
      <c r="R102"/>
      <c r="S102"/>
      <c r="T102"/>
      <c r="U102"/>
      <c r="V102" s="255" t="s">
        <v>420</v>
      </c>
      <c r="W102" s="255"/>
      <c r="X102" s="255"/>
      <c r="Y102" s="255"/>
      <c r="Z102" s="255">
        <v>700</v>
      </c>
      <c r="AA102" s="255"/>
      <c r="AB102" s="255"/>
      <c r="AC102" s="255"/>
      <c r="AD102" s="255"/>
      <c r="AE102" s="255">
        <v>551</v>
      </c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/>
      <c r="BB102"/>
      <c r="BC102"/>
      <c r="BD102"/>
      <c r="BE102"/>
      <c r="BF102" s="395"/>
    </row>
    <row r="103" spans="1:59" s="10" customFormat="1" hidden="1" x14ac:dyDescent="0.2">
      <c r="A103" s="201"/>
      <c r="B103"/>
      <c r="C103" s="249"/>
      <c r="D103" s="249"/>
      <c r="E103" s="249"/>
      <c r="F103" s="249"/>
      <c r="G103" s="249"/>
      <c r="H103" s="199"/>
      <c r="I103" s="199"/>
      <c r="J103" s="199"/>
      <c r="K103" s="199"/>
      <c r="L103" s="199"/>
      <c r="M103" s="199"/>
      <c r="N103" s="199"/>
      <c r="O103" s="199"/>
      <c r="P103"/>
      <c r="Q103"/>
      <c r="R103"/>
      <c r="S103"/>
      <c r="T103"/>
      <c r="U103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/>
      <c r="BB103"/>
      <c r="BC103"/>
      <c r="BD103"/>
      <c r="BE103"/>
      <c r="BF103" s="395"/>
    </row>
    <row r="104" spans="1:59" s="10" customFormat="1" x14ac:dyDescent="0.2">
      <c r="A104" s="201"/>
      <c r="B104" s="369" t="s">
        <v>514</v>
      </c>
      <c r="C104" s="604"/>
      <c r="E104" s="605"/>
      <c r="F104" s="605"/>
      <c r="G104" s="605"/>
      <c r="Q104"/>
      <c r="R104"/>
      <c r="S104"/>
      <c r="T104"/>
      <c r="U104"/>
      <c r="V104" s="369"/>
      <c r="W104" s="256"/>
      <c r="X104" s="256"/>
      <c r="Y104" s="256"/>
      <c r="Z104" s="256"/>
      <c r="AE104" s="604"/>
      <c r="AF104" s="605"/>
      <c r="AL104"/>
      <c r="AM104"/>
      <c r="AN104"/>
      <c r="AO104"/>
      <c r="AP104"/>
      <c r="AQ104" s="256"/>
      <c r="AR104" s="256"/>
      <c r="AS104" s="256"/>
      <c r="AT104" s="256"/>
      <c r="AU104" s="256"/>
      <c r="BF104" s="395"/>
    </row>
    <row r="105" spans="1:59" s="10" customFormat="1" x14ac:dyDescent="0.2">
      <c r="A105" s="201"/>
      <c r="B105" s="369" t="s">
        <v>1161</v>
      </c>
      <c r="C105" s="199" t="s">
        <v>418</v>
      </c>
      <c r="F105" s="199"/>
      <c r="G105" s="199"/>
      <c r="H105" s="199" t="s">
        <v>321</v>
      </c>
      <c r="M105" s="199" t="s">
        <v>896</v>
      </c>
      <c r="Q105"/>
      <c r="R105"/>
      <c r="S105"/>
      <c r="T105"/>
      <c r="V105" s="369"/>
      <c r="X105" s="364"/>
      <c r="Y105" s="364"/>
      <c r="Z105" s="364"/>
      <c r="AA105" s="612"/>
      <c r="AB105" s="612"/>
      <c r="AC105" s="612"/>
      <c r="AD105" s="612"/>
      <c r="AE105" s="687"/>
      <c r="AF105" s="687"/>
      <c r="AG105" s="612"/>
      <c r="AH105" s="612"/>
      <c r="AI105" s="612"/>
      <c r="AJ105" s="612"/>
      <c r="AK105" s="612"/>
      <c r="AL105" s="364"/>
      <c r="AM105" s="364"/>
      <c r="AN105" s="364"/>
      <c r="AO105" s="364"/>
      <c r="AP105" s="364"/>
      <c r="AQ105" s="364"/>
      <c r="AR105" s="364"/>
      <c r="AS105" s="364"/>
      <c r="AT105" s="364"/>
      <c r="AU105" s="364"/>
      <c r="AV105" s="612"/>
      <c r="AW105" s="612"/>
      <c r="AX105" s="612"/>
      <c r="AY105" s="612"/>
      <c r="AZ105" s="612"/>
      <c r="BA105" s="392"/>
      <c r="BB105" s="45"/>
      <c r="BC105" s="45"/>
      <c r="BD105" s="45"/>
      <c r="BF105" s="395"/>
    </row>
    <row r="106" spans="1:59" s="10" customFormat="1" x14ac:dyDescent="0.2">
      <c r="A106" s="201"/>
      <c r="B106" s="808" t="s">
        <v>958</v>
      </c>
      <c r="C106" s="802">
        <v>9440</v>
      </c>
      <c r="D106" s="803"/>
      <c r="E106" s="803"/>
      <c r="F106" s="802"/>
      <c r="G106" s="804"/>
      <c r="H106" s="805">
        <f>SUM(C106*0.27)</f>
        <v>2548.8000000000002</v>
      </c>
      <c r="I106" s="805"/>
      <c r="J106" s="805"/>
      <c r="K106" s="805"/>
      <c r="L106" s="806"/>
      <c r="M106" s="805">
        <f t="shared" ref="M106:M123" si="40">SUM(C106+H106)</f>
        <v>11988.8</v>
      </c>
      <c r="N106" s="45"/>
      <c r="O106" s="45"/>
      <c r="P106" s="45"/>
      <c r="Q106" s="86"/>
      <c r="R106" s="714"/>
      <c r="S106" s="86"/>
      <c r="T106" s="86"/>
      <c r="U106" s="45"/>
      <c r="V106" s="45"/>
      <c r="X106" s="716"/>
      <c r="Y106" s="716"/>
      <c r="Z106" s="716"/>
      <c r="AA106" s="392"/>
      <c r="AB106" s="717" t="s">
        <v>1160</v>
      </c>
      <c r="AC106" s="392"/>
      <c r="AD106" s="392"/>
      <c r="AE106" s="392"/>
      <c r="AF106" s="392"/>
      <c r="AG106" s="392"/>
      <c r="AH106" s="612"/>
      <c r="AI106" s="612"/>
      <c r="AJ106" s="612"/>
      <c r="AK106" s="612"/>
      <c r="AL106" s="364"/>
      <c r="AM106" s="364"/>
      <c r="AN106" s="364"/>
      <c r="AO106" s="364"/>
      <c r="AP106" s="364"/>
      <c r="AQ106" s="364"/>
      <c r="AR106" s="364"/>
      <c r="AS106" s="364"/>
      <c r="AT106" s="364"/>
      <c r="AU106" s="364"/>
      <c r="AV106" s="612"/>
      <c r="AW106" s="612"/>
      <c r="AX106" s="612"/>
      <c r="AY106" s="612"/>
      <c r="AZ106" s="612"/>
      <c r="BA106" s="364"/>
      <c r="BB106"/>
      <c r="BC106"/>
      <c r="BD106"/>
      <c r="BE106"/>
      <c r="BF106" s="395"/>
    </row>
    <row r="107" spans="1:59" s="10" customFormat="1" x14ac:dyDescent="0.2">
      <c r="A107" s="201"/>
      <c r="B107" s="808" t="s">
        <v>965</v>
      </c>
      <c r="C107" s="802">
        <v>1449</v>
      </c>
      <c r="D107" s="803"/>
      <c r="E107" s="803"/>
      <c r="F107" s="802"/>
      <c r="G107" s="804"/>
      <c r="H107" s="805">
        <f>SUM(C107*0.27)</f>
        <v>391.23</v>
      </c>
      <c r="I107" s="805"/>
      <c r="J107" s="805"/>
      <c r="K107" s="805"/>
      <c r="L107" s="806"/>
      <c r="M107" s="805">
        <f t="shared" si="40"/>
        <v>1840.23</v>
      </c>
      <c r="N107" s="45"/>
      <c r="O107" s="45"/>
      <c r="P107" s="45"/>
      <c r="Q107" s="86"/>
      <c r="R107" s="714"/>
      <c r="S107" s="86"/>
      <c r="T107" s="86"/>
      <c r="U107" s="45"/>
      <c r="V107" s="45"/>
      <c r="X107" s="716"/>
      <c r="Y107" s="716"/>
      <c r="Z107" s="716"/>
      <c r="AA107" s="392"/>
      <c r="AB107" s="672"/>
      <c r="AC107" s="392"/>
      <c r="AD107" s="392"/>
      <c r="AE107" s="392"/>
      <c r="AF107" s="392"/>
      <c r="AG107" s="392"/>
      <c r="AH107" s="612"/>
      <c r="AI107" s="612"/>
      <c r="AJ107" s="612"/>
      <c r="AK107" s="612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612"/>
      <c r="AW107" s="612"/>
      <c r="AX107" s="612"/>
      <c r="AY107" s="612"/>
      <c r="AZ107" s="612"/>
      <c r="BA107" s="364"/>
      <c r="BB107"/>
      <c r="BC107"/>
      <c r="BD107"/>
      <c r="BE107"/>
      <c r="BF107" s="395"/>
    </row>
    <row r="108" spans="1:59" s="10" customFormat="1" x14ac:dyDescent="0.2">
      <c r="A108" s="201"/>
      <c r="B108" s="808" t="s">
        <v>966</v>
      </c>
      <c r="C108" s="802">
        <v>300</v>
      </c>
      <c r="D108" s="803"/>
      <c r="E108" s="803"/>
      <c r="F108" s="802"/>
      <c r="G108" s="804"/>
      <c r="H108" s="805">
        <v>0</v>
      </c>
      <c r="I108" s="805"/>
      <c r="J108" s="805"/>
      <c r="K108" s="805"/>
      <c r="L108" s="806"/>
      <c r="M108" s="805">
        <f t="shared" si="40"/>
        <v>300</v>
      </c>
      <c r="N108" s="45"/>
      <c r="O108" s="45"/>
      <c r="P108" s="45"/>
      <c r="Q108" s="86"/>
      <c r="R108" s="714"/>
      <c r="S108" s="86"/>
      <c r="T108" s="86"/>
      <c r="U108" s="45"/>
      <c r="V108" s="45"/>
      <c r="X108" s="716"/>
      <c r="Y108" s="716"/>
      <c r="Z108" s="716"/>
      <c r="AA108" s="392"/>
      <c r="AB108" s="672" t="s">
        <v>951</v>
      </c>
      <c r="AC108" s="392"/>
      <c r="AD108" s="392"/>
      <c r="AE108" s="392"/>
      <c r="AF108" s="392"/>
      <c r="AG108" s="392"/>
      <c r="AH108" s="612"/>
      <c r="AI108" s="612"/>
      <c r="AJ108" s="612"/>
      <c r="AK108" s="612"/>
      <c r="AL108" s="364"/>
      <c r="AM108" s="364"/>
      <c r="AN108" s="364"/>
      <c r="AO108" s="364"/>
      <c r="AP108" s="364"/>
      <c r="AQ108" s="716">
        <v>112886</v>
      </c>
      <c r="AR108" s="716"/>
      <c r="AS108" s="716"/>
      <c r="AT108" s="716"/>
      <c r="AU108" s="716"/>
      <c r="AV108" s="392"/>
      <c r="AW108" s="612"/>
      <c r="AX108" s="612"/>
      <c r="AY108" s="612"/>
      <c r="AZ108" s="612"/>
      <c r="BA108" s="364"/>
      <c r="BB108"/>
      <c r="BC108"/>
      <c r="BD108"/>
      <c r="BE108"/>
      <c r="BF108" s="395"/>
    </row>
    <row r="109" spans="1:59" s="10" customFormat="1" x14ac:dyDescent="0.2">
      <c r="A109" s="201"/>
      <c r="B109" s="808" t="s">
        <v>1170</v>
      </c>
      <c r="C109" s="802">
        <v>450</v>
      </c>
      <c r="D109" s="803"/>
      <c r="E109" s="803"/>
      <c r="F109" s="802"/>
      <c r="G109" s="804"/>
      <c r="H109" s="805">
        <v>0</v>
      </c>
      <c r="I109" s="805"/>
      <c r="J109" s="805"/>
      <c r="K109" s="805"/>
      <c r="L109" s="806"/>
      <c r="M109" s="805">
        <f t="shared" si="40"/>
        <v>450</v>
      </c>
      <c r="N109" s="45"/>
      <c r="O109" s="45"/>
      <c r="P109" s="45"/>
      <c r="Q109" s="86"/>
      <c r="R109" s="714"/>
      <c r="S109" s="86"/>
      <c r="T109" s="86"/>
      <c r="U109" s="45"/>
      <c r="V109" s="45"/>
      <c r="X109" s="716"/>
      <c r="Y109" s="716"/>
      <c r="Z109" s="716"/>
      <c r="AA109" s="392"/>
      <c r="AB109" s="716" t="s">
        <v>1168</v>
      </c>
      <c r="AC109" s="392"/>
      <c r="AD109" s="392"/>
      <c r="AE109" s="392"/>
      <c r="AF109" s="392"/>
      <c r="AG109" s="392"/>
      <c r="AH109" s="612"/>
      <c r="AI109" s="612"/>
      <c r="AJ109" s="612"/>
      <c r="AK109" s="612"/>
      <c r="AL109" s="364"/>
      <c r="AM109" s="364"/>
      <c r="AN109" s="364"/>
      <c r="AO109" s="364"/>
      <c r="AP109" s="364"/>
      <c r="AQ109" s="716">
        <v>39246</v>
      </c>
      <c r="AR109" s="716"/>
      <c r="AS109" s="716"/>
      <c r="AT109" s="716"/>
      <c r="AU109" s="716"/>
      <c r="AV109" s="392"/>
      <c r="AW109" s="612"/>
      <c r="AX109" s="612"/>
      <c r="AY109" s="612"/>
      <c r="AZ109" s="612"/>
      <c r="BA109" s="364"/>
      <c r="BB109"/>
      <c r="BC109"/>
      <c r="BD109"/>
      <c r="BE109"/>
      <c r="BF109" s="395"/>
    </row>
    <row r="110" spans="1:59" s="10" customFormat="1" x14ac:dyDescent="0.2">
      <c r="A110" s="201"/>
      <c r="B110" s="808" t="s">
        <v>967</v>
      </c>
      <c r="C110" s="802">
        <v>171</v>
      </c>
      <c r="D110" s="803"/>
      <c r="E110" s="803"/>
      <c r="F110" s="802"/>
      <c r="G110" s="804"/>
      <c r="H110" s="805">
        <f>SUM(C110*0.27)</f>
        <v>46.17</v>
      </c>
      <c r="I110" s="805"/>
      <c r="J110" s="805"/>
      <c r="K110" s="805"/>
      <c r="L110" s="806"/>
      <c r="M110" s="805">
        <f t="shared" si="40"/>
        <v>217.17000000000002</v>
      </c>
      <c r="N110" s="45"/>
      <c r="O110" s="45"/>
      <c r="P110" s="45"/>
      <c r="Q110" s="86"/>
      <c r="R110" s="714"/>
      <c r="S110" s="86"/>
      <c r="T110" s="86"/>
      <c r="U110" s="45"/>
      <c r="V110" s="45"/>
      <c r="X110" s="716"/>
      <c r="Y110" s="716"/>
      <c r="Z110" s="716"/>
      <c r="AA110" s="392"/>
      <c r="AB110" s="716" t="s">
        <v>954</v>
      </c>
      <c r="AC110" s="392"/>
      <c r="AD110" s="392"/>
      <c r="AE110" s="392"/>
      <c r="AF110" s="392"/>
      <c r="AG110" s="392"/>
      <c r="AH110" s="612"/>
      <c r="AI110" s="612"/>
      <c r="AJ110" s="612"/>
      <c r="AK110" s="612"/>
      <c r="AL110" s="364"/>
      <c r="AM110" s="364"/>
      <c r="AN110" s="364"/>
      <c r="AO110" s="364"/>
      <c r="AP110" s="364"/>
      <c r="AQ110" s="716">
        <v>5000</v>
      </c>
      <c r="AR110" s="716"/>
      <c r="AS110" s="716"/>
      <c r="AT110" s="716"/>
      <c r="AU110" s="716"/>
      <c r="AV110" s="392"/>
      <c r="AW110" s="612"/>
      <c r="AX110" s="612"/>
      <c r="AY110" s="612"/>
      <c r="AZ110" s="612"/>
      <c r="BA110" s="364"/>
      <c r="BB110"/>
      <c r="BC110"/>
      <c r="BD110"/>
      <c r="BE110"/>
      <c r="BF110" s="395"/>
    </row>
    <row r="111" spans="1:59" s="10" customFormat="1" x14ac:dyDescent="0.2">
      <c r="A111" s="201"/>
      <c r="B111" s="808" t="s">
        <v>968</v>
      </c>
      <c r="C111" s="802">
        <f>1811</f>
        <v>1811</v>
      </c>
      <c r="D111" s="803"/>
      <c r="E111" s="803"/>
      <c r="F111" s="802"/>
      <c r="G111" s="804"/>
      <c r="H111" s="805">
        <f>SUM(C111*0.27)</f>
        <v>488.97</v>
      </c>
      <c r="I111" s="805"/>
      <c r="J111" s="805"/>
      <c r="K111" s="805"/>
      <c r="L111" s="806"/>
      <c r="M111" s="805">
        <f t="shared" si="40"/>
        <v>2299.9700000000003</v>
      </c>
      <c r="N111" s="45"/>
      <c r="O111" s="45"/>
      <c r="P111" s="45"/>
      <c r="Q111" s="86"/>
      <c r="R111" s="714"/>
      <c r="S111" s="86"/>
      <c r="T111" s="86"/>
      <c r="U111" s="45"/>
      <c r="V111" s="45"/>
      <c r="X111" s="716"/>
      <c r="Y111" s="716"/>
      <c r="Z111" s="716"/>
      <c r="AA111" s="392"/>
      <c r="AB111" s="718" t="s">
        <v>47</v>
      </c>
      <c r="AC111" s="392"/>
      <c r="AD111" s="392"/>
      <c r="AE111" s="392"/>
      <c r="AF111" s="392"/>
      <c r="AG111" s="392"/>
      <c r="AH111" s="612"/>
      <c r="AI111" s="612"/>
      <c r="AJ111" s="612"/>
      <c r="AK111" s="612"/>
      <c r="AL111" s="364"/>
      <c r="AM111" s="364"/>
      <c r="AN111" s="364"/>
      <c r="AO111" s="364"/>
      <c r="AP111" s="364"/>
      <c r="AQ111" s="718">
        <f>SUM(AQ107:AQ110)</f>
        <v>157132</v>
      </c>
      <c r="AR111" s="716"/>
      <c r="AS111" s="716"/>
      <c r="AT111" s="716"/>
      <c r="AU111" s="716"/>
      <c r="AV111" s="392"/>
      <c r="AW111" s="612"/>
      <c r="AX111" s="612"/>
      <c r="AY111" s="612"/>
      <c r="AZ111" s="612"/>
      <c r="BA111" s="364"/>
      <c r="BB111"/>
      <c r="BC111"/>
      <c r="BD111"/>
      <c r="BE111"/>
      <c r="BF111" s="395"/>
    </row>
    <row r="112" spans="1:59" s="10" customFormat="1" x14ac:dyDescent="0.2">
      <c r="A112" s="201"/>
      <c r="B112" s="801" t="s">
        <v>903</v>
      </c>
      <c r="C112" s="802">
        <v>860</v>
      </c>
      <c r="D112" s="803"/>
      <c r="E112" s="803"/>
      <c r="F112" s="802"/>
      <c r="G112" s="804"/>
      <c r="H112" s="805">
        <f t="shared" ref="H112:H117" si="41">SUM(C112*0.27)</f>
        <v>232.20000000000002</v>
      </c>
      <c r="I112" s="805"/>
      <c r="J112" s="805"/>
      <c r="K112" s="805"/>
      <c r="L112" s="806"/>
      <c r="M112" s="805">
        <f t="shared" si="40"/>
        <v>1092.2</v>
      </c>
      <c r="N112" s="86"/>
      <c r="O112" s="86"/>
      <c r="P112" s="86"/>
      <c r="Q112" s="86"/>
      <c r="R112" s="86"/>
      <c r="S112" s="86"/>
      <c r="T112" s="86"/>
      <c r="U112" s="86"/>
      <c r="V112" s="86"/>
      <c r="W112" s="716"/>
      <c r="X112" s="716"/>
      <c r="Y112" s="716"/>
      <c r="Z112" s="716"/>
      <c r="AA112" s="716"/>
      <c r="AB112" s="716"/>
      <c r="AC112" s="716"/>
      <c r="AD112" s="716"/>
      <c r="AE112" s="716"/>
      <c r="AF112" s="716"/>
      <c r="AG112" s="716"/>
      <c r="AH112" s="364"/>
      <c r="AI112" s="364"/>
      <c r="AJ112" s="364"/>
      <c r="AK112" s="364"/>
      <c r="AL112" s="364"/>
      <c r="AM112" s="364"/>
      <c r="AN112" s="364"/>
      <c r="AO112" s="364"/>
      <c r="AP112" s="364"/>
      <c r="AQ112" s="716"/>
      <c r="AR112" s="716"/>
      <c r="AS112" s="716"/>
      <c r="AT112" s="716"/>
      <c r="AU112" s="716"/>
      <c r="AV112" s="716"/>
      <c r="AW112" s="364"/>
      <c r="AX112" s="364"/>
      <c r="AY112" s="364"/>
      <c r="AZ112" s="364"/>
      <c r="BA112" s="364"/>
      <c r="BB112"/>
      <c r="BC112"/>
      <c r="BD112"/>
      <c r="BE112"/>
      <c r="BF112" s="395"/>
    </row>
    <row r="113" spans="1:58" s="10" customFormat="1" x14ac:dyDescent="0.2">
      <c r="A113" s="201"/>
      <c r="B113" s="801" t="s">
        <v>902</v>
      </c>
      <c r="C113" s="802">
        <v>5350</v>
      </c>
      <c r="D113" s="803"/>
      <c r="E113" s="803"/>
      <c r="F113" s="802"/>
      <c r="G113" s="804"/>
      <c r="H113" s="805">
        <f t="shared" si="41"/>
        <v>1444.5</v>
      </c>
      <c r="I113" s="805"/>
      <c r="J113" s="805"/>
      <c r="K113" s="805"/>
      <c r="L113" s="806"/>
      <c r="M113" s="805">
        <f t="shared" si="40"/>
        <v>6794.5</v>
      </c>
      <c r="N113" s="86"/>
      <c r="O113" s="86"/>
      <c r="P113" s="86"/>
      <c r="Q113" s="86"/>
      <c r="R113" s="86"/>
      <c r="S113" s="86"/>
      <c r="T113" s="86"/>
      <c r="U113" s="86"/>
      <c r="V113" s="86"/>
      <c r="W113" s="716"/>
      <c r="X113" s="716"/>
      <c r="Y113" s="716"/>
      <c r="Z113" s="716"/>
      <c r="AA113" s="716"/>
      <c r="AB113" s="716"/>
      <c r="AC113" s="716"/>
      <c r="AD113" s="716"/>
      <c r="AE113" s="716"/>
      <c r="AF113" s="716"/>
      <c r="AG113" s="364"/>
      <c r="AH113" s="687"/>
      <c r="AI113" s="687"/>
      <c r="AJ113" s="612"/>
      <c r="AK113" s="687">
        <v>5350</v>
      </c>
      <c r="AL113" s="716"/>
      <c r="AM113" s="716"/>
      <c r="AN113" s="716"/>
      <c r="AO113" s="716"/>
      <c r="AP113" s="716"/>
      <c r="AQ113" s="392"/>
      <c r="AR113" s="392"/>
      <c r="AS113" s="392"/>
      <c r="AT113" s="392"/>
      <c r="AU113" s="392"/>
      <c r="AV113" s="364"/>
      <c r="AW113" s="364"/>
      <c r="AX113" s="364"/>
      <c r="AY113" s="364"/>
      <c r="AZ113" s="364"/>
      <c r="BA113" s="364"/>
      <c r="BB113"/>
      <c r="BC113"/>
      <c r="BD113"/>
      <c r="BE113"/>
      <c r="BF113" s="395"/>
    </row>
    <row r="114" spans="1:58" s="10" customFormat="1" x14ac:dyDescent="0.2">
      <c r="A114" s="201"/>
      <c r="B114" s="808" t="s">
        <v>1152</v>
      </c>
      <c r="C114" s="802">
        <v>2025</v>
      </c>
      <c r="D114" s="803"/>
      <c r="E114" s="803"/>
      <c r="F114" s="802"/>
      <c r="G114" s="804"/>
      <c r="H114" s="805">
        <f t="shared" si="41"/>
        <v>546.75</v>
      </c>
      <c r="I114" s="805"/>
      <c r="J114" s="805"/>
      <c r="K114" s="805"/>
      <c r="L114" s="806"/>
      <c r="M114" s="805">
        <f t="shared" si="40"/>
        <v>2571.75</v>
      </c>
      <c r="N114" s="86"/>
      <c r="O114" s="86"/>
      <c r="P114" s="86"/>
      <c r="Q114" s="86"/>
      <c r="R114" s="86"/>
      <c r="S114" s="86"/>
      <c r="T114" s="86"/>
      <c r="U114" s="86"/>
      <c r="V114" s="86"/>
      <c r="W114" s="716"/>
      <c r="X114" s="716"/>
      <c r="Y114" s="716"/>
      <c r="Z114" s="716"/>
      <c r="AA114" s="716"/>
      <c r="AB114" s="716"/>
      <c r="AC114" s="716"/>
      <c r="AD114" s="716"/>
      <c r="AE114" s="716"/>
      <c r="AF114" s="716"/>
      <c r="AG114" s="364"/>
      <c r="AH114" s="687"/>
      <c r="AI114" s="687"/>
      <c r="AJ114" s="612"/>
      <c r="AK114" s="687"/>
      <c r="AL114" s="716"/>
      <c r="AM114" s="716"/>
      <c r="AN114" s="716"/>
      <c r="AO114" s="716"/>
      <c r="AP114" s="716"/>
      <c r="AQ114" s="392"/>
      <c r="AR114" s="392"/>
      <c r="AS114" s="392"/>
      <c r="AT114" s="392"/>
      <c r="AU114" s="392"/>
      <c r="AV114" s="364"/>
      <c r="AW114" s="364"/>
      <c r="AX114" s="364"/>
      <c r="AY114" s="364"/>
      <c r="AZ114" s="364"/>
      <c r="BA114" s="364"/>
      <c r="BB114"/>
      <c r="BC114"/>
      <c r="BD114"/>
      <c r="BE114"/>
      <c r="BF114" s="395"/>
    </row>
    <row r="115" spans="1:58" s="10" customFormat="1" x14ac:dyDescent="0.2">
      <c r="A115" s="201"/>
      <c r="B115" s="808" t="s">
        <v>905</v>
      </c>
      <c r="C115" s="802">
        <v>2835</v>
      </c>
      <c r="D115" s="803"/>
      <c r="E115" s="803"/>
      <c r="F115" s="802"/>
      <c r="G115" s="804"/>
      <c r="H115" s="805">
        <f t="shared" si="41"/>
        <v>765.45</v>
      </c>
      <c r="I115" s="805"/>
      <c r="J115" s="805"/>
      <c r="K115" s="805"/>
      <c r="L115" s="806"/>
      <c r="M115" s="805">
        <f t="shared" si="40"/>
        <v>3600.45</v>
      </c>
      <c r="N115" s="86"/>
      <c r="O115" s="86"/>
      <c r="P115" s="86"/>
      <c r="Q115" s="86"/>
      <c r="R115" s="86"/>
      <c r="S115" s="86"/>
      <c r="T115" s="86"/>
      <c r="U115" s="86"/>
      <c r="V115" s="86"/>
      <c r="W115" s="716"/>
      <c r="X115" s="716"/>
      <c r="Y115" s="716"/>
      <c r="Z115" s="716"/>
      <c r="AA115" s="716"/>
      <c r="AB115" s="716"/>
      <c r="AC115" s="716"/>
      <c r="AD115" s="716"/>
      <c r="AE115" s="716"/>
      <c r="AF115" s="716"/>
      <c r="AG115" s="364"/>
      <c r="AH115" s="687"/>
      <c r="AI115" s="687"/>
      <c r="AJ115" s="612"/>
      <c r="AK115" s="687"/>
      <c r="AL115" s="716"/>
      <c r="AM115" s="716"/>
      <c r="AN115" s="716"/>
      <c r="AO115" s="716"/>
      <c r="AP115" s="716"/>
      <c r="AQ115" s="392"/>
      <c r="AR115" s="392"/>
      <c r="AS115" s="392"/>
      <c r="AT115" s="392"/>
      <c r="AU115" s="392"/>
      <c r="AV115" s="364"/>
      <c r="AW115" s="364"/>
      <c r="AX115" s="364"/>
      <c r="AY115" s="364"/>
      <c r="AZ115" s="364"/>
      <c r="BA115" s="364"/>
      <c r="BB115"/>
      <c r="BC115"/>
      <c r="BD115"/>
      <c r="BE115"/>
      <c r="BF115" s="395"/>
    </row>
    <row r="116" spans="1:58" s="10" customFormat="1" x14ac:dyDescent="0.2">
      <c r="A116" s="201"/>
      <c r="B116" s="801" t="s">
        <v>904</v>
      </c>
      <c r="C116" s="802">
        <v>1555</v>
      </c>
      <c r="D116" s="803"/>
      <c r="E116" s="803"/>
      <c r="F116" s="802"/>
      <c r="G116" s="804"/>
      <c r="H116" s="805">
        <f t="shared" si="41"/>
        <v>419.85</v>
      </c>
      <c r="I116" s="805"/>
      <c r="J116" s="805"/>
      <c r="K116" s="805"/>
      <c r="L116" s="806"/>
      <c r="M116" s="805">
        <f t="shared" si="40"/>
        <v>1974.85</v>
      </c>
      <c r="N116" s="86"/>
      <c r="O116" s="86"/>
      <c r="P116" s="86"/>
      <c r="Q116" s="86"/>
      <c r="R116" s="86"/>
      <c r="S116" s="86"/>
      <c r="T116" s="86"/>
      <c r="U116" s="86"/>
      <c r="V116" s="86"/>
      <c r="W116" s="716"/>
      <c r="X116" s="716"/>
      <c r="Y116" s="716"/>
      <c r="Z116" s="716"/>
      <c r="AA116" s="716"/>
      <c r="AB116" s="716"/>
      <c r="AC116" s="716"/>
      <c r="AD116" s="716"/>
      <c r="AE116" s="716"/>
      <c r="AF116" s="716"/>
      <c r="AG116" s="364"/>
      <c r="AH116" s="687"/>
      <c r="AI116" s="687"/>
      <c r="AJ116" s="612"/>
      <c r="AK116" s="687">
        <v>1555</v>
      </c>
      <c r="AL116" s="716"/>
      <c r="AM116" s="716"/>
      <c r="AN116" s="716"/>
      <c r="AO116" s="716"/>
      <c r="AP116" s="716"/>
      <c r="AQ116" s="392"/>
      <c r="AR116" s="392"/>
      <c r="AS116" s="392"/>
      <c r="AT116" s="392"/>
      <c r="AU116" s="392"/>
      <c r="AV116" s="364"/>
      <c r="AW116" s="364"/>
      <c r="AX116" s="364"/>
      <c r="AY116" s="364"/>
      <c r="AZ116" s="364"/>
      <c r="BA116" s="364"/>
      <c r="BB116"/>
      <c r="BC116"/>
      <c r="BD116"/>
      <c r="BE116"/>
      <c r="BF116" s="395"/>
    </row>
    <row r="117" spans="1:58" s="10" customFormat="1" x14ac:dyDescent="0.2">
      <c r="A117" s="201"/>
      <c r="B117" s="807" t="s">
        <v>1171</v>
      </c>
      <c r="C117" s="802">
        <v>315</v>
      </c>
      <c r="D117" s="807"/>
      <c r="E117" s="803"/>
      <c r="F117" s="802"/>
      <c r="G117" s="804"/>
      <c r="H117" s="805">
        <f t="shared" si="41"/>
        <v>85.050000000000011</v>
      </c>
      <c r="I117" s="805"/>
      <c r="J117" s="805"/>
      <c r="K117" s="805"/>
      <c r="L117" s="806"/>
      <c r="M117" s="805">
        <f t="shared" si="40"/>
        <v>400.05</v>
      </c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 s="395"/>
    </row>
    <row r="118" spans="1:58" s="10" customFormat="1" x14ac:dyDescent="0.2">
      <c r="A118" s="201"/>
      <c r="B118" s="807" t="s">
        <v>964</v>
      </c>
      <c r="C118" s="802">
        <v>315</v>
      </c>
      <c r="D118" s="807"/>
      <c r="E118" s="803"/>
      <c r="F118" s="802"/>
      <c r="G118" s="804"/>
      <c r="H118" s="805">
        <f>SUM(C118*0.27)</f>
        <v>85.050000000000011</v>
      </c>
      <c r="I118" s="805"/>
      <c r="J118" s="805"/>
      <c r="K118" s="805"/>
      <c r="L118" s="806"/>
      <c r="M118" s="805">
        <f t="shared" si="40"/>
        <v>400.05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 t="s">
        <v>1257</v>
      </c>
      <c r="AC118"/>
      <c r="AD118"/>
      <c r="AE118"/>
      <c r="AF118"/>
      <c r="AG118" s="86">
        <f>SUM(M113+M114+M115+M116)</f>
        <v>14941.550000000001</v>
      </c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 s="395"/>
    </row>
    <row r="119" spans="1:58" s="10" customFormat="1" x14ac:dyDescent="0.2">
      <c r="A119" s="201"/>
      <c r="B119" s="807" t="s">
        <v>1179</v>
      </c>
      <c r="C119" s="802">
        <v>4500</v>
      </c>
      <c r="D119" s="807"/>
      <c r="E119" s="803"/>
      <c r="F119" s="802"/>
      <c r="G119" s="804"/>
      <c r="H119" s="805">
        <f>SUM(C119*0.27)</f>
        <v>1215</v>
      </c>
      <c r="I119" s="805"/>
      <c r="J119" s="805"/>
      <c r="K119" s="805"/>
      <c r="L119" s="806"/>
      <c r="M119" s="805">
        <f t="shared" si="40"/>
        <v>5715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 s="395"/>
    </row>
    <row r="120" spans="1:58" s="10" customFormat="1" x14ac:dyDescent="0.2">
      <c r="A120" s="201"/>
      <c r="B120" s="807" t="s">
        <v>1187</v>
      </c>
      <c r="C120" s="802">
        <v>4500</v>
      </c>
      <c r="D120" s="807"/>
      <c r="E120" s="803"/>
      <c r="F120" s="802"/>
      <c r="G120" s="804"/>
      <c r="H120" s="805">
        <f>SUM(C120*0.27)</f>
        <v>1215</v>
      </c>
      <c r="I120" s="805"/>
      <c r="J120" s="805"/>
      <c r="K120" s="805"/>
      <c r="L120" s="806"/>
      <c r="M120" s="805">
        <f t="shared" si="40"/>
        <v>5715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 s="395"/>
    </row>
    <row r="121" spans="1:58" s="10" customFormat="1" x14ac:dyDescent="0.2">
      <c r="A121" s="201"/>
      <c r="B121" s="807" t="s">
        <v>1192</v>
      </c>
      <c r="C121" s="802">
        <v>860</v>
      </c>
      <c r="D121" s="807"/>
      <c r="E121" s="803"/>
      <c r="F121" s="802"/>
      <c r="G121" s="804"/>
      <c r="H121" s="805">
        <v>0</v>
      </c>
      <c r="I121" s="805"/>
      <c r="J121" s="805"/>
      <c r="K121" s="805"/>
      <c r="L121" s="806"/>
      <c r="M121" s="805">
        <f t="shared" si="40"/>
        <v>860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 s="395"/>
    </row>
    <row r="122" spans="1:58" s="10" customFormat="1" x14ac:dyDescent="0.2">
      <c r="A122" s="201"/>
      <c r="B122" s="807" t="s">
        <v>1174</v>
      </c>
      <c r="C122" s="802">
        <v>100</v>
      </c>
      <c r="D122" s="807"/>
      <c r="F122"/>
      <c r="G122"/>
      <c r="H122" s="803">
        <f>SUM(C122*0.27)</f>
        <v>27</v>
      </c>
      <c r="I122" s="805"/>
      <c r="L122"/>
      <c r="M122" s="805">
        <f t="shared" si="40"/>
        <v>127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1:58" s="10" customFormat="1" x14ac:dyDescent="0.2">
      <c r="A123" s="201"/>
      <c r="B123" s="807" t="s">
        <v>1297</v>
      </c>
      <c r="C123" s="802">
        <v>515</v>
      </c>
      <c r="D123" s="807"/>
      <c r="F123"/>
      <c r="G123"/>
      <c r="H123" s="803">
        <v>97</v>
      </c>
      <c r="I123" s="805"/>
      <c r="L123"/>
      <c r="M123" s="805">
        <f t="shared" si="40"/>
        <v>612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1:58" ht="13.5" thickBot="1" x14ac:dyDescent="0.25">
      <c r="B124" s="231"/>
    </row>
    <row r="125" spans="1:58" ht="13.5" thickBot="1" x14ac:dyDescent="0.25">
      <c r="B125" s="370" t="s">
        <v>47</v>
      </c>
      <c r="C125" s="250">
        <f>SUM(C106:C124)</f>
        <v>37351</v>
      </c>
      <c r="D125" s="665"/>
      <c r="F125" s="250"/>
      <c r="G125" s="250"/>
      <c r="H125" s="668">
        <f>SUM(H106:H124)</f>
        <v>9608.02</v>
      </c>
      <c r="M125" s="199">
        <f>SUM(C125:H125)</f>
        <v>46959.020000000004</v>
      </c>
      <c r="N125" s="10"/>
      <c r="O125" s="10"/>
      <c r="P125" s="10"/>
      <c r="Q125" s="10"/>
      <c r="R125" s="45"/>
    </row>
    <row r="126" spans="1:58" x14ac:dyDescent="0.2">
      <c r="M126" s="392">
        <f>SUM(C125:H125)</f>
        <v>46959.020000000004</v>
      </c>
    </row>
    <row r="131" spans="1:58" x14ac:dyDescent="0.2">
      <c r="BF131"/>
    </row>
    <row r="132" spans="1:58" x14ac:dyDescent="0.2">
      <c r="BF132"/>
    </row>
    <row r="133" spans="1:58" x14ac:dyDescent="0.2">
      <c r="BF133"/>
    </row>
    <row r="134" spans="1:58" x14ac:dyDescent="0.2">
      <c r="BF134"/>
    </row>
    <row r="135" spans="1:58" x14ac:dyDescent="0.2">
      <c r="BF135"/>
    </row>
    <row r="136" spans="1:58" x14ac:dyDescent="0.2">
      <c r="A136"/>
      <c r="H136"/>
      <c r="I136"/>
      <c r="J136"/>
      <c r="K136"/>
      <c r="BF136"/>
    </row>
    <row r="137" spans="1:58" x14ac:dyDescent="0.2">
      <c r="A137"/>
      <c r="H137"/>
      <c r="I137"/>
      <c r="J137"/>
      <c r="K137"/>
      <c r="BF137"/>
    </row>
    <row r="138" spans="1:58" x14ac:dyDescent="0.2">
      <c r="A138"/>
      <c r="H138"/>
      <c r="I138"/>
      <c r="J138"/>
      <c r="K138"/>
      <c r="BF138"/>
    </row>
    <row r="139" spans="1:58" x14ac:dyDescent="0.2">
      <c r="A139"/>
      <c r="H139"/>
      <c r="I139"/>
      <c r="J139"/>
      <c r="K139"/>
      <c r="BF139"/>
    </row>
    <row r="140" spans="1:58" x14ac:dyDescent="0.2">
      <c r="A140"/>
      <c r="H140"/>
      <c r="I140"/>
      <c r="J140"/>
      <c r="K140"/>
      <c r="BF140"/>
    </row>
    <row r="141" spans="1:58" x14ac:dyDescent="0.2">
      <c r="A141"/>
      <c r="H141"/>
      <c r="I141"/>
      <c r="J141"/>
      <c r="K141"/>
      <c r="BF141"/>
    </row>
    <row r="142" spans="1:58" x14ac:dyDescent="0.2">
      <c r="A142"/>
      <c r="H142"/>
      <c r="I142"/>
      <c r="J142"/>
      <c r="K142"/>
      <c r="BF142"/>
    </row>
    <row r="143" spans="1:58" x14ac:dyDescent="0.2">
      <c r="A143"/>
      <c r="H143"/>
      <c r="I143"/>
      <c r="J143"/>
      <c r="K143"/>
      <c r="BF143"/>
    </row>
    <row r="144" spans="1:58" x14ac:dyDescent="0.2">
      <c r="A144"/>
      <c r="H144"/>
      <c r="I144"/>
      <c r="J144"/>
      <c r="K144"/>
      <c r="BF144"/>
    </row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</sheetData>
  <mergeCells count="19">
    <mergeCell ref="C3:X3"/>
    <mergeCell ref="C4:X4"/>
    <mergeCell ref="C5:X5"/>
    <mergeCell ref="AB3:BB3"/>
    <mergeCell ref="AB4:BB4"/>
    <mergeCell ref="AB5:BB5"/>
    <mergeCell ref="A7:A8"/>
    <mergeCell ref="B7:B8"/>
    <mergeCell ref="C7:G7"/>
    <mergeCell ref="BA7:BE7"/>
    <mergeCell ref="H7:L7"/>
    <mergeCell ref="M7:Q7"/>
    <mergeCell ref="R7:V7"/>
    <mergeCell ref="AL7:AP7"/>
    <mergeCell ref="W7:AA7"/>
    <mergeCell ref="AB7:AF7"/>
    <mergeCell ref="AG7:AK7"/>
    <mergeCell ref="AQ7:AU7"/>
    <mergeCell ref="AV7:AZ7"/>
  </mergeCells>
  <pageMargins left="0.19685039370078741" right="0.15748031496062992" top="0.43307086614173229" bottom="0.15748031496062992" header="0.39370078740157483" footer="0.15748031496062992"/>
  <pageSetup paperSize="9" scale="85" orientation="landscape" r:id="rId1"/>
  <headerFooter alignWithMargins="0"/>
  <rowBreaks count="2" manualBreakCount="2">
    <brk id="45" max="60" man="1"/>
    <brk id="91" max="60" man="1"/>
  </rowBreaks>
  <colBreaks count="1" manualBreakCount="1">
    <brk id="27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G21" sqref="G21"/>
    </sheetView>
  </sheetViews>
  <sheetFormatPr defaultRowHeight="12.75" x14ac:dyDescent="0.2"/>
  <cols>
    <col min="5" max="6" width="11.140625" bestFit="1" customWidth="1"/>
    <col min="7" max="7" width="14.5703125" customWidth="1"/>
  </cols>
  <sheetData>
    <row r="1" spans="1:9" x14ac:dyDescent="0.2">
      <c r="A1" t="s">
        <v>1153</v>
      </c>
    </row>
    <row r="8" spans="1:9" x14ac:dyDescent="0.2">
      <c r="C8" t="s">
        <v>1158</v>
      </c>
    </row>
    <row r="10" spans="1:9" x14ac:dyDescent="0.2">
      <c r="E10" s="682" t="s">
        <v>418</v>
      </c>
      <c r="F10" s="682" t="s">
        <v>1157</v>
      </c>
      <c r="G10" s="682" t="s">
        <v>896</v>
      </c>
    </row>
    <row r="11" spans="1:9" x14ac:dyDescent="0.2">
      <c r="C11" t="s">
        <v>1156</v>
      </c>
      <c r="E11" s="86">
        <v>576798100</v>
      </c>
      <c r="F11" s="86">
        <f>(E11*0.27)</f>
        <v>155735487</v>
      </c>
      <c r="G11" s="809">
        <f>SUM(E11:F11)</f>
        <v>732533587</v>
      </c>
      <c r="H11" s="86"/>
      <c r="I11" s="86"/>
    </row>
    <row r="12" spans="1:9" x14ac:dyDescent="0.2">
      <c r="C12" t="s">
        <v>1154</v>
      </c>
      <c r="E12" s="86">
        <v>158700000</v>
      </c>
      <c r="F12" s="86">
        <f>(E12*0.27)</f>
        <v>42849000</v>
      </c>
      <c r="G12" s="809">
        <f>SUM(E12:F12)</f>
        <v>201549000</v>
      </c>
      <c r="H12" s="86"/>
      <c r="I12" s="86"/>
    </row>
    <row r="13" spans="1:9" x14ac:dyDescent="0.2">
      <c r="C13" t="s">
        <v>1155</v>
      </c>
      <c r="E13" s="809">
        <f>SUM(E11-E12)</f>
        <v>418098100</v>
      </c>
      <c r="F13" s="809">
        <f>SUM(F11-F12)</f>
        <v>112886487</v>
      </c>
      <c r="G13" s="86">
        <f>SUM(G11-G12)</f>
        <v>530984587</v>
      </c>
      <c r="H13" s="86"/>
      <c r="I13" s="86"/>
    </row>
    <row r="14" spans="1:9" x14ac:dyDescent="0.2">
      <c r="E14" s="86"/>
      <c r="F14" s="45">
        <f>SUM(E13*0.27)</f>
        <v>112886487</v>
      </c>
      <c r="G14" s="86"/>
      <c r="H14" s="86"/>
      <c r="I14" s="86"/>
    </row>
    <row r="15" spans="1:9" x14ac:dyDescent="0.2">
      <c r="E15" s="86"/>
      <c r="F15" s="86"/>
      <c r="G15" s="86"/>
      <c r="H15" s="86"/>
      <c r="I15" s="86"/>
    </row>
    <row r="16" spans="1:9" x14ac:dyDescent="0.2">
      <c r="C16" t="s">
        <v>1159</v>
      </c>
      <c r="E16" s="86">
        <v>120703587</v>
      </c>
      <c r="F16" s="86"/>
      <c r="G16" s="86"/>
      <c r="H16" s="86"/>
      <c r="I16" s="86"/>
    </row>
    <row r="17" spans="5:9" x14ac:dyDescent="0.2">
      <c r="E17" s="86"/>
      <c r="F17" s="86"/>
      <c r="G17" s="86"/>
      <c r="H17" s="86"/>
      <c r="I17" s="86"/>
    </row>
    <row r="18" spans="5:9" x14ac:dyDescent="0.2">
      <c r="E18" s="86"/>
      <c r="F18" s="86"/>
      <c r="G18" s="86"/>
      <c r="H18" s="86"/>
      <c r="I18" s="86"/>
    </row>
    <row r="19" spans="5:9" x14ac:dyDescent="0.2">
      <c r="E19" s="86"/>
      <c r="F19" s="86"/>
      <c r="G19" s="86"/>
      <c r="H19" s="86"/>
      <c r="I19" s="86"/>
    </row>
    <row r="20" spans="5:9" x14ac:dyDescent="0.2">
      <c r="E20" s="86"/>
      <c r="F20" s="86"/>
      <c r="G20" s="86"/>
      <c r="H20" s="86"/>
      <c r="I20" s="86"/>
    </row>
    <row r="21" spans="5:9" x14ac:dyDescent="0.2">
      <c r="E21" s="86"/>
      <c r="F21" s="86"/>
      <c r="G21" s="86"/>
      <c r="H21" s="86"/>
      <c r="I21" s="86"/>
    </row>
    <row r="22" spans="5:9" x14ac:dyDescent="0.2">
      <c r="E22" s="86"/>
      <c r="F22" s="86"/>
      <c r="G22" s="86"/>
      <c r="H22" s="86"/>
      <c r="I22" s="86"/>
    </row>
    <row r="23" spans="5:9" x14ac:dyDescent="0.2">
      <c r="E23" s="86"/>
      <c r="F23" s="86"/>
      <c r="G23" s="86"/>
      <c r="H23" s="86"/>
      <c r="I23" s="86"/>
    </row>
    <row r="24" spans="5:9" x14ac:dyDescent="0.2">
      <c r="E24" s="86"/>
      <c r="F24" s="86"/>
      <c r="G24" s="86"/>
      <c r="H24" s="86"/>
      <c r="I24" s="86"/>
    </row>
    <row r="25" spans="5:9" x14ac:dyDescent="0.2">
      <c r="E25" s="86"/>
      <c r="F25" s="86"/>
      <c r="G25" s="86"/>
      <c r="H25" s="86"/>
      <c r="I25" s="8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24"/>
  <sheetViews>
    <sheetView zoomScale="95" zoomScaleNormal="95" zoomScaleSheetLayoutView="90" workbookViewId="0">
      <selection activeCell="D9" sqref="D9"/>
    </sheetView>
  </sheetViews>
  <sheetFormatPr defaultRowHeight="12.75" x14ac:dyDescent="0.2"/>
  <cols>
    <col min="1" max="1" width="6.140625" customWidth="1"/>
    <col min="2" max="2" width="53.5703125" customWidth="1"/>
    <col min="3" max="4" width="13.28515625" customWidth="1"/>
    <col min="5" max="7" width="11" hidden="1" customWidth="1"/>
    <col min="8" max="9" width="13.42578125" customWidth="1"/>
    <col min="10" max="12" width="11" hidden="1" customWidth="1"/>
    <col min="13" max="14" width="13.28515625" customWidth="1"/>
    <col min="15" max="16" width="11" hidden="1" customWidth="1"/>
    <col min="17" max="17" width="4.42578125" hidden="1" customWidth="1"/>
    <col min="18" max="19" width="14.5703125" customWidth="1"/>
    <col min="20" max="21" width="11" hidden="1" customWidth="1"/>
    <col min="22" max="22" width="9.42578125" hidden="1" customWidth="1"/>
    <col min="23" max="23" width="10.28515625" style="10" customWidth="1"/>
    <col min="24" max="24" width="11" style="10" customWidth="1"/>
    <col min="25" max="25" width="6.85546875" style="10" customWidth="1"/>
    <col min="26" max="26" width="7.5703125" style="10" customWidth="1"/>
    <col min="27" max="27" width="4.85546875" style="10" customWidth="1"/>
    <col min="28" max="29" width="9.140625" style="10" customWidth="1"/>
  </cols>
  <sheetData>
    <row r="1" spans="1:32" x14ac:dyDescent="0.2">
      <c r="A1" s="110"/>
      <c r="B1" s="1"/>
      <c r="C1" s="98"/>
      <c r="D1" s="98"/>
      <c r="E1" s="98"/>
      <c r="F1" s="98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S1" s="794" t="s">
        <v>1000</v>
      </c>
      <c r="U1" s="66"/>
    </row>
    <row r="2" spans="1:32" x14ac:dyDescent="0.2">
      <c r="A2" s="110"/>
      <c r="B2" s="1"/>
      <c r="C2" s="98"/>
      <c r="D2" s="98"/>
      <c r="E2" s="98"/>
      <c r="F2" s="9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S2" s="214"/>
      <c r="U2" s="66"/>
    </row>
    <row r="3" spans="1:32" ht="15.75" x14ac:dyDescent="0.25">
      <c r="A3" s="988" t="s">
        <v>97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  <c r="V3" s="936"/>
    </row>
    <row r="4" spans="1:32" ht="15.75" x14ac:dyDescent="0.25">
      <c r="A4" s="988" t="s">
        <v>1085</v>
      </c>
      <c r="B4" s="936"/>
      <c r="C4" s="936"/>
      <c r="D4" s="93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</row>
    <row r="5" spans="1:32" ht="15.75" x14ac:dyDescent="0.25">
      <c r="A5" s="988" t="s">
        <v>424</v>
      </c>
      <c r="B5" s="936"/>
      <c r="C5" s="936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</row>
    <row r="6" spans="1:32" ht="13.5" thickBot="1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S6" s="98" t="s">
        <v>0</v>
      </c>
      <c r="U6" s="214"/>
    </row>
    <row r="7" spans="1:32" ht="74.25" customHeight="1" thickBot="1" x14ac:dyDescent="0.25">
      <c r="A7" s="989" t="s">
        <v>124</v>
      </c>
      <c r="B7" s="989" t="s">
        <v>29</v>
      </c>
      <c r="C7" s="990" t="s">
        <v>999</v>
      </c>
      <c r="D7" s="991"/>
      <c r="E7" s="991"/>
      <c r="F7" s="991"/>
      <c r="G7" s="992"/>
      <c r="H7" s="990" t="s">
        <v>333</v>
      </c>
      <c r="I7" s="991"/>
      <c r="J7" s="991"/>
      <c r="K7" s="991"/>
      <c r="L7" s="992"/>
      <c r="M7" s="990" t="s">
        <v>1323</v>
      </c>
      <c r="N7" s="991"/>
      <c r="O7" s="991"/>
      <c r="P7" s="991"/>
      <c r="Q7" s="992"/>
      <c r="R7" s="990" t="s">
        <v>47</v>
      </c>
      <c r="S7" s="991"/>
      <c r="T7" s="797"/>
      <c r="U7" s="797"/>
      <c r="V7" s="798"/>
      <c r="W7" s="11"/>
      <c r="X7" s="45"/>
      <c r="Y7" s="45"/>
      <c r="Z7" s="715"/>
      <c r="AD7" s="231"/>
      <c r="AE7" s="231"/>
    </row>
    <row r="8" spans="1:32" ht="39.75" customHeight="1" thickBot="1" x14ac:dyDescent="0.25">
      <c r="A8" s="978"/>
      <c r="B8" s="978"/>
      <c r="C8" s="365" t="s">
        <v>766</v>
      </c>
      <c r="D8" s="365" t="s">
        <v>1343</v>
      </c>
      <c r="E8" s="365" t="s">
        <v>1088</v>
      </c>
      <c r="F8" s="365" t="s">
        <v>1088</v>
      </c>
      <c r="G8" s="365" t="s">
        <v>1087</v>
      </c>
      <c r="H8" s="365" t="str">
        <f t="shared" ref="H8:Q8" si="0">C8</f>
        <v>2021. évi eredeti előirányzat</v>
      </c>
      <c r="I8" s="365" t="str">
        <f t="shared" si="0"/>
        <v>mód.előir.
2021.07.hó</v>
      </c>
      <c r="J8" s="365" t="str">
        <f t="shared" si="0"/>
        <v>mód.előir.
2021. .hó</v>
      </c>
      <c r="K8" s="365" t="str">
        <f t="shared" si="0"/>
        <v>mód.előir.
2021. .hó</v>
      </c>
      <c r="L8" s="365" t="str">
        <f t="shared" si="0"/>
        <v>teljesítés 2021.12.31</v>
      </c>
      <c r="M8" s="365" t="str">
        <f t="shared" si="0"/>
        <v>2021. évi eredeti előirányzat</v>
      </c>
      <c r="N8" s="365" t="str">
        <f t="shared" si="0"/>
        <v>mód.előir.
2021.07.hó</v>
      </c>
      <c r="O8" s="365" t="str">
        <f t="shared" si="0"/>
        <v>mód.előir.
2021. .hó</v>
      </c>
      <c r="P8" s="365" t="str">
        <f t="shared" si="0"/>
        <v>mód.előir.
2021. .hó</v>
      </c>
      <c r="Q8" s="365" t="str">
        <f t="shared" si="0"/>
        <v>teljesítés 2021.12.31</v>
      </c>
      <c r="R8" s="365" t="str">
        <f>C8</f>
        <v>2021. évi eredeti előirányzat</v>
      </c>
      <c r="S8" s="365" t="str">
        <f>D8</f>
        <v>mód.előir.
2021.07.hó</v>
      </c>
      <c r="T8" s="365" t="str">
        <f>E8</f>
        <v>mód.előir.
2021. .hó</v>
      </c>
      <c r="U8" s="365" t="str">
        <f>F8</f>
        <v>mód.előir.
2021. .hó</v>
      </c>
      <c r="V8" s="365" t="str">
        <f>G8</f>
        <v>teljesítés 2021.12.31</v>
      </c>
      <c r="X8" s="727"/>
      <c r="Y8" s="727"/>
      <c r="Z8" s="728"/>
      <c r="AA8" s="729"/>
      <c r="AB8" s="729"/>
      <c r="AC8" s="612"/>
      <c r="AD8" s="364"/>
      <c r="AE8" s="364"/>
      <c r="AF8" s="364"/>
    </row>
    <row r="9" spans="1:32" x14ac:dyDescent="0.2">
      <c r="A9" s="184" t="s">
        <v>302</v>
      </c>
      <c r="B9" s="21" t="s">
        <v>303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386"/>
      <c r="S9" s="386"/>
      <c r="T9" s="386"/>
      <c r="U9" s="386"/>
      <c r="V9" s="386"/>
      <c r="W9" s="37"/>
      <c r="X9" s="727"/>
      <c r="Y9" s="727"/>
      <c r="Z9" s="728"/>
      <c r="AA9" s="729"/>
      <c r="AB9" s="729"/>
      <c r="AC9" s="612"/>
      <c r="AD9" s="364"/>
      <c r="AE9" s="364"/>
      <c r="AF9" s="364"/>
    </row>
    <row r="10" spans="1:32" x14ac:dyDescent="0.2">
      <c r="A10" s="71" t="s">
        <v>832</v>
      </c>
      <c r="B10" s="25" t="s">
        <v>947</v>
      </c>
      <c r="C10" s="17">
        <v>135538</v>
      </c>
      <c r="D10" s="17">
        <f>135538-25</f>
        <v>135513</v>
      </c>
      <c r="E10" s="17">
        <f>135538-5759</f>
        <v>129779</v>
      </c>
      <c r="F10" s="17">
        <f>135538-5759</f>
        <v>129779</v>
      </c>
      <c r="G10" s="17">
        <f>135538-5759</f>
        <v>129779</v>
      </c>
      <c r="H10" s="17">
        <v>15763</v>
      </c>
      <c r="I10" s="17">
        <v>15763</v>
      </c>
      <c r="J10" s="17">
        <f>15763-56</f>
        <v>15707</v>
      </c>
      <c r="K10" s="17">
        <f>15763-56</f>
        <v>15707</v>
      </c>
      <c r="L10" s="17">
        <f>15763-56</f>
        <v>15707</v>
      </c>
      <c r="M10" s="607">
        <v>6581</v>
      </c>
      <c r="N10" s="607">
        <f>6581+5</f>
        <v>6586</v>
      </c>
      <c r="O10" s="607">
        <v>6581</v>
      </c>
      <c r="P10" s="607">
        <v>6581</v>
      </c>
      <c r="Q10" s="607">
        <v>6581</v>
      </c>
      <c r="R10" s="387">
        <f>C10+H10+M10</f>
        <v>157882</v>
      </c>
      <c r="S10" s="387">
        <f>D10+I10+N10</f>
        <v>157862</v>
      </c>
      <c r="T10" s="387">
        <f>E10+J10+O10</f>
        <v>152067</v>
      </c>
      <c r="U10" s="387">
        <f>F10+K10+P10</f>
        <v>152067</v>
      </c>
      <c r="V10" s="387">
        <f>G10+L10+Q10</f>
        <v>152067</v>
      </c>
      <c r="W10" s="36"/>
      <c r="X10" s="730"/>
      <c r="Y10" s="730"/>
      <c r="Z10" s="728"/>
      <c r="AA10" s="729"/>
      <c r="AB10" s="729"/>
      <c r="AC10" s="612"/>
      <c r="AD10" s="364"/>
      <c r="AE10" s="364"/>
      <c r="AF10" s="364"/>
    </row>
    <row r="11" spans="1:32" x14ac:dyDescent="0.2">
      <c r="A11" s="71" t="s">
        <v>980</v>
      </c>
      <c r="B11" s="25" t="s">
        <v>981</v>
      </c>
      <c r="C11" s="17">
        <v>340</v>
      </c>
      <c r="D11" s="17">
        <v>340</v>
      </c>
      <c r="E11" s="16">
        <f>100+250+300</f>
        <v>650</v>
      </c>
      <c r="F11" s="16">
        <f>100+250+300</f>
        <v>650</v>
      </c>
      <c r="G11" s="16">
        <f>100+250+300</f>
        <v>650</v>
      </c>
      <c r="H11" s="17"/>
      <c r="I11" s="17"/>
      <c r="J11" s="16">
        <v>250</v>
      </c>
      <c r="K11" s="16">
        <v>250</v>
      </c>
      <c r="L11" s="16">
        <v>250</v>
      </c>
      <c r="M11" s="607"/>
      <c r="N11" s="607"/>
      <c r="O11" s="607"/>
      <c r="P11" s="607"/>
      <c r="Q11" s="607"/>
      <c r="R11" s="387">
        <f t="shared" ref="R11:R18" si="1">C11+H11+M11</f>
        <v>340</v>
      </c>
      <c r="S11" s="387">
        <f t="shared" ref="S11:S19" si="2">D11+I11+N11</f>
        <v>340</v>
      </c>
      <c r="T11" s="387">
        <f t="shared" ref="T11:T19" si="3">E11+J11+O11</f>
        <v>900</v>
      </c>
      <c r="U11" s="387">
        <f t="shared" ref="U11:U19" si="4">F11+K11+P11</f>
        <v>900</v>
      </c>
      <c r="V11" s="387">
        <f t="shared" ref="V11:V19" si="5">G11+L11+Q11</f>
        <v>900</v>
      </c>
      <c r="W11" s="36"/>
      <c r="X11" s="730"/>
      <c r="Y11" s="730"/>
      <c r="Z11" s="728"/>
      <c r="AA11" s="729"/>
      <c r="AB11" s="729"/>
      <c r="AC11" s="612"/>
      <c r="AD11" s="364"/>
      <c r="AE11" s="364"/>
      <c r="AF11" s="364"/>
    </row>
    <row r="12" spans="1:32" x14ac:dyDescent="0.2">
      <c r="A12" s="71" t="s">
        <v>853</v>
      </c>
      <c r="B12" s="25" t="s">
        <v>992</v>
      </c>
      <c r="C12" s="17"/>
      <c r="D12" s="17"/>
      <c r="E12" s="16"/>
      <c r="F12" s="16"/>
      <c r="G12" s="16"/>
      <c r="H12" s="16"/>
      <c r="I12" s="16"/>
      <c r="J12" s="16"/>
      <c r="K12" s="16"/>
      <c r="L12" s="16"/>
      <c r="M12" s="607"/>
      <c r="N12" s="607"/>
      <c r="O12" s="607">
        <v>100</v>
      </c>
      <c r="P12" s="607">
        <v>100</v>
      </c>
      <c r="Q12" s="607">
        <v>100</v>
      </c>
      <c r="R12" s="387">
        <f t="shared" si="1"/>
        <v>0</v>
      </c>
      <c r="S12" s="387">
        <f t="shared" si="2"/>
        <v>0</v>
      </c>
      <c r="T12" s="387">
        <f t="shared" si="3"/>
        <v>100</v>
      </c>
      <c r="U12" s="387">
        <f t="shared" si="4"/>
        <v>100</v>
      </c>
      <c r="V12" s="387">
        <f t="shared" si="5"/>
        <v>100</v>
      </c>
      <c r="W12" s="36"/>
      <c r="X12" s="730"/>
      <c r="Y12" s="730"/>
      <c r="Z12" s="728"/>
      <c r="AA12" s="729"/>
      <c r="AB12" s="729"/>
      <c r="AC12" s="612"/>
      <c r="AD12" s="364"/>
      <c r="AE12" s="364"/>
      <c r="AF12" s="364"/>
    </row>
    <row r="13" spans="1:32" x14ac:dyDescent="0.2">
      <c r="A13" s="71" t="s">
        <v>866</v>
      </c>
      <c r="B13" s="25" t="s">
        <v>487</v>
      </c>
      <c r="C13" s="16">
        <f>(209*34)</f>
        <v>7106</v>
      </c>
      <c r="D13" s="16">
        <f>(209*34)</f>
        <v>7106</v>
      </c>
      <c r="E13" s="16">
        <f>1513+227</f>
        <v>1740</v>
      </c>
      <c r="F13" s="16">
        <f>1513+227</f>
        <v>1740</v>
      </c>
      <c r="G13" s="16">
        <f>1513+227</f>
        <v>1740</v>
      </c>
      <c r="H13" s="16">
        <f>(209*4)</f>
        <v>836</v>
      </c>
      <c r="I13" s="16">
        <f>(209*4)</f>
        <v>836</v>
      </c>
      <c r="J13" s="16">
        <f>178+7</f>
        <v>185</v>
      </c>
      <c r="K13" s="16">
        <f>178+7</f>
        <v>185</v>
      </c>
      <c r="L13" s="16">
        <f>178+7</f>
        <v>185</v>
      </c>
      <c r="M13" s="607">
        <f>(209*2)</f>
        <v>418</v>
      </c>
      <c r="N13" s="607">
        <f>(209*2)</f>
        <v>418</v>
      </c>
      <c r="O13" s="607">
        <f>89+27</f>
        <v>116</v>
      </c>
      <c r="P13" s="607">
        <f>89+27</f>
        <v>116</v>
      </c>
      <c r="Q13" s="607">
        <f>89+27</f>
        <v>116</v>
      </c>
      <c r="R13" s="387">
        <f t="shared" si="1"/>
        <v>8360</v>
      </c>
      <c r="S13" s="387">
        <f t="shared" si="2"/>
        <v>8360</v>
      </c>
      <c r="T13" s="387">
        <f t="shared" si="3"/>
        <v>2041</v>
      </c>
      <c r="U13" s="387">
        <f t="shared" si="4"/>
        <v>2041</v>
      </c>
      <c r="V13" s="387">
        <f t="shared" si="5"/>
        <v>2041</v>
      </c>
      <c r="W13" s="37"/>
      <c r="X13" s="727"/>
      <c r="Y13" s="727"/>
      <c r="Z13" s="728"/>
      <c r="AA13" s="729"/>
      <c r="AB13" s="729"/>
      <c r="AC13" s="612"/>
      <c r="AD13" s="364"/>
      <c r="AE13" s="364"/>
      <c r="AF13" s="364"/>
    </row>
    <row r="14" spans="1:32" x14ac:dyDescent="0.2">
      <c r="A14" s="71" t="s">
        <v>877</v>
      </c>
      <c r="B14" s="25" t="s">
        <v>468</v>
      </c>
      <c r="C14" s="17">
        <v>2100</v>
      </c>
      <c r="D14" s="17">
        <v>2100</v>
      </c>
      <c r="E14" s="17">
        <f>2100+100</f>
        <v>2200</v>
      </c>
      <c r="F14" s="17">
        <f>2100+100</f>
        <v>2200</v>
      </c>
      <c r="G14" s="17">
        <f>2100+100</f>
        <v>2200</v>
      </c>
      <c r="H14" s="17">
        <f>200-50</f>
        <v>150</v>
      </c>
      <c r="I14" s="17">
        <f>200-50</f>
        <v>150</v>
      </c>
      <c r="J14" s="16">
        <f>200-50+5</f>
        <v>155</v>
      </c>
      <c r="K14" s="16">
        <f>200-50+5</f>
        <v>155</v>
      </c>
      <c r="L14" s="16">
        <f>200-50+5</f>
        <v>155</v>
      </c>
      <c r="M14" s="607">
        <v>130</v>
      </c>
      <c r="N14" s="607">
        <f>130+54</f>
        <v>184</v>
      </c>
      <c r="O14" s="607">
        <f>130+155</f>
        <v>285</v>
      </c>
      <c r="P14" s="607">
        <f>130+155</f>
        <v>285</v>
      </c>
      <c r="Q14" s="607">
        <f>130+155</f>
        <v>285</v>
      </c>
      <c r="R14" s="387">
        <f t="shared" si="1"/>
        <v>2380</v>
      </c>
      <c r="S14" s="387">
        <f t="shared" si="2"/>
        <v>2434</v>
      </c>
      <c r="T14" s="387">
        <f t="shared" si="3"/>
        <v>2640</v>
      </c>
      <c r="U14" s="387">
        <f t="shared" si="4"/>
        <v>2640</v>
      </c>
      <c r="V14" s="387">
        <f t="shared" si="5"/>
        <v>2640</v>
      </c>
      <c r="W14" s="36"/>
      <c r="X14" s="727"/>
      <c r="Y14" s="727"/>
      <c r="Z14" s="728"/>
      <c r="AA14" s="729"/>
      <c r="AB14" s="729"/>
      <c r="AC14" s="612"/>
      <c r="AD14" s="364"/>
      <c r="AE14" s="364"/>
      <c r="AF14" s="364"/>
    </row>
    <row r="15" spans="1:32" x14ac:dyDescent="0.2">
      <c r="A15" s="71" t="s">
        <v>852</v>
      </c>
      <c r="B15" s="25" t="s">
        <v>62</v>
      </c>
      <c r="C15" s="17">
        <v>500</v>
      </c>
      <c r="D15" s="17">
        <v>500</v>
      </c>
      <c r="E15" s="17">
        <v>500</v>
      </c>
      <c r="F15" s="17">
        <v>500</v>
      </c>
      <c r="G15" s="17">
        <v>500</v>
      </c>
      <c r="H15" s="17"/>
      <c r="I15" s="17"/>
      <c r="J15" s="16"/>
      <c r="K15" s="16"/>
      <c r="L15" s="16"/>
      <c r="M15" s="607"/>
      <c r="N15" s="607"/>
      <c r="O15" s="607"/>
      <c r="P15" s="607"/>
      <c r="Q15" s="607"/>
      <c r="R15" s="387">
        <f t="shared" si="1"/>
        <v>500</v>
      </c>
      <c r="S15" s="387">
        <f t="shared" si="2"/>
        <v>500</v>
      </c>
      <c r="T15" s="387">
        <f t="shared" si="3"/>
        <v>500</v>
      </c>
      <c r="U15" s="387">
        <f t="shared" si="4"/>
        <v>500</v>
      </c>
      <c r="V15" s="387">
        <f t="shared" si="5"/>
        <v>500</v>
      </c>
      <c r="W15" s="200"/>
      <c r="X15" s="727"/>
      <c r="Y15" s="727"/>
      <c r="Z15" s="728"/>
      <c r="AA15" s="729"/>
      <c r="AB15" s="729"/>
      <c r="AC15" s="612"/>
      <c r="AD15" s="364"/>
      <c r="AE15" s="364"/>
      <c r="AF15" s="364"/>
    </row>
    <row r="16" spans="1:32" x14ac:dyDescent="0.2">
      <c r="A16" s="71" t="s">
        <v>878</v>
      </c>
      <c r="B16" s="25" t="s">
        <v>1183</v>
      </c>
      <c r="C16" s="16">
        <v>4245</v>
      </c>
      <c r="D16" s="16">
        <v>4245</v>
      </c>
      <c r="E16" s="16">
        <f>(1166+23)+182</f>
        <v>1371</v>
      </c>
      <c r="F16" s="16">
        <f>(1166+23)+182</f>
        <v>1371</v>
      </c>
      <c r="G16" s="16">
        <f>(1166+23)+182</f>
        <v>1371</v>
      </c>
      <c r="H16" s="16"/>
      <c r="I16" s="16"/>
      <c r="J16" s="16">
        <v>902</v>
      </c>
      <c r="K16" s="16">
        <v>902</v>
      </c>
      <c r="L16" s="16">
        <v>902</v>
      </c>
      <c r="M16" s="607"/>
      <c r="N16" s="607"/>
      <c r="O16" s="607"/>
      <c r="P16" s="607"/>
      <c r="Q16" s="607"/>
      <c r="R16" s="387">
        <f t="shared" si="1"/>
        <v>4245</v>
      </c>
      <c r="S16" s="387">
        <f t="shared" si="2"/>
        <v>4245</v>
      </c>
      <c r="T16" s="387">
        <f t="shared" si="3"/>
        <v>2273</v>
      </c>
      <c r="U16" s="387">
        <f t="shared" si="4"/>
        <v>2273</v>
      </c>
      <c r="V16" s="387">
        <f t="shared" si="5"/>
        <v>2273</v>
      </c>
      <c r="W16" s="37"/>
      <c r="X16" s="727"/>
      <c r="Y16" s="727"/>
      <c r="Z16" s="728"/>
      <c r="AA16" s="729"/>
      <c r="AB16" s="729"/>
      <c r="AC16" s="612"/>
      <c r="AD16" s="364"/>
      <c r="AE16" s="364"/>
      <c r="AF16" s="364"/>
    </row>
    <row r="17" spans="1:32" x14ac:dyDescent="0.2">
      <c r="A17" s="71" t="s">
        <v>833</v>
      </c>
      <c r="B17" s="25" t="s">
        <v>1184</v>
      </c>
      <c r="C17" s="16">
        <v>800</v>
      </c>
      <c r="D17" s="16">
        <f>800+200+147+25</f>
        <v>1172</v>
      </c>
      <c r="E17" s="16">
        <f>800+4700</f>
        <v>5500</v>
      </c>
      <c r="F17" s="16">
        <f>800+4700</f>
        <v>5500</v>
      </c>
      <c r="G17" s="16">
        <f>800+4700</f>
        <v>5500</v>
      </c>
      <c r="H17" s="16">
        <v>200</v>
      </c>
      <c r="I17" s="16">
        <f>200+150</f>
        <v>350</v>
      </c>
      <c r="J17" s="16">
        <f>200+120+44</f>
        <v>364</v>
      </c>
      <c r="K17" s="16">
        <f>200+120+44</f>
        <v>364</v>
      </c>
      <c r="L17" s="16">
        <f>200+120+44</f>
        <v>364</v>
      </c>
      <c r="M17" s="607"/>
      <c r="N17" s="607"/>
      <c r="O17" s="607">
        <v>297</v>
      </c>
      <c r="P17" s="607">
        <v>297</v>
      </c>
      <c r="Q17" s="607">
        <v>297</v>
      </c>
      <c r="R17" s="387">
        <f t="shared" si="1"/>
        <v>1000</v>
      </c>
      <c r="S17" s="387">
        <f t="shared" si="2"/>
        <v>1522</v>
      </c>
      <c r="T17" s="387">
        <f t="shared" si="3"/>
        <v>6161</v>
      </c>
      <c r="U17" s="387">
        <f t="shared" si="4"/>
        <v>6161</v>
      </c>
      <c r="V17" s="387">
        <f t="shared" si="5"/>
        <v>6161</v>
      </c>
      <c r="W17" s="36"/>
      <c r="X17" s="727"/>
      <c r="Y17" s="727"/>
      <c r="Z17" s="728"/>
      <c r="AA17" s="729"/>
      <c r="AB17" s="729"/>
      <c r="AC17" s="612"/>
      <c r="AD17" s="364"/>
      <c r="AE17" s="364"/>
      <c r="AF17" s="364"/>
    </row>
    <row r="18" spans="1:32" x14ac:dyDescent="0.2">
      <c r="A18" s="71" t="s">
        <v>834</v>
      </c>
      <c r="B18" s="25" t="s">
        <v>867</v>
      </c>
      <c r="C18" s="17">
        <v>600</v>
      </c>
      <c r="D18" s="17">
        <v>600</v>
      </c>
      <c r="E18" s="17">
        <v>600</v>
      </c>
      <c r="F18" s="17">
        <v>600</v>
      </c>
      <c r="G18" s="17">
        <v>600</v>
      </c>
      <c r="H18" s="17"/>
      <c r="I18" s="17"/>
      <c r="J18" s="16"/>
      <c r="K18" s="16"/>
      <c r="L18" s="16"/>
      <c r="M18" s="607"/>
      <c r="N18" s="607"/>
      <c r="O18" s="607"/>
      <c r="P18" s="607"/>
      <c r="Q18" s="607"/>
      <c r="R18" s="387">
        <f t="shared" si="1"/>
        <v>600</v>
      </c>
      <c r="S18" s="387">
        <f t="shared" si="2"/>
        <v>600</v>
      </c>
      <c r="T18" s="387">
        <f t="shared" si="3"/>
        <v>600</v>
      </c>
      <c r="U18" s="387">
        <f t="shared" si="4"/>
        <v>600</v>
      </c>
      <c r="V18" s="387">
        <f t="shared" si="5"/>
        <v>600</v>
      </c>
      <c r="W18" s="36"/>
      <c r="X18" s="727"/>
      <c r="Y18" s="727"/>
      <c r="Z18" s="728"/>
      <c r="AA18" s="729"/>
      <c r="AB18" s="729"/>
      <c r="AC18" s="612"/>
      <c r="AD18" s="364"/>
      <c r="AE18" s="364"/>
      <c r="AF18" s="364"/>
    </row>
    <row r="19" spans="1:32" x14ac:dyDescent="0.2">
      <c r="A19" s="71" t="s">
        <v>833</v>
      </c>
      <c r="B19" s="25" t="s">
        <v>486</v>
      </c>
      <c r="C19" s="17"/>
      <c r="D19" s="17"/>
      <c r="E19" s="17"/>
      <c r="F19" s="17"/>
      <c r="G19" s="17"/>
      <c r="H19" s="17">
        <v>0</v>
      </c>
      <c r="I19" s="17">
        <v>5000</v>
      </c>
      <c r="J19" s="16"/>
      <c r="K19" s="16"/>
      <c r="L19" s="16"/>
      <c r="M19" s="607"/>
      <c r="N19" s="607"/>
      <c r="O19" s="607"/>
      <c r="P19" s="607"/>
      <c r="Q19" s="607"/>
      <c r="R19" s="387">
        <f>C19+H19+M19</f>
        <v>0</v>
      </c>
      <c r="S19" s="387">
        <f t="shared" si="2"/>
        <v>5000</v>
      </c>
      <c r="T19" s="387">
        <f t="shared" si="3"/>
        <v>0</v>
      </c>
      <c r="U19" s="387">
        <f t="shared" si="4"/>
        <v>0</v>
      </c>
      <c r="V19" s="387">
        <f t="shared" si="5"/>
        <v>0</v>
      </c>
      <c r="W19" s="37"/>
      <c r="X19" s="392"/>
      <c r="Y19" s="727"/>
      <c r="Z19" s="728"/>
      <c r="AA19" s="729"/>
      <c r="AB19" s="729"/>
      <c r="AC19" s="612"/>
      <c r="AD19" s="364"/>
      <c r="AE19" s="364"/>
      <c r="AF19" s="364"/>
    </row>
    <row r="20" spans="1:32" x14ac:dyDescent="0.2">
      <c r="A20" s="94" t="s">
        <v>222</v>
      </c>
      <c r="B20" s="135" t="s">
        <v>301</v>
      </c>
      <c r="C20" s="296">
        <f t="shared" ref="C20:V20" si="6">SUM(C10:C19)</f>
        <v>151229</v>
      </c>
      <c r="D20" s="296">
        <f>SUM(D10:D19)</f>
        <v>151576</v>
      </c>
      <c r="E20" s="296">
        <f>SUM(E10:E19)</f>
        <v>142340</v>
      </c>
      <c r="F20" s="296">
        <f>SUM(F10:F19)</f>
        <v>142340</v>
      </c>
      <c r="G20" s="296">
        <f t="shared" si="6"/>
        <v>142340</v>
      </c>
      <c r="H20" s="296">
        <f t="shared" si="6"/>
        <v>16949</v>
      </c>
      <c r="I20" s="296">
        <f>SUM(I10:I19)</f>
        <v>22099</v>
      </c>
      <c r="J20" s="296">
        <f>SUM(J10:J19)</f>
        <v>17563</v>
      </c>
      <c r="K20" s="296">
        <f>SUM(K10:K19)</f>
        <v>17563</v>
      </c>
      <c r="L20" s="296">
        <f t="shared" si="6"/>
        <v>17563</v>
      </c>
      <c r="M20" s="296">
        <f t="shared" si="6"/>
        <v>7129</v>
      </c>
      <c r="N20" s="296">
        <f>SUM(N10:N19)</f>
        <v>7188</v>
      </c>
      <c r="O20" s="296">
        <f>SUM(O10:O19)</f>
        <v>7379</v>
      </c>
      <c r="P20" s="296">
        <f>SUM(P10:P19)</f>
        <v>7379</v>
      </c>
      <c r="Q20" s="296">
        <f t="shared" si="6"/>
        <v>7379</v>
      </c>
      <c r="R20" s="296">
        <f t="shared" si="6"/>
        <v>175307</v>
      </c>
      <c r="S20" s="296">
        <f t="shared" si="6"/>
        <v>180863</v>
      </c>
      <c r="T20" s="296">
        <f t="shared" si="6"/>
        <v>167282</v>
      </c>
      <c r="U20" s="296">
        <f t="shared" si="6"/>
        <v>167282</v>
      </c>
      <c r="V20" s="296">
        <f t="shared" si="6"/>
        <v>167282</v>
      </c>
      <c r="W20" s="37"/>
      <c r="X20" s="392"/>
      <c r="Y20" s="727"/>
      <c r="Z20" s="728"/>
      <c r="AA20" s="729"/>
      <c r="AB20" s="729"/>
      <c r="AC20" s="612"/>
      <c r="AD20" s="364"/>
      <c r="AE20" s="364"/>
      <c r="AF20" s="364"/>
    </row>
    <row r="21" spans="1:32" x14ac:dyDescent="0.2">
      <c r="A21" s="71"/>
      <c r="B21" s="25" t="s">
        <v>30</v>
      </c>
      <c r="C21" s="16">
        <f>(21132+53+658+84)</f>
        <v>21927</v>
      </c>
      <c r="D21" s="16">
        <f>(21132+53+658+84)+20</f>
        <v>21947</v>
      </c>
      <c r="E21" s="16">
        <f>(23719+453+17)</f>
        <v>24189</v>
      </c>
      <c r="F21" s="16">
        <f>(23719+453+17)</f>
        <v>24189</v>
      </c>
      <c r="G21" s="16">
        <f>(23719+453+17)</f>
        <v>24189</v>
      </c>
      <c r="H21" s="16">
        <f>(2443+31)</f>
        <v>2474</v>
      </c>
      <c r="I21" s="16">
        <f>(2443+31)+775</f>
        <v>3249</v>
      </c>
      <c r="J21" s="16">
        <f>(2759+193+44)</f>
        <v>2996</v>
      </c>
      <c r="K21" s="16">
        <f>(2759+193+44)</f>
        <v>2996</v>
      </c>
      <c r="L21" s="16">
        <f>(2759+193+44)</f>
        <v>2996</v>
      </c>
      <c r="M21" s="607">
        <v>1020</v>
      </c>
      <c r="N21" s="607">
        <v>1020</v>
      </c>
      <c r="O21" s="607">
        <v>1152</v>
      </c>
      <c r="P21" s="607">
        <v>1152</v>
      </c>
      <c r="Q21" s="607">
        <v>1152</v>
      </c>
      <c r="R21" s="387">
        <f t="shared" ref="R21:V22" si="7">C21+H21+M21</f>
        <v>25421</v>
      </c>
      <c r="S21" s="387">
        <f t="shared" si="7"/>
        <v>26216</v>
      </c>
      <c r="T21" s="387">
        <f t="shared" si="7"/>
        <v>28337</v>
      </c>
      <c r="U21" s="387">
        <f t="shared" si="7"/>
        <v>28337</v>
      </c>
      <c r="V21" s="387">
        <f t="shared" si="7"/>
        <v>28337</v>
      </c>
      <c r="W21" s="37"/>
      <c r="X21" s="392"/>
      <c r="Y21" s="727"/>
      <c r="Z21" s="728"/>
      <c r="AA21" s="729"/>
      <c r="AB21" s="729"/>
      <c r="AC21" s="612"/>
      <c r="AD21" s="364"/>
      <c r="AE21" s="364"/>
      <c r="AF21" s="364"/>
    </row>
    <row r="22" spans="1:32" x14ac:dyDescent="0.2">
      <c r="A22" s="71"/>
      <c r="B22" s="25" t="s">
        <v>121</v>
      </c>
      <c r="C22" s="16">
        <f>(1054+180)</f>
        <v>1234</v>
      </c>
      <c r="D22" s="16">
        <f>(1054+180)</f>
        <v>1234</v>
      </c>
      <c r="E22" s="16">
        <v>576</v>
      </c>
      <c r="F22" s="16">
        <v>576</v>
      </c>
      <c r="G22" s="16">
        <v>576</v>
      </c>
      <c r="H22" s="17">
        <v>124</v>
      </c>
      <c r="I22" s="17">
        <v>124</v>
      </c>
      <c r="J22" s="16">
        <v>62</v>
      </c>
      <c r="K22" s="16">
        <v>62</v>
      </c>
      <c r="L22" s="16">
        <v>62</v>
      </c>
      <c r="M22" s="607">
        <v>62</v>
      </c>
      <c r="N22" s="607">
        <v>62</v>
      </c>
      <c r="O22" s="607">
        <v>31</v>
      </c>
      <c r="P22" s="607">
        <v>31</v>
      </c>
      <c r="Q22" s="607">
        <v>31</v>
      </c>
      <c r="R22" s="387">
        <f t="shared" si="7"/>
        <v>1420</v>
      </c>
      <c r="S22" s="387">
        <f t="shared" si="7"/>
        <v>1420</v>
      </c>
      <c r="T22" s="387">
        <f t="shared" si="7"/>
        <v>669</v>
      </c>
      <c r="U22" s="387">
        <f t="shared" si="7"/>
        <v>669</v>
      </c>
      <c r="V22" s="387">
        <f t="shared" si="7"/>
        <v>669</v>
      </c>
      <c r="W22" s="37"/>
      <c r="X22" s="392"/>
      <c r="Y22" s="727"/>
      <c r="Z22" s="728"/>
      <c r="AA22" s="729"/>
      <c r="AB22" s="729"/>
      <c r="AC22" s="612"/>
      <c r="AD22" s="364"/>
      <c r="AE22" s="364"/>
      <c r="AF22" s="364"/>
    </row>
    <row r="23" spans="1:32" x14ac:dyDescent="0.2">
      <c r="A23" s="94" t="s">
        <v>223</v>
      </c>
      <c r="B23" s="135" t="s">
        <v>107</v>
      </c>
      <c r="C23" s="296">
        <f t="shared" ref="C23:Q23" si="8">SUM(C21:C22)</f>
        <v>23161</v>
      </c>
      <c r="D23" s="296">
        <f>SUM(D21:D22)</f>
        <v>23181</v>
      </c>
      <c r="E23" s="296">
        <f t="shared" si="8"/>
        <v>24765</v>
      </c>
      <c r="F23" s="296">
        <f t="shared" si="8"/>
        <v>24765</v>
      </c>
      <c r="G23" s="296">
        <f t="shared" si="8"/>
        <v>24765</v>
      </c>
      <c r="H23" s="296">
        <f t="shared" si="8"/>
        <v>2598</v>
      </c>
      <c r="I23" s="296">
        <f>SUM(I21:I22)</f>
        <v>3373</v>
      </c>
      <c r="J23" s="296">
        <f>SUM(J21:J22)</f>
        <v>3058</v>
      </c>
      <c r="K23" s="296">
        <f>SUM(K21:K22)</f>
        <v>3058</v>
      </c>
      <c r="L23" s="296">
        <f t="shared" si="8"/>
        <v>3058</v>
      </c>
      <c r="M23" s="296">
        <f t="shared" si="8"/>
        <v>1082</v>
      </c>
      <c r="N23" s="296">
        <f>SUM(N21:N22)</f>
        <v>1082</v>
      </c>
      <c r="O23" s="296">
        <f>SUM(O21:O22)</f>
        <v>1183</v>
      </c>
      <c r="P23" s="296">
        <f>SUM(P21:P22)</f>
        <v>1183</v>
      </c>
      <c r="Q23" s="296">
        <f t="shared" si="8"/>
        <v>1183</v>
      </c>
      <c r="R23" s="188">
        <f>SUM(R21:R22)</f>
        <v>26841</v>
      </c>
      <c r="S23" s="188">
        <f>SUM(S21:S22)</f>
        <v>27636</v>
      </c>
      <c r="T23" s="188">
        <f>SUM(T21:T22)</f>
        <v>29006</v>
      </c>
      <c r="U23" s="188">
        <f>SUM(U21:U22)</f>
        <v>29006</v>
      </c>
      <c r="V23" s="188">
        <f>SUM(V21:V22)</f>
        <v>29006</v>
      </c>
      <c r="W23" s="37"/>
      <c r="X23" s="392"/>
      <c r="Y23" s="727"/>
      <c r="Z23" s="728"/>
      <c r="AA23" s="729"/>
      <c r="AB23" s="729"/>
      <c r="AC23" s="612"/>
      <c r="AD23" s="364"/>
      <c r="AE23" s="364"/>
      <c r="AF23" s="364"/>
    </row>
    <row r="24" spans="1:32" x14ac:dyDescent="0.2">
      <c r="A24" s="94" t="s">
        <v>268</v>
      </c>
      <c r="B24" s="29" t="s">
        <v>290</v>
      </c>
      <c r="C24" s="15">
        <f t="shared" ref="C24:Q24" si="9">SUM(C25:C31)</f>
        <v>4150</v>
      </c>
      <c r="D24" s="15">
        <f>SUM(D25:D31)</f>
        <v>3550</v>
      </c>
      <c r="E24" s="15">
        <f t="shared" si="9"/>
        <v>4150</v>
      </c>
      <c r="F24" s="15">
        <f t="shared" si="9"/>
        <v>4150</v>
      </c>
      <c r="G24" s="15">
        <f t="shared" si="9"/>
        <v>4150</v>
      </c>
      <c r="H24" s="15">
        <f t="shared" si="9"/>
        <v>0</v>
      </c>
      <c r="I24" s="15">
        <f>SUM(I25:I31)</f>
        <v>0</v>
      </c>
      <c r="J24" s="15">
        <f>SUM(J25:J31)</f>
        <v>0</v>
      </c>
      <c r="K24" s="15">
        <f>SUM(K25:K31)</f>
        <v>0</v>
      </c>
      <c r="L24" s="15">
        <f t="shared" si="9"/>
        <v>0</v>
      </c>
      <c r="M24" s="15">
        <f t="shared" si="9"/>
        <v>110</v>
      </c>
      <c r="N24" s="15">
        <f>SUM(N25:N31)</f>
        <v>110</v>
      </c>
      <c r="O24" s="15">
        <f>SUM(O25:O31)</f>
        <v>110</v>
      </c>
      <c r="P24" s="15">
        <f>SUM(P25:P31)</f>
        <v>110</v>
      </c>
      <c r="Q24" s="15">
        <f t="shared" si="9"/>
        <v>110</v>
      </c>
      <c r="R24" s="386">
        <f>(H24+C24+M24)</f>
        <v>4260</v>
      </c>
      <c r="S24" s="386">
        <f>(I24+D24+N24)</f>
        <v>3660</v>
      </c>
      <c r="T24" s="386">
        <f>(J24+E24+O24)</f>
        <v>4260</v>
      </c>
      <c r="U24" s="386">
        <f>(K24+F24+P24)</f>
        <v>4260</v>
      </c>
      <c r="V24" s="386">
        <f>(L24+G24+Q24)</f>
        <v>4260</v>
      </c>
      <c r="W24" s="37"/>
      <c r="X24" s="612"/>
      <c r="Y24" s="729"/>
      <c r="Z24" s="728"/>
      <c r="AA24" s="729"/>
      <c r="AB24" s="729"/>
      <c r="AC24" s="612"/>
      <c r="AD24" s="364"/>
      <c r="AE24" s="364"/>
      <c r="AF24" s="364"/>
    </row>
    <row r="25" spans="1:32" x14ac:dyDescent="0.2">
      <c r="A25" s="71" t="s">
        <v>269</v>
      </c>
      <c r="B25" s="25" t="s">
        <v>340</v>
      </c>
      <c r="C25" s="16">
        <v>450</v>
      </c>
      <c r="D25" s="16">
        <f>450-43</f>
        <v>407</v>
      </c>
      <c r="E25" s="16">
        <v>450</v>
      </c>
      <c r="F25" s="16">
        <v>450</v>
      </c>
      <c r="G25" s="16">
        <v>450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387">
        <f>C25+H25+M25</f>
        <v>450</v>
      </c>
      <c r="S25" s="387">
        <f>D25+I25+N25</f>
        <v>407</v>
      </c>
      <c r="T25" s="387">
        <f>E25+J25+O25</f>
        <v>450</v>
      </c>
      <c r="U25" s="387">
        <f>F25+K25+P25</f>
        <v>450</v>
      </c>
      <c r="V25" s="387">
        <f>G25+L25+Q25</f>
        <v>450</v>
      </c>
      <c r="W25" s="37"/>
      <c r="X25" s="729"/>
      <c r="Y25" s="729"/>
      <c r="Z25" s="728"/>
      <c r="AA25" s="729"/>
      <c r="AB25" s="729"/>
      <c r="AC25" s="612"/>
      <c r="AD25" s="364"/>
      <c r="AE25" s="364"/>
      <c r="AF25" s="364"/>
    </row>
    <row r="26" spans="1:32" x14ac:dyDescent="0.2">
      <c r="A26" s="71" t="s">
        <v>270</v>
      </c>
      <c r="B26" s="25" t="s">
        <v>291</v>
      </c>
      <c r="C26" s="16">
        <v>0</v>
      </c>
      <c r="D26" s="16">
        <v>0</v>
      </c>
      <c r="E26" s="16">
        <v>100</v>
      </c>
      <c r="F26" s="16">
        <v>100</v>
      </c>
      <c r="G26" s="16">
        <v>100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387">
        <f t="shared" ref="R26:R31" si="10">C26+H26+M26</f>
        <v>0</v>
      </c>
      <c r="S26" s="387">
        <f t="shared" ref="S26:S32" si="11">D26+I26+N26</f>
        <v>0</v>
      </c>
      <c r="T26" s="387">
        <f t="shared" ref="T26:T32" si="12">E26+J26+O26</f>
        <v>100</v>
      </c>
      <c r="U26" s="387">
        <f t="shared" ref="U26:U32" si="13">F26+K26+P26</f>
        <v>100</v>
      </c>
      <c r="V26" s="387">
        <f t="shared" ref="V26:V32" si="14">G26+L26+Q26</f>
        <v>100</v>
      </c>
      <c r="W26" s="36"/>
      <c r="X26" s="729"/>
      <c r="Y26" s="729"/>
      <c r="Z26" s="728"/>
      <c r="AA26" s="729"/>
      <c r="AB26" s="729"/>
      <c r="AC26" s="612"/>
      <c r="AD26" s="364"/>
      <c r="AE26" s="364"/>
      <c r="AF26" s="364"/>
    </row>
    <row r="27" spans="1:32" x14ac:dyDescent="0.2">
      <c r="A27" s="71"/>
      <c r="B27" s="25" t="s">
        <v>348</v>
      </c>
      <c r="C27" s="16">
        <v>1300</v>
      </c>
      <c r="D27" s="16">
        <v>1300</v>
      </c>
      <c r="E27" s="16">
        <v>1300</v>
      </c>
      <c r="F27" s="16">
        <v>1300</v>
      </c>
      <c r="G27" s="16">
        <v>1300</v>
      </c>
      <c r="H27" s="17"/>
      <c r="I27" s="17"/>
      <c r="J27" s="17"/>
      <c r="K27" s="17"/>
      <c r="L27" s="17"/>
      <c r="M27" s="17">
        <v>20</v>
      </c>
      <c r="N27" s="17">
        <v>20</v>
      </c>
      <c r="O27" s="17">
        <v>20</v>
      </c>
      <c r="P27" s="17">
        <v>20</v>
      </c>
      <c r="Q27" s="17">
        <v>20</v>
      </c>
      <c r="R27" s="387">
        <f t="shared" si="10"/>
        <v>1320</v>
      </c>
      <c r="S27" s="387">
        <f t="shared" si="11"/>
        <v>1320</v>
      </c>
      <c r="T27" s="387">
        <f t="shared" si="12"/>
        <v>1320</v>
      </c>
      <c r="U27" s="387">
        <f t="shared" si="13"/>
        <v>1320</v>
      </c>
      <c r="V27" s="387">
        <f t="shared" si="14"/>
        <v>1320</v>
      </c>
      <c r="W27" s="36"/>
      <c r="X27" s="729"/>
      <c r="Y27" s="729"/>
      <c r="Z27" s="728"/>
      <c r="AA27" s="729"/>
      <c r="AB27" s="729"/>
      <c r="AC27" s="612"/>
      <c r="AD27" s="364"/>
      <c r="AE27" s="364"/>
      <c r="AF27" s="364"/>
    </row>
    <row r="28" spans="1:32" x14ac:dyDescent="0.2">
      <c r="A28" s="71"/>
      <c r="B28" s="25" t="s">
        <v>473</v>
      </c>
      <c r="C28" s="16">
        <v>1500</v>
      </c>
      <c r="D28" s="16">
        <f>1500-600</f>
        <v>900</v>
      </c>
      <c r="E28" s="16">
        <f>1500-400-100</f>
        <v>1000</v>
      </c>
      <c r="F28" s="16">
        <f>1500-400-100</f>
        <v>1000</v>
      </c>
      <c r="G28" s="16">
        <f>1500-400-100</f>
        <v>1000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/>
      <c r="N28" s="17"/>
      <c r="O28" s="17"/>
      <c r="P28" s="17"/>
      <c r="Q28" s="17"/>
      <c r="R28" s="387">
        <f t="shared" si="10"/>
        <v>1500</v>
      </c>
      <c r="S28" s="387">
        <f t="shared" si="11"/>
        <v>900</v>
      </c>
      <c r="T28" s="387">
        <f t="shared" si="12"/>
        <v>1000</v>
      </c>
      <c r="U28" s="387">
        <f t="shared" si="13"/>
        <v>1000</v>
      </c>
      <c r="V28" s="387">
        <f t="shared" si="14"/>
        <v>1000</v>
      </c>
      <c r="W28" s="36"/>
      <c r="X28" s="729"/>
      <c r="Y28" s="729"/>
      <c r="Z28" s="728"/>
      <c r="AA28" s="729"/>
      <c r="AB28" s="729"/>
      <c r="AC28" s="612"/>
      <c r="AD28" s="364"/>
      <c r="AE28" s="364"/>
      <c r="AF28" s="364"/>
    </row>
    <row r="29" spans="1:32" x14ac:dyDescent="0.2">
      <c r="A29" s="71"/>
      <c r="B29" s="25" t="s">
        <v>313</v>
      </c>
      <c r="C29" s="16">
        <v>400</v>
      </c>
      <c r="D29" s="16">
        <v>400</v>
      </c>
      <c r="E29" s="16">
        <v>400</v>
      </c>
      <c r="F29" s="16">
        <v>400</v>
      </c>
      <c r="G29" s="16">
        <v>400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387">
        <f t="shared" si="10"/>
        <v>400</v>
      </c>
      <c r="S29" s="387">
        <f t="shared" si="11"/>
        <v>400</v>
      </c>
      <c r="T29" s="387">
        <f t="shared" si="12"/>
        <v>400</v>
      </c>
      <c r="U29" s="387">
        <f t="shared" si="13"/>
        <v>400</v>
      </c>
      <c r="V29" s="387">
        <f t="shared" si="14"/>
        <v>400</v>
      </c>
      <c r="W29" s="36"/>
      <c r="X29" s="612"/>
      <c r="Y29" s="612"/>
      <c r="Z29" s="723"/>
      <c r="AA29" s="612"/>
      <c r="AB29" s="612"/>
      <c r="AC29" s="612"/>
      <c r="AD29" s="364"/>
      <c r="AE29" s="364"/>
      <c r="AF29" s="364"/>
    </row>
    <row r="30" spans="1:32" x14ac:dyDescent="0.2">
      <c r="A30" s="71"/>
      <c r="B30" s="25" t="s">
        <v>803</v>
      </c>
      <c r="C30" s="16">
        <v>0</v>
      </c>
      <c r="D30" s="16">
        <v>43</v>
      </c>
      <c r="E30" s="16"/>
      <c r="F30" s="16"/>
      <c r="G30" s="16"/>
      <c r="H30" s="17"/>
      <c r="I30" s="17"/>
      <c r="J30" s="17"/>
      <c r="K30" s="17"/>
      <c r="L30" s="17"/>
      <c r="M30" s="16">
        <v>90</v>
      </c>
      <c r="N30" s="16">
        <v>90</v>
      </c>
      <c r="O30" s="16">
        <v>90</v>
      </c>
      <c r="P30" s="16">
        <v>90</v>
      </c>
      <c r="Q30" s="16">
        <v>90</v>
      </c>
      <c r="R30" s="387">
        <f t="shared" si="10"/>
        <v>90</v>
      </c>
      <c r="S30" s="387">
        <f t="shared" si="11"/>
        <v>133</v>
      </c>
      <c r="T30" s="387">
        <f t="shared" si="12"/>
        <v>90</v>
      </c>
      <c r="U30" s="387">
        <f t="shared" si="13"/>
        <v>90</v>
      </c>
      <c r="V30" s="387">
        <f t="shared" si="14"/>
        <v>90</v>
      </c>
      <c r="W30" s="36"/>
      <c r="X30" s="612"/>
      <c r="Y30" s="612"/>
      <c r="Z30" s="723"/>
      <c r="AA30" s="612"/>
      <c r="AB30" s="612"/>
      <c r="AC30" s="612"/>
      <c r="AD30" s="364"/>
      <c r="AE30" s="364"/>
      <c r="AF30" s="364"/>
    </row>
    <row r="31" spans="1:32" x14ac:dyDescent="0.2">
      <c r="A31" s="71"/>
      <c r="B31" s="25" t="s">
        <v>314</v>
      </c>
      <c r="C31" s="16">
        <v>500</v>
      </c>
      <c r="D31" s="16">
        <v>500</v>
      </c>
      <c r="E31" s="16">
        <f>500+400</f>
        <v>900</v>
      </c>
      <c r="F31" s="16">
        <f>500+400</f>
        <v>900</v>
      </c>
      <c r="G31" s="16">
        <f>500+400</f>
        <v>900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387">
        <f t="shared" si="10"/>
        <v>500</v>
      </c>
      <c r="S31" s="387">
        <f t="shared" si="11"/>
        <v>500</v>
      </c>
      <c r="T31" s="387">
        <f t="shared" si="12"/>
        <v>900</v>
      </c>
      <c r="U31" s="387">
        <f t="shared" si="13"/>
        <v>900</v>
      </c>
      <c r="V31" s="387">
        <f t="shared" si="14"/>
        <v>900</v>
      </c>
      <c r="W31" s="36"/>
      <c r="Z31" s="395"/>
      <c r="AD31" s="231"/>
      <c r="AE31" s="231"/>
      <c r="AF31" s="231"/>
    </row>
    <row r="32" spans="1:32" x14ac:dyDescent="0.2">
      <c r="A32" s="94" t="s">
        <v>271</v>
      </c>
      <c r="B32" s="29" t="s">
        <v>292</v>
      </c>
      <c r="C32" s="15">
        <f>SUM(C33:C39)</f>
        <v>1947</v>
      </c>
      <c r="D32" s="15">
        <f>SUM(D33:D39)</f>
        <v>1947</v>
      </c>
      <c r="E32" s="15">
        <f>SUM(E33:E39)</f>
        <v>1740</v>
      </c>
      <c r="F32" s="15">
        <f>SUM(F33:F39)</f>
        <v>1740</v>
      </c>
      <c r="G32" s="15">
        <f>SUM(G33:G39)</f>
        <v>1740</v>
      </c>
      <c r="H32" s="15">
        <f t="shared" ref="H32:O32" si="15">SUM(H33:H37)</f>
        <v>0</v>
      </c>
      <c r="I32" s="15">
        <f>SUM(I33:I37)</f>
        <v>0</v>
      </c>
      <c r="J32" s="15">
        <f t="shared" si="15"/>
        <v>0</v>
      </c>
      <c r="K32" s="15">
        <f t="shared" si="15"/>
        <v>0</v>
      </c>
      <c r="L32" s="15">
        <f t="shared" si="15"/>
        <v>0</v>
      </c>
      <c r="M32" s="15">
        <f t="shared" si="15"/>
        <v>60</v>
      </c>
      <c r="N32" s="15">
        <f>SUM(N33:N37)</f>
        <v>0</v>
      </c>
      <c r="O32" s="15">
        <f t="shared" si="15"/>
        <v>60</v>
      </c>
      <c r="P32" s="15">
        <f>SUM(P33:P37)</f>
        <v>60</v>
      </c>
      <c r="Q32" s="15">
        <f>SUM(Q33:Q37)</f>
        <v>60</v>
      </c>
      <c r="R32" s="386">
        <f>C32+H32+M32</f>
        <v>2007</v>
      </c>
      <c r="S32" s="386">
        <f t="shared" si="11"/>
        <v>1947</v>
      </c>
      <c r="T32" s="386">
        <f t="shared" si="12"/>
        <v>1800</v>
      </c>
      <c r="U32" s="386">
        <f t="shared" si="13"/>
        <v>1800</v>
      </c>
      <c r="V32" s="386">
        <f t="shared" si="14"/>
        <v>1800</v>
      </c>
      <c r="W32" s="37"/>
      <c r="Z32" s="395"/>
      <c r="AD32" s="231"/>
      <c r="AE32" s="231"/>
      <c r="AF32" s="231"/>
    </row>
    <row r="33" spans="1:32" x14ac:dyDescent="0.2">
      <c r="A33" s="71" t="s">
        <v>272</v>
      </c>
      <c r="B33" s="25" t="s">
        <v>293</v>
      </c>
      <c r="C33" s="16"/>
      <c r="D33" s="16"/>
      <c r="E33" s="16"/>
      <c r="F33" s="16"/>
      <c r="G33" s="16"/>
      <c r="H33" s="17"/>
      <c r="I33" s="17"/>
      <c r="J33" s="17"/>
      <c r="K33" s="17"/>
      <c r="L33" s="17"/>
      <c r="M33" s="606"/>
      <c r="N33" s="606"/>
      <c r="O33" s="606"/>
      <c r="P33" s="606"/>
      <c r="Q33" s="606"/>
      <c r="R33" s="387">
        <f>C33+H33+M33</f>
        <v>0</v>
      </c>
      <c r="S33" s="387">
        <f t="shared" ref="S33:V36" si="16">D33+I33+N33</f>
        <v>0</v>
      </c>
      <c r="T33" s="387">
        <f t="shared" si="16"/>
        <v>0</v>
      </c>
      <c r="U33" s="387">
        <f t="shared" si="16"/>
        <v>0</v>
      </c>
      <c r="V33" s="387">
        <f t="shared" si="16"/>
        <v>0</v>
      </c>
      <c r="W33" s="36"/>
      <c r="Z33" s="395"/>
      <c r="AD33" s="231"/>
      <c r="AE33" s="231"/>
      <c r="AF33" s="231"/>
    </row>
    <row r="34" spans="1:32" x14ac:dyDescent="0.2">
      <c r="A34" s="71"/>
      <c r="B34" s="25" t="s">
        <v>336</v>
      </c>
      <c r="C34" s="16">
        <v>200</v>
      </c>
      <c r="D34" s="16">
        <v>200</v>
      </c>
      <c r="E34" s="16">
        <v>200</v>
      </c>
      <c r="F34" s="16">
        <v>200</v>
      </c>
      <c r="G34" s="16">
        <v>200</v>
      </c>
      <c r="H34" s="17"/>
      <c r="I34" s="17"/>
      <c r="J34" s="17"/>
      <c r="K34" s="17"/>
      <c r="L34" s="17"/>
      <c r="M34" s="606"/>
      <c r="N34" s="606"/>
      <c r="O34" s="606"/>
      <c r="P34" s="606"/>
      <c r="Q34" s="606"/>
      <c r="R34" s="387">
        <f>C34+H34+M34</f>
        <v>200</v>
      </c>
      <c r="S34" s="387">
        <f t="shared" si="16"/>
        <v>200</v>
      </c>
      <c r="T34" s="387">
        <f t="shared" si="16"/>
        <v>200</v>
      </c>
      <c r="U34" s="387">
        <f t="shared" si="16"/>
        <v>200</v>
      </c>
      <c r="V34" s="387">
        <f t="shared" si="16"/>
        <v>200</v>
      </c>
      <c r="W34" s="36"/>
      <c r="Z34" s="395"/>
      <c r="AD34" s="231"/>
      <c r="AE34" s="231"/>
      <c r="AF34" s="231"/>
    </row>
    <row r="35" spans="1:32" x14ac:dyDescent="0.2">
      <c r="A35" s="71"/>
      <c r="B35" s="25" t="s">
        <v>1185</v>
      </c>
      <c r="C35" s="16">
        <v>307</v>
      </c>
      <c r="D35" s="16">
        <v>307</v>
      </c>
      <c r="E35" s="16"/>
      <c r="F35" s="16"/>
      <c r="G35" s="16"/>
      <c r="H35" s="17"/>
      <c r="I35" s="17"/>
      <c r="J35" s="17"/>
      <c r="K35" s="17"/>
      <c r="L35" s="17"/>
      <c r="M35" s="606"/>
      <c r="N35" s="606"/>
      <c r="O35" s="606"/>
      <c r="P35" s="606"/>
      <c r="Q35" s="606"/>
      <c r="R35" s="387">
        <f>C35+H35+M35</f>
        <v>307</v>
      </c>
      <c r="S35" s="387"/>
      <c r="T35" s="387"/>
      <c r="U35" s="387"/>
      <c r="V35" s="387"/>
      <c r="W35" s="36"/>
      <c r="Z35" s="395"/>
      <c r="AD35" s="231"/>
      <c r="AE35" s="231"/>
      <c r="AF35" s="231"/>
    </row>
    <row r="36" spans="1:32" x14ac:dyDescent="0.2">
      <c r="A36" s="71"/>
      <c r="B36" s="25" t="s">
        <v>893</v>
      </c>
      <c r="C36" s="16">
        <v>590</v>
      </c>
      <c r="D36" s="16">
        <v>590</v>
      </c>
      <c r="E36" s="16">
        <f>590+100</f>
        <v>690</v>
      </c>
      <c r="F36" s="16">
        <f>590+100</f>
        <v>690</v>
      </c>
      <c r="G36" s="16">
        <f>590+100</f>
        <v>690</v>
      </c>
      <c r="H36" s="17"/>
      <c r="I36" s="17"/>
      <c r="J36" s="17"/>
      <c r="K36" s="17"/>
      <c r="L36" s="17"/>
      <c r="M36" s="606"/>
      <c r="N36" s="606"/>
      <c r="O36" s="606"/>
      <c r="P36" s="606"/>
      <c r="Q36" s="606"/>
      <c r="R36" s="387">
        <f>C36+H36+M36</f>
        <v>590</v>
      </c>
      <c r="S36" s="387">
        <f t="shared" si="16"/>
        <v>590</v>
      </c>
      <c r="T36" s="387">
        <f t="shared" si="16"/>
        <v>690</v>
      </c>
      <c r="U36" s="387">
        <f t="shared" si="16"/>
        <v>690</v>
      </c>
      <c r="V36" s="387">
        <f t="shared" si="16"/>
        <v>690</v>
      </c>
      <c r="W36" s="36"/>
      <c r="Z36" s="395"/>
      <c r="AD36" s="231"/>
      <c r="AE36" s="231"/>
      <c r="AF36" s="231"/>
    </row>
    <row r="37" spans="1:32" x14ac:dyDescent="0.2">
      <c r="A37" s="71" t="s">
        <v>273</v>
      </c>
      <c r="B37" s="25" t="s">
        <v>946</v>
      </c>
      <c r="C37" s="17">
        <f>1100-250</f>
        <v>850</v>
      </c>
      <c r="D37" s="17">
        <f>1100-250</f>
        <v>850</v>
      </c>
      <c r="E37" s="17">
        <f>1100-250</f>
        <v>850</v>
      </c>
      <c r="F37" s="17">
        <f>1100-250</f>
        <v>850</v>
      </c>
      <c r="G37" s="17">
        <f>1100-250</f>
        <v>850</v>
      </c>
      <c r="H37" s="17"/>
      <c r="I37" s="17"/>
      <c r="J37" s="17"/>
      <c r="K37" s="17"/>
      <c r="L37" s="17"/>
      <c r="M37" s="606">
        <v>60</v>
      </c>
      <c r="N37" s="606">
        <f>60-60</f>
        <v>0</v>
      </c>
      <c r="O37" s="606">
        <v>60</v>
      </c>
      <c r="P37" s="606">
        <v>60</v>
      </c>
      <c r="Q37" s="606">
        <v>60</v>
      </c>
      <c r="R37" s="387">
        <f t="shared" ref="R37:R47" si="17">C37+H37+M37</f>
        <v>910</v>
      </c>
      <c r="S37" s="387">
        <f t="shared" ref="S37:S47" si="18">D37+I37+N37</f>
        <v>850</v>
      </c>
      <c r="T37" s="387">
        <f t="shared" ref="T37:T47" si="19">E37+J37+O37</f>
        <v>910</v>
      </c>
      <c r="U37" s="387">
        <f t="shared" ref="U37:U47" si="20">F37+K37+P37</f>
        <v>910</v>
      </c>
      <c r="V37" s="387">
        <f t="shared" ref="V37:V47" si="21">G37+L37+Q37</f>
        <v>910</v>
      </c>
      <c r="W37" s="36"/>
      <c r="Z37" s="395"/>
      <c r="AD37" s="231"/>
      <c r="AE37" s="231"/>
      <c r="AF37" s="231"/>
    </row>
    <row r="38" spans="1:32" hidden="1" x14ac:dyDescent="0.2">
      <c r="A38" s="71"/>
      <c r="B38" s="25" t="s">
        <v>337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606"/>
      <c r="N38" s="606"/>
      <c r="O38" s="606"/>
      <c r="P38" s="606"/>
      <c r="Q38" s="606"/>
      <c r="R38" s="387">
        <f t="shared" si="17"/>
        <v>0</v>
      </c>
      <c r="S38" s="387">
        <f t="shared" si="18"/>
        <v>0</v>
      </c>
      <c r="T38" s="387">
        <f t="shared" si="19"/>
        <v>0</v>
      </c>
      <c r="U38" s="387">
        <f t="shared" si="20"/>
        <v>0</v>
      </c>
      <c r="V38" s="387">
        <f t="shared" si="21"/>
        <v>0</v>
      </c>
      <c r="W38" s="36"/>
      <c r="Z38" s="395"/>
      <c r="AD38" s="231"/>
      <c r="AE38" s="231"/>
      <c r="AF38" s="231"/>
    </row>
    <row r="39" spans="1:32" hidden="1" x14ac:dyDescent="0.2">
      <c r="A39" s="71"/>
      <c r="B39" s="25" t="s">
        <v>338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606"/>
      <c r="N39" s="606"/>
      <c r="O39" s="606"/>
      <c r="P39" s="606"/>
      <c r="Q39" s="606"/>
      <c r="R39" s="387">
        <f t="shared" si="17"/>
        <v>0</v>
      </c>
      <c r="S39" s="387">
        <f t="shared" si="18"/>
        <v>0</v>
      </c>
      <c r="T39" s="387">
        <f t="shared" si="19"/>
        <v>0</v>
      </c>
      <c r="U39" s="387">
        <f t="shared" si="20"/>
        <v>0</v>
      </c>
      <c r="V39" s="387">
        <f t="shared" si="21"/>
        <v>0</v>
      </c>
      <c r="W39" s="36"/>
      <c r="Z39" s="395"/>
      <c r="AD39" s="231"/>
      <c r="AE39" s="231"/>
      <c r="AF39" s="231"/>
    </row>
    <row r="40" spans="1:32" x14ac:dyDescent="0.2">
      <c r="A40" s="94" t="s">
        <v>274</v>
      </c>
      <c r="B40" s="29" t="s">
        <v>294</v>
      </c>
      <c r="C40" s="15">
        <f t="shared" ref="C40:O40" si="22">SUM(C41:C58)</f>
        <v>10490</v>
      </c>
      <c r="D40" s="15">
        <f>SUM(D41:D58)</f>
        <v>10940</v>
      </c>
      <c r="E40" s="15">
        <f t="shared" si="22"/>
        <v>12890</v>
      </c>
      <c r="F40" s="15">
        <f>SUM(F41:F58)</f>
        <v>12890</v>
      </c>
      <c r="G40" s="15">
        <f>SUM(G41:G58)</f>
        <v>12890</v>
      </c>
      <c r="H40" s="15">
        <f t="shared" si="22"/>
        <v>890</v>
      </c>
      <c r="I40" s="15">
        <f>SUM(I41:I58)</f>
        <v>890</v>
      </c>
      <c r="J40" s="15">
        <f t="shared" si="22"/>
        <v>890</v>
      </c>
      <c r="K40" s="15">
        <f t="shared" si="22"/>
        <v>890</v>
      </c>
      <c r="L40" s="15">
        <f t="shared" si="22"/>
        <v>890</v>
      </c>
      <c r="M40" s="15">
        <f t="shared" si="22"/>
        <v>20</v>
      </c>
      <c r="N40" s="15">
        <f>SUM(N41:N58)</f>
        <v>20</v>
      </c>
      <c r="O40" s="15">
        <f t="shared" si="22"/>
        <v>20</v>
      </c>
      <c r="P40" s="15">
        <f>SUM(P41:P58)</f>
        <v>20</v>
      </c>
      <c r="Q40" s="15">
        <f>SUM(Q41:Q58)</f>
        <v>20</v>
      </c>
      <c r="R40" s="386">
        <f t="shared" si="17"/>
        <v>11400</v>
      </c>
      <c r="S40" s="386">
        <f t="shared" si="18"/>
        <v>11850</v>
      </c>
      <c r="T40" s="386">
        <f t="shared" si="19"/>
        <v>13800</v>
      </c>
      <c r="U40" s="386">
        <f t="shared" si="20"/>
        <v>13800</v>
      </c>
      <c r="V40" s="386">
        <f t="shared" si="21"/>
        <v>13800</v>
      </c>
      <c r="W40" s="37"/>
      <c r="Z40" s="395"/>
      <c r="AD40" s="231"/>
      <c r="AE40" s="231"/>
      <c r="AF40" s="231"/>
    </row>
    <row r="41" spans="1:32" x14ac:dyDescent="0.2">
      <c r="A41" s="71" t="s">
        <v>275</v>
      </c>
      <c r="B41" s="25" t="s">
        <v>311</v>
      </c>
      <c r="C41" s="16">
        <v>0</v>
      </c>
      <c r="D41" s="16">
        <v>600</v>
      </c>
      <c r="E41" s="16">
        <f>2500-100</f>
        <v>2400</v>
      </c>
      <c r="F41" s="16">
        <f>2500-100</f>
        <v>2400</v>
      </c>
      <c r="G41" s="16">
        <f>2500-100</f>
        <v>2400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387">
        <f t="shared" si="17"/>
        <v>0</v>
      </c>
      <c r="S41" s="387">
        <f t="shared" si="18"/>
        <v>600</v>
      </c>
      <c r="T41" s="387">
        <f t="shared" si="19"/>
        <v>2400</v>
      </c>
      <c r="U41" s="387">
        <f t="shared" si="20"/>
        <v>2400</v>
      </c>
      <c r="V41" s="387">
        <f t="shared" si="21"/>
        <v>2400</v>
      </c>
      <c r="W41" s="36"/>
      <c r="Z41" s="395"/>
      <c r="AD41" s="231"/>
      <c r="AE41" s="231"/>
      <c r="AF41" s="231"/>
    </row>
    <row r="42" spans="1:32" hidden="1" x14ac:dyDescent="0.2">
      <c r="A42" s="71" t="s">
        <v>326</v>
      </c>
      <c r="B42" s="25" t="s">
        <v>327</v>
      </c>
      <c r="C42" s="16"/>
      <c r="D42" s="16"/>
      <c r="E42" s="16"/>
      <c r="F42" s="16"/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387">
        <f t="shared" si="17"/>
        <v>0</v>
      </c>
      <c r="S42" s="387">
        <f t="shared" si="18"/>
        <v>0</v>
      </c>
      <c r="T42" s="387">
        <f t="shared" si="19"/>
        <v>0</v>
      </c>
      <c r="U42" s="387">
        <f t="shared" si="20"/>
        <v>0</v>
      </c>
      <c r="V42" s="387">
        <f t="shared" si="21"/>
        <v>0</v>
      </c>
      <c r="W42" s="36"/>
      <c r="Z42" s="395"/>
    </row>
    <row r="43" spans="1:32" x14ac:dyDescent="0.2">
      <c r="A43" s="71" t="s">
        <v>276</v>
      </c>
      <c r="B43" s="25" t="s">
        <v>349</v>
      </c>
      <c r="C43" s="173">
        <v>20</v>
      </c>
      <c r="D43" s="173">
        <v>20</v>
      </c>
      <c r="E43" s="173">
        <v>36</v>
      </c>
      <c r="F43" s="173">
        <v>36</v>
      </c>
      <c r="G43" s="173">
        <v>36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387">
        <f t="shared" si="17"/>
        <v>20</v>
      </c>
      <c r="S43" s="387">
        <f t="shared" si="18"/>
        <v>20</v>
      </c>
      <c r="T43" s="387">
        <f t="shared" si="19"/>
        <v>36</v>
      </c>
      <c r="U43" s="387">
        <f t="shared" si="20"/>
        <v>36</v>
      </c>
      <c r="V43" s="387">
        <f t="shared" si="21"/>
        <v>36</v>
      </c>
      <c r="W43" s="36"/>
      <c r="Z43" s="395"/>
    </row>
    <row r="44" spans="1:32" x14ac:dyDescent="0.2">
      <c r="A44" s="71" t="s">
        <v>277</v>
      </c>
      <c r="B44" s="25" t="s">
        <v>309</v>
      </c>
      <c r="C44" s="173"/>
      <c r="D44" s="173"/>
      <c r="E44" s="173"/>
      <c r="F44" s="173"/>
      <c r="G44" s="173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387">
        <f t="shared" si="17"/>
        <v>0</v>
      </c>
      <c r="S44" s="387">
        <f t="shared" si="18"/>
        <v>0</v>
      </c>
      <c r="T44" s="387">
        <f t="shared" si="19"/>
        <v>0</v>
      </c>
      <c r="U44" s="387">
        <f t="shared" si="20"/>
        <v>0</v>
      </c>
      <c r="V44" s="387">
        <f t="shared" si="21"/>
        <v>0</v>
      </c>
      <c r="W44" s="36"/>
      <c r="Z44" s="395"/>
    </row>
    <row r="45" spans="1:32" x14ac:dyDescent="0.2">
      <c r="A45" s="71"/>
      <c r="B45" s="25" t="s">
        <v>489</v>
      </c>
      <c r="C45" s="173">
        <v>360</v>
      </c>
      <c r="D45" s="173">
        <v>360</v>
      </c>
      <c r="E45" s="173">
        <v>360</v>
      </c>
      <c r="F45" s="173">
        <v>360</v>
      </c>
      <c r="G45" s="173">
        <v>360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387">
        <f t="shared" si="17"/>
        <v>360</v>
      </c>
      <c r="S45" s="387">
        <f t="shared" si="18"/>
        <v>360</v>
      </c>
      <c r="T45" s="387">
        <f t="shared" si="19"/>
        <v>360</v>
      </c>
      <c r="U45" s="387">
        <f t="shared" si="20"/>
        <v>360</v>
      </c>
      <c r="V45" s="387">
        <f t="shared" si="21"/>
        <v>360</v>
      </c>
      <c r="W45" s="36"/>
      <c r="Z45" s="395"/>
    </row>
    <row r="46" spans="1:32" x14ac:dyDescent="0.2">
      <c r="A46" s="71"/>
      <c r="B46" s="25" t="s">
        <v>490</v>
      </c>
      <c r="C46" s="173">
        <v>900</v>
      </c>
      <c r="D46" s="173">
        <f>900-100</f>
        <v>800</v>
      </c>
      <c r="E46" s="173">
        <v>900</v>
      </c>
      <c r="F46" s="173">
        <v>900</v>
      </c>
      <c r="G46" s="173">
        <v>900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387">
        <f t="shared" si="17"/>
        <v>900</v>
      </c>
      <c r="S46" s="387">
        <f t="shared" si="18"/>
        <v>800</v>
      </c>
      <c r="T46" s="387">
        <f t="shared" si="19"/>
        <v>900</v>
      </c>
      <c r="U46" s="387">
        <f t="shared" si="20"/>
        <v>900</v>
      </c>
      <c r="V46" s="387">
        <f t="shared" si="21"/>
        <v>900</v>
      </c>
      <c r="W46" s="36"/>
      <c r="Z46" s="395"/>
    </row>
    <row r="47" spans="1:32" x14ac:dyDescent="0.2">
      <c r="A47" s="71"/>
      <c r="B47" s="25" t="s">
        <v>491</v>
      </c>
      <c r="C47" s="173">
        <v>300</v>
      </c>
      <c r="D47" s="173">
        <f>300-50</f>
        <v>250</v>
      </c>
      <c r="E47" s="173">
        <v>300</v>
      </c>
      <c r="F47" s="173">
        <v>300</v>
      </c>
      <c r="G47" s="173">
        <v>300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387">
        <f t="shared" si="17"/>
        <v>300</v>
      </c>
      <c r="S47" s="387">
        <f t="shared" si="18"/>
        <v>250</v>
      </c>
      <c r="T47" s="387">
        <f t="shared" si="19"/>
        <v>300</v>
      </c>
      <c r="U47" s="387">
        <f t="shared" si="20"/>
        <v>300</v>
      </c>
      <c r="V47" s="387">
        <f t="shared" si="21"/>
        <v>300</v>
      </c>
      <c r="W47" s="36"/>
      <c r="Z47" s="395"/>
    </row>
    <row r="48" spans="1:32" x14ac:dyDescent="0.2">
      <c r="A48" s="71" t="s">
        <v>278</v>
      </c>
      <c r="B48" s="25" t="s">
        <v>308</v>
      </c>
      <c r="C48" s="173"/>
      <c r="D48" s="173"/>
      <c r="E48" s="173"/>
      <c r="F48" s="173"/>
      <c r="G48" s="173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387">
        <f t="shared" ref="R48:R59" si="23">C48+H48+M48</f>
        <v>0</v>
      </c>
      <c r="S48" s="387">
        <f t="shared" ref="S48:S59" si="24">D48+I48+N48</f>
        <v>0</v>
      </c>
      <c r="T48" s="387">
        <f t="shared" ref="T48:T59" si="25">E48+J48+O48</f>
        <v>0</v>
      </c>
      <c r="U48" s="387">
        <f t="shared" ref="U48:U59" si="26">F48+K48+P48</f>
        <v>0</v>
      </c>
      <c r="V48" s="387">
        <f t="shared" ref="V48:V59" si="27">G48+L48+Q48</f>
        <v>0</v>
      </c>
      <c r="W48" s="36"/>
      <c r="Z48" s="395"/>
    </row>
    <row r="49" spans="1:26" x14ac:dyDescent="0.2">
      <c r="A49" s="71" t="s">
        <v>279</v>
      </c>
      <c r="B49" s="25" t="s">
        <v>307</v>
      </c>
      <c r="C49" s="173"/>
      <c r="D49" s="173"/>
      <c r="E49" s="173"/>
      <c r="F49" s="173"/>
      <c r="G49" s="173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387">
        <f t="shared" si="23"/>
        <v>0</v>
      </c>
      <c r="S49" s="387">
        <f t="shared" si="24"/>
        <v>0</v>
      </c>
      <c r="T49" s="387">
        <f t="shared" si="25"/>
        <v>0</v>
      </c>
      <c r="U49" s="387">
        <f t="shared" si="26"/>
        <v>0</v>
      </c>
      <c r="V49" s="387">
        <f t="shared" si="27"/>
        <v>0</v>
      </c>
      <c r="W49" s="36"/>
      <c r="Z49" s="395"/>
    </row>
    <row r="50" spans="1:26" x14ac:dyDescent="0.2">
      <c r="A50" s="71"/>
      <c r="B50" s="25" t="s">
        <v>332</v>
      </c>
      <c r="C50" s="234">
        <v>1400</v>
      </c>
      <c r="D50" s="234">
        <v>1400</v>
      </c>
      <c r="E50" s="234">
        <f>1400-250</f>
        <v>1150</v>
      </c>
      <c r="F50" s="234">
        <f>1400-250</f>
        <v>1150</v>
      </c>
      <c r="G50" s="234">
        <f>1400-250</f>
        <v>1150</v>
      </c>
      <c r="H50" s="17">
        <v>100</v>
      </c>
      <c r="I50" s="17">
        <v>100</v>
      </c>
      <c r="J50" s="17">
        <v>100</v>
      </c>
      <c r="K50" s="17">
        <v>100</v>
      </c>
      <c r="L50" s="17">
        <v>100</v>
      </c>
      <c r="M50" s="17"/>
      <c r="N50" s="17"/>
      <c r="O50" s="17"/>
      <c r="P50" s="17"/>
      <c r="Q50" s="17"/>
      <c r="R50" s="387">
        <f t="shared" si="23"/>
        <v>1500</v>
      </c>
      <c r="S50" s="387">
        <f t="shared" si="24"/>
        <v>1500</v>
      </c>
      <c r="T50" s="387">
        <f t="shared" si="25"/>
        <v>1250</v>
      </c>
      <c r="U50" s="387">
        <f t="shared" si="26"/>
        <v>1250</v>
      </c>
      <c r="V50" s="387">
        <f t="shared" si="27"/>
        <v>1250</v>
      </c>
      <c r="W50" s="36"/>
      <c r="Z50" s="395"/>
    </row>
    <row r="51" spans="1:26" x14ac:dyDescent="0.2">
      <c r="A51" s="71"/>
      <c r="B51" s="25" t="s">
        <v>345</v>
      </c>
      <c r="C51" s="234">
        <v>2220</v>
      </c>
      <c r="D51" s="234">
        <v>2220</v>
      </c>
      <c r="E51" s="234">
        <v>2220</v>
      </c>
      <c r="F51" s="234">
        <v>2220</v>
      </c>
      <c r="G51" s="234">
        <v>2220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387">
        <f t="shared" si="23"/>
        <v>2220</v>
      </c>
      <c r="S51" s="387">
        <f t="shared" si="24"/>
        <v>2220</v>
      </c>
      <c r="T51" s="387">
        <f t="shared" si="25"/>
        <v>2220</v>
      </c>
      <c r="U51" s="387">
        <f t="shared" si="26"/>
        <v>2220</v>
      </c>
      <c r="V51" s="387">
        <f t="shared" si="27"/>
        <v>2220</v>
      </c>
      <c r="W51" s="36"/>
      <c r="Z51" s="395"/>
    </row>
    <row r="52" spans="1:26" x14ac:dyDescent="0.2">
      <c r="A52" s="71"/>
      <c r="B52" s="25" t="s">
        <v>496</v>
      </c>
      <c r="C52" s="234">
        <v>340</v>
      </c>
      <c r="D52" s="234">
        <v>340</v>
      </c>
      <c r="E52" s="234">
        <v>340</v>
      </c>
      <c r="F52" s="234">
        <v>340</v>
      </c>
      <c r="G52" s="234">
        <v>340</v>
      </c>
      <c r="H52" s="17">
        <v>40</v>
      </c>
      <c r="I52" s="17">
        <v>40</v>
      </c>
      <c r="J52" s="17">
        <v>40</v>
      </c>
      <c r="K52" s="17">
        <v>40</v>
      </c>
      <c r="L52" s="17">
        <v>40</v>
      </c>
      <c r="M52" s="17">
        <v>20</v>
      </c>
      <c r="N52" s="17">
        <v>20</v>
      </c>
      <c r="O52" s="17">
        <v>20</v>
      </c>
      <c r="P52" s="17">
        <v>20</v>
      </c>
      <c r="Q52" s="17">
        <v>20</v>
      </c>
      <c r="R52" s="387">
        <f t="shared" si="23"/>
        <v>400</v>
      </c>
      <c r="S52" s="387">
        <f t="shared" si="24"/>
        <v>400</v>
      </c>
      <c r="T52" s="387">
        <f t="shared" si="25"/>
        <v>400</v>
      </c>
      <c r="U52" s="387">
        <f t="shared" si="26"/>
        <v>400</v>
      </c>
      <c r="V52" s="387">
        <f t="shared" si="27"/>
        <v>400</v>
      </c>
      <c r="W52" s="36"/>
      <c r="Z52" s="395"/>
    </row>
    <row r="53" spans="1:26" x14ac:dyDescent="0.2">
      <c r="A53" s="71"/>
      <c r="B53" s="25" t="s">
        <v>804</v>
      </c>
      <c r="C53" s="234"/>
      <c r="D53" s="234"/>
      <c r="E53" s="234"/>
      <c r="F53" s="234"/>
      <c r="G53" s="234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387">
        <f t="shared" si="23"/>
        <v>0</v>
      </c>
      <c r="S53" s="387">
        <f t="shared" si="24"/>
        <v>0</v>
      </c>
      <c r="T53" s="387">
        <f t="shared" si="25"/>
        <v>0</v>
      </c>
      <c r="U53" s="387">
        <f t="shared" si="26"/>
        <v>0</v>
      </c>
      <c r="V53" s="387">
        <f t="shared" si="27"/>
        <v>0</v>
      </c>
      <c r="W53" s="36"/>
      <c r="Z53" s="395"/>
    </row>
    <row r="54" spans="1:26" x14ac:dyDescent="0.2">
      <c r="A54" s="71"/>
      <c r="B54" s="25" t="s">
        <v>948</v>
      </c>
      <c r="C54" s="234">
        <v>400</v>
      </c>
      <c r="D54" s="234">
        <v>400</v>
      </c>
      <c r="E54" s="234">
        <f>400+250</f>
        <v>650</v>
      </c>
      <c r="F54" s="234">
        <f>400+250</f>
        <v>650</v>
      </c>
      <c r="G54" s="234">
        <f>400+250</f>
        <v>650</v>
      </c>
      <c r="H54" s="17">
        <f>300+300+50+100</f>
        <v>750</v>
      </c>
      <c r="I54" s="17">
        <f>300+300+50+100</f>
        <v>750</v>
      </c>
      <c r="J54" s="17">
        <f>300+300+50+100</f>
        <v>750</v>
      </c>
      <c r="K54" s="17">
        <f>300+300+50+100</f>
        <v>750</v>
      </c>
      <c r="L54" s="17">
        <f>300+300+50+100</f>
        <v>750</v>
      </c>
      <c r="M54" s="17"/>
      <c r="N54" s="17"/>
      <c r="O54" s="17"/>
      <c r="P54" s="17"/>
      <c r="Q54" s="17"/>
      <c r="R54" s="387">
        <f t="shared" si="23"/>
        <v>1150</v>
      </c>
      <c r="S54" s="387">
        <f t="shared" si="24"/>
        <v>1150</v>
      </c>
      <c r="T54" s="387">
        <f t="shared" si="25"/>
        <v>1400</v>
      </c>
      <c r="U54" s="387">
        <f t="shared" si="26"/>
        <v>1400</v>
      </c>
      <c r="V54" s="387">
        <f t="shared" si="27"/>
        <v>1400</v>
      </c>
      <c r="W54" s="36"/>
      <c r="Z54" s="395"/>
    </row>
    <row r="55" spans="1:26" x14ac:dyDescent="0.2">
      <c r="A55" s="71" t="s">
        <v>280</v>
      </c>
      <c r="B55" s="25" t="s">
        <v>306</v>
      </c>
      <c r="C55" s="173">
        <v>300</v>
      </c>
      <c r="D55" s="173">
        <v>300</v>
      </c>
      <c r="E55" s="173">
        <f>(300-16)-60</f>
        <v>224</v>
      </c>
      <c r="F55" s="173">
        <f>(300-16)-60</f>
        <v>224</v>
      </c>
      <c r="G55" s="173">
        <f>(300-16)-60</f>
        <v>224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387">
        <f t="shared" si="23"/>
        <v>300</v>
      </c>
      <c r="S55" s="387">
        <f t="shared" si="24"/>
        <v>300</v>
      </c>
      <c r="T55" s="387">
        <f t="shared" si="25"/>
        <v>224</v>
      </c>
      <c r="U55" s="387">
        <f t="shared" si="26"/>
        <v>224</v>
      </c>
      <c r="V55" s="387">
        <f t="shared" si="27"/>
        <v>224</v>
      </c>
      <c r="W55" s="36"/>
      <c r="Z55" s="395"/>
    </row>
    <row r="56" spans="1:26" x14ac:dyDescent="0.2">
      <c r="A56" s="71"/>
      <c r="B56" s="9" t="s">
        <v>316</v>
      </c>
      <c r="C56" s="234">
        <v>3400</v>
      </c>
      <c r="D56" s="234">
        <v>3400</v>
      </c>
      <c r="E56" s="234">
        <v>3400</v>
      </c>
      <c r="F56" s="234">
        <v>3400</v>
      </c>
      <c r="G56" s="234">
        <v>3400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387">
        <f t="shared" si="23"/>
        <v>3400</v>
      </c>
      <c r="S56" s="387">
        <f t="shared" si="24"/>
        <v>3400</v>
      </c>
      <c r="T56" s="387">
        <f t="shared" si="25"/>
        <v>3400</v>
      </c>
      <c r="U56" s="387">
        <f t="shared" si="26"/>
        <v>3400</v>
      </c>
      <c r="V56" s="387">
        <f t="shared" si="27"/>
        <v>3400</v>
      </c>
      <c r="W56" s="36"/>
      <c r="Z56" s="395"/>
    </row>
    <row r="57" spans="1:26" x14ac:dyDescent="0.2">
      <c r="A57" s="71"/>
      <c r="B57" s="9" t="s">
        <v>484</v>
      </c>
      <c r="C57" s="234">
        <v>100</v>
      </c>
      <c r="D57" s="234">
        <v>100</v>
      </c>
      <c r="E57" s="234">
        <f>100+60</f>
        <v>160</v>
      </c>
      <c r="F57" s="234">
        <f>100+60</f>
        <v>160</v>
      </c>
      <c r="G57" s="234">
        <f>100+60</f>
        <v>160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387">
        <f t="shared" si="23"/>
        <v>100</v>
      </c>
      <c r="S57" s="387">
        <f t="shared" si="24"/>
        <v>100</v>
      </c>
      <c r="T57" s="387">
        <f t="shared" si="25"/>
        <v>160</v>
      </c>
      <c r="U57" s="387">
        <f t="shared" si="26"/>
        <v>160</v>
      </c>
      <c r="V57" s="387">
        <f t="shared" si="27"/>
        <v>160</v>
      </c>
      <c r="W57" s="36"/>
      <c r="Z57" s="395"/>
    </row>
    <row r="58" spans="1:26" x14ac:dyDescent="0.2">
      <c r="A58" s="71"/>
      <c r="B58" s="25" t="s">
        <v>469</v>
      </c>
      <c r="C58" s="173">
        <v>750</v>
      </c>
      <c r="D58" s="173">
        <v>750</v>
      </c>
      <c r="E58" s="173">
        <v>750</v>
      </c>
      <c r="F58" s="173">
        <v>750</v>
      </c>
      <c r="G58" s="173">
        <v>750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387">
        <f t="shared" si="23"/>
        <v>750</v>
      </c>
      <c r="S58" s="387">
        <f t="shared" si="24"/>
        <v>750</v>
      </c>
      <c r="T58" s="387">
        <f t="shared" si="25"/>
        <v>750</v>
      </c>
      <c r="U58" s="387">
        <f t="shared" si="26"/>
        <v>750</v>
      </c>
      <c r="V58" s="387">
        <f t="shared" si="27"/>
        <v>750</v>
      </c>
      <c r="W58" s="36"/>
      <c r="Z58" s="395"/>
    </row>
    <row r="59" spans="1:26" x14ac:dyDescent="0.2">
      <c r="A59" s="94" t="s">
        <v>281</v>
      </c>
      <c r="B59" s="29" t="s">
        <v>266</v>
      </c>
      <c r="C59" s="88">
        <f t="shared" ref="C59:O59" si="28">SUM(C60:C61)</f>
        <v>230</v>
      </c>
      <c r="D59" s="88">
        <f>SUM(D60:D61)</f>
        <v>230</v>
      </c>
      <c r="E59" s="88">
        <f t="shared" si="28"/>
        <v>225</v>
      </c>
      <c r="F59" s="88">
        <f>SUM(F60:F61)</f>
        <v>225</v>
      </c>
      <c r="G59" s="88">
        <f>SUM(G60:G61)</f>
        <v>225</v>
      </c>
      <c r="H59" s="15">
        <f t="shared" si="28"/>
        <v>20</v>
      </c>
      <c r="I59" s="15">
        <f>SUM(I60:I61)</f>
        <v>20</v>
      </c>
      <c r="J59" s="15">
        <f t="shared" si="28"/>
        <v>20</v>
      </c>
      <c r="K59" s="15">
        <f>SUM(K60:K61)</f>
        <v>20</v>
      </c>
      <c r="L59" s="15">
        <f>SUM(L60:L61)</f>
        <v>20</v>
      </c>
      <c r="M59" s="15">
        <f t="shared" si="28"/>
        <v>0</v>
      </c>
      <c r="N59" s="15">
        <f>SUM(N60:N61)</f>
        <v>0</v>
      </c>
      <c r="O59" s="15">
        <f t="shared" si="28"/>
        <v>5</v>
      </c>
      <c r="P59" s="15">
        <f>SUM(P60:P61)</f>
        <v>5</v>
      </c>
      <c r="Q59" s="15">
        <f>SUM(Q60:Q61)</f>
        <v>5</v>
      </c>
      <c r="R59" s="386">
        <f t="shared" si="23"/>
        <v>250</v>
      </c>
      <c r="S59" s="386">
        <f t="shared" si="24"/>
        <v>250</v>
      </c>
      <c r="T59" s="386">
        <f t="shared" si="25"/>
        <v>250</v>
      </c>
      <c r="U59" s="386">
        <f t="shared" si="26"/>
        <v>250</v>
      </c>
      <c r="V59" s="386">
        <f t="shared" si="27"/>
        <v>250</v>
      </c>
      <c r="W59" s="37"/>
      <c r="X59" s="45"/>
      <c r="Y59" s="45"/>
      <c r="Z59" s="395"/>
    </row>
    <row r="60" spans="1:26" x14ac:dyDescent="0.2">
      <c r="A60" s="71" t="s">
        <v>282</v>
      </c>
      <c r="B60" s="25" t="s">
        <v>305</v>
      </c>
      <c r="C60" s="16">
        <v>200</v>
      </c>
      <c r="D60" s="16">
        <v>200</v>
      </c>
      <c r="E60" s="16">
        <f>200-5</f>
        <v>195</v>
      </c>
      <c r="F60" s="16">
        <f>200-5</f>
        <v>195</v>
      </c>
      <c r="G60" s="16">
        <f>200-5</f>
        <v>195</v>
      </c>
      <c r="H60" s="17">
        <v>20</v>
      </c>
      <c r="I60" s="17">
        <v>20</v>
      </c>
      <c r="J60" s="17">
        <v>20</v>
      </c>
      <c r="K60" s="17">
        <v>20</v>
      </c>
      <c r="L60" s="17">
        <v>20</v>
      </c>
      <c r="M60" s="606">
        <v>0</v>
      </c>
      <c r="N60" s="606">
        <v>0</v>
      </c>
      <c r="O60" s="606">
        <v>5</v>
      </c>
      <c r="P60" s="606">
        <v>5</v>
      </c>
      <c r="Q60" s="606">
        <v>5</v>
      </c>
      <c r="R60" s="387">
        <f>C60+H60+M60</f>
        <v>220</v>
      </c>
      <c r="S60" s="387">
        <f>D60+I60+N60</f>
        <v>220</v>
      </c>
      <c r="T60" s="387">
        <f>E60+J60+O60</f>
        <v>220</v>
      </c>
      <c r="U60" s="387">
        <f>F60+K60+P60</f>
        <v>220</v>
      </c>
      <c r="V60" s="387">
        <f>G60+L60+Q60</f>
        <v>220</v>
      </c>
      <c r="W60" s="36"/>
      <c r="Z60" s="395"/>
    </row>
    <row r="61" spans="1:26" x14ac:dyDescent="0.2">
      <c r="A61" s="71" t="s">
        <v>283</v>
      </c>
      <c r="B61" s="25" t="s">
        <v>319</v>
      </c>
      <c r="C61" s="16">
        <v>30</v>
      </c>
      <c r="D61" s="16">
        <v>30</v>
      </c>
      <c r="E61" s="16">
        <v>30</v>
      </c>
      <c r="F61" s="16">
        <v>30</v>
      </c>
      <c r="G61" s="16">
        <v>30</v>
      </c>
      <c r="H61" s="17"/>
      <c r="I61" s="17"/>
      <c r="J61" s="17"/>
      <c r="K61" s="17"/>
      <c r="L61" s="17"/>
      <c r="M61" s="606"/>
      <c r="N61" s="606"/>
      <c r="O61" s="606"/>
      <c r="P61" s="606"/>
      <c r="Q61" s="606"/>
      <c r="R61" s="387">
        <f t="shared" ref="R61:R70" si="29">C61+H61+M61</f>
        <v>30</v>
      </c>
      <c r="S61" s="387">
        <f t="shared" ref="S61:S70" si="30">D61+I61+N61</f>
        <v>30</v>
      </c>
      <c r="T61" s="387">
        <f t="shared" ref="T61:T70" si="31">E61+J61+O61</f>
        <v>30</v>
      </c>
      <c r="U61" s="387">
        <f t="shared" ref="U61:U70" si="32">F61+K61+P61</f>
        <v>30</v>
      </c>
      <c r="V61" s="387">
        <f t="shared" ref="V61:V70" si="33">G61+L61+Q61</f>
        <v>30</v>
      </c>
      <c r="W61" s="36"/>
      <c r="Z61" s="395"/>
    </row>
    <row r="62" spans="1:26" x14ac:dyDescent="0.2">
      <c r="A62" s="94" t="s">
        <v>284</v>
      </c>
      <c r="B62" s="29" t="s">
        <v>267</v>
      </c>
      <c r="C62" s="15">
        <f t="shared" ref="C62:O62" si="34">SUM(C63:C70)</f>
        <v>5465</v>
      </c>
      <c r="D62" s="15">
        <f>SUM(D63:D70)</f>
        <v>6470</v>
      </c>
      <c r="E62" s="15">
        <f t="shared" si="34"/>
        <v>5921</v>
      </c>
      <c r="F62" s="15">
        <f>SUM(F63:F70)</f>
        <v>5921</v>
      </c>
      <c r="G62" s="15">
        <f>SUM(G63:G70)</f>
        <v>5921</v>
      </c>
      <c r="H62" s="15">
        <f t="shared" si="34"/>
        <v>240</v>
      </c>
      <c r="I62" s="15">
        <f>SUM(I63:I70)</f>
        <v>240</v>
      </c>
      <c r="J62" s="15">
        <f t="shared" si="34"/>
        <v>240</v>
      </c>
      <c r="K62" s="15">
        <f>SUM(K63:K70)</f>
        <v>240</v>
      </c>
      <c r="L62" s="15">
        <f>SUM(L63:L70)</f>
        <v>240</v>
      </c>
      <c r="M62" s="15">
        <f t="shared" si="34"/>
        <v>180</v>
      </c>
      <c r="N62" s="15">
        <f>SUM(N63:N70)</f>
        <v>180</v>
      </c>
      <c r="O62" s="15">
        <f t="shared" si="34"/>
        <v>180</v>
      </c>
      <c r="P62" s="15">
        <f>SUM(P63:P70)</f>
        <v>180</v>
      </c>
      <c r="Q62" s="15">
        <f>SUM(Q63:Q70)</f>
        <v>180</v>
      </c>
      <c r="R62" s="386">
        <f t="shared" si="29"/>
        <v>5885</v>
      </c>
      <c r="S62" s="386">
        <f t="shared" si="30"/>
        <v>6890</v>
      </c>
      <c r="T62" s="386">
        <f t="shared" si="31"/>
        <v>6341</v>
      </c>
      <c r="U62" s="386">
        <f t="shared" si="32"/>
        <v>6341</v>
      </c>
      <c r="V62" s="386">
        <f t="shared" si="33"/>
        <v>6341</v>
      </c>
      <c r="W62" s="37"/>
      <c r="Z62" s="395"/>
    </row>
    <row r="63" spans="1:26" x14ac:dyDescent="0.2">
      <c r="A63" s="71" t="s">
        <v>285</v>
      </c>
      <c r="B63" s="25" t="s">
        <v>295</v>
      </c>
      <c r="C63" s="16">
        <v>4200</v>
      </c>
      <c r="D63" s="16">
        <v>4200</v>
      </c>
      <c r="E63" s="16">
        <f>4500-600</f>
        <v>3900</v>
      </c>
      <c r="F63" s="16">
        <f>4500-600</f>
        <v>3900</v>
      </c>
      <c r="G63" s="16">
        <f>4500-600</f>
        <v>3900</v>
      </c>
      <c r="H63" s="16">
        <v>240</v>
      </c>
      <c r="I63" s="16">
        <v>240</v>
      </c>
      <c r="J63" s="16">
        <v>240</v>
      </c>
      <c r="K63" s="16">
        <v>240</v>
      </c>
      <c r="L63" s="16">
        <v>240</v>
      </c>
      <c r="M63" s="16">
        <v>80</v>
      </c>
      <c r="N63" s="16">
        <v>80</v>
      </c>
      <c r="O63" s="16">
        <v>80</v>
      </c>
      <c r="P63" s="16">
        <v>80</v>
      </c>
      <c r="Q63" s="16">
        <v>80</v>
      </c>
      <c r="R63" s="387">
        <f t="shared" si="29"/>
        <v>4520</v>
      </c>
      <c r="S63" s="387">
        <f t="shared" si="30"/>
        <v>4520</v>
      </c>
      <c r="T63" s="387">
        <f t="shared" si="31"/>
        <v>4220</v>
      </c>
      <c r="U63" s="387">
        <f t="shared" si="32"/>
        <v>4220</v>
      </c>
      <c r="V63" s="387">
        <f t="shared" si="33"/>
        <v>4220</v>
      </c>
      <c r="W63" s="36"/>
      <c r="Z63" s="395"/>
    </row>
    <row r="64" spans="1:26" x14ac:dyDescent="0.2">
      <c r="A64" s="71" t="s">
        <v>286</v>
      </c>
      <c r="B64" s="25" t="s">
        <v>296</v>
      </c>
      <c r="C64" s="16"/>
      <c r="D64" s="16"/>
      <c r="E64" s="16"/>
      <c r="F64" s="16"/>
      <c r="G64" s="16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387">
        <f t="shared" si="29"/>
        <v>0</v>
      </c>
      <c r="S64" s="387">
        <f t="shared" si="30"/>
        <v>0</v>
      </c>
      <c r="T64" s="387">
        <f t="shared" si="31"/>
        <v>0</v>
      </c>
      <c r="U64" s="387">
        <f t="shared" si="32"/>
        <v>0</v>
      </c>
      <c r="V64" s="387">
        <f t="shared" si="33"/>
        <v>0</v>
      </c>
      <c r="W64" s="36"/>
      <c r="Z64" s="395"/>
    </row>
    <row r="65" spans="1:26" x14ac:dyDescent="0.2">
      <c r="A65" s="71" t="s">
        <v>287</v>
      </c>
      <c r="B65" s="25" t="s">
        <v>297</v>
      </c>
      <c r="C65" s="16"/>
      <c r="D65" s="16"/>
      <c r="E65" s="16"/>
      <c r="F65" s="16"/>
      <c r="G65" s="16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387">
        <f t="shared" si="29"/>
        <v>0</v>
      </c>
      <c r="S65" s="387">
        <f t="shared" si="30"/>
        <v>0</v>
      </c>
      <c r="T65" s="387">
        <f t="shared" si="31"/>
        <v>0</v>
      </c>
      <c r="U65" s="387">
        <f t="shared" si="32"/>
        <v>0</v>
      </c>
      <c r="V65" s="387">
        <f t="shared" si="33"/>
        <v>0</v>
      </c>
      <c r="W65" s="36"/>
      <c r="Z65" s="395"/>
    </row>
    <row r="66" spans="1:26" hidden="1" x14ac:dyDescent="0.2">
      <c r="A66" s="71" t="s">
        <v>288</v>
      </c>
      <c r="B66" s="25" t="s">
        <v>298</v>
      </c>
      <c r="C66" s="16"/>
      <c r="D66" s="16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387">
        <f t="shared" si="29"/>
        <v>0</v>
      </c>
      <c r="S66" s="387">
        <f t="shared" si="30"/>
        <v>0</v>
      </c>
      <c r="T66" s="387">
        <f t="shared" si="31"/>
        <v>0</v>
      </c>
      <c r="U66" s="387">
        <f t="shared" si="32"/>
        <v>0</v>
      </c>
      <c r="V66" s="387">
        <f t="shared" si="33"/>
        <v>0</v>
      </c>
      <c r="W66" s="36"/>
      <c r="Z66" s="395"/>
    </row>
    <row r="67" spans="1:26" x14ac:dyDescent="0.2">
      <c r="A67" s="71" t="s">
        <v>289</v>
      </c>
      <c r="B67" s="25" t="s">
        <v>59</v>
      </c>
      <c r="C67" s="16"/>
      <c r="D67" s="16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387">
        <f t="shared" si="29"/>
        <v>0</v>
      </c>
      <c r="S67" s="387">
        <f t="shared" si="30"/>
        <v>0</v>
      </c>
      <c r="T67" s="387">
        <f t="shared" si="31"/>
        <v>0</v>
      </c>
      <c r="U67" s="387">
        <f t="shared" si="32"/>
        <v>0</v>
      </c>
      <c r="V67" s="387">
        <f t="shared" si="33"/>
        <v>0</v>
      </c>
      <c r="W67" s="36"/>
      <c r="Z67" s="395"/>
    </row>
    <row r="68" spans="1:26" x14ac:dyDescent="0.2">
      <c r="A68" s="71"/>
      <c r="B68" s="25" t="s">
        <v>485</v>
      </c>
      <c r="C68" s="16">
        <v>5</v>
      </c>
      <c r="D68" s="16">
        <v>5</v>
      </c>
      <c r="E68" s="16">
        <v>33</v>
      </c>
      <c r="F68" s="16">
        <v>33</v>
      </c>
      <c r="G68" s="16">
        <v>33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387">
        <f t="shared" si="29"/>
        <v>5</v>
      </c>
      <c r="S68" s="387">
        <f t="shared" si="30"/>
        <v>5</v>
      </c>
      <c r="T68" s="387">
        <f t="shared" si="31"/>
        <v>33</v>
      </c>
      <c r="U68" s="387">
        <f t="shared" si="32"/>
        <v>33</v>
      </c>
      <c r="V68" s="387">
        <f t="shared" si="33"/>
        <v>33</v>
      </c>
      <c r="W68" s="36"/>
      <c r="Z68" s="395"/>
    </row>
    <row r="69" spans="1:26" x14ac:dyDescent="0.2">
      <c r="A69" s="71"/>
      <c r="B69" s="25" t="s">
        <v>323</v>
      </c>
      <c r="C69" s="16">
        <v>1000</v>
      </c>
      <c r="D69" s="16">
        <f>1000+5+210+790</f>
        <v>2005</v>
      </c>
      <c r="E69" s="16">
        <f>1000+600</f>
        <v>1600</v>
      </c>
      <c r="F69" s="16">
        <f>1000+600</f>
        <v>1600</v>
      </c>
      <c r="G69" s="16">
        <f>1000+600</f>
        <v>1600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387">
        <f t="shared" si="29"/>
        <v>1000</v>
      </c>
      <c r="S69" s="387">
        <f t="shared" si="30"/>
        <v>2005</v>
      </c>
      <c r="T69" s="387">
        <f t="shared" si="31"/>
        <v>1600</v>
      </c>
      <c r="U69" s="387">
        <f t="shared" si="32"/>
        <v>1600</v>
      </c>
      <c r="V69" s="387">
        <f t="shared" si="33"/>
        <v>1600</v>
      </c>
      <c r="W69" s="36"/>
      <c r="Z69" s="395"/>
    </row>
    <row r="70" spans="1:26" x14ac:dyDescent="0.2">
      <c r="A70" s="71"/>
      <c r="B70" s="25" t="s">
        <v>488</v>
      </c>
      <c r="C70" s="16">
        <v>260</v>
      </c>
      <c r="D70" s="16">
        <v>260</v>
      </c>
      <c r="E70" s="16">
        <f>(300+88)</f>
        <v>388</v>
      </c>
      <c r="F70" s="16">
        <f>(300+88)</f>
        <v>388</v>
      </c>
      <c r="G70" s="16">
        <f>(300+88)</f>
        <v>388</v>
      </c>
      <c r="H70" s="17"/>
      <c r="I70" s="17"/>
      <c r="J70" s="17"/>
      <c r="K70" s="17"/>
      <c r="L70" s="17"/>
      <c r="M70" s="17">
        <v>100</v>
      </c>
      <c r="N70" s="17">
        <v>100</v>
      </c>
      <c r="O70" s="17">
        <v>100</v>
      </c>
      <c r="P70" s="17">
        <v>100</v>
      </c>
      <c r="Q70" s="17">
        <v>100</v>
      </c>
      <c r="R70" s="387">
        <f t="shared" si="29"/>
        <v>360</v>
      </c>
      <c r="S70" s="387">
        <f t="shared" si="30"/>
        <v>360</v>
      </c>
      <c r="T70" s="387">
        <f t="shared" si="31"/>
        <v>488</v>
      </c>
      <c r="U70" s="387">
        <f t="shared" si="32"/>
        <v>488</v>
      </c>
      <c r="V70" s="387">
        <f t="shared" si="33"/>
        <v>488</v>
      </c>
      <c r="W70" s="36"/>
      <c r="Z70" s="395"/>
    </row>
    <row r="71" spans="1:26" x14ac:dyDescent="0.2">
      <c r="A71" s="94" t="s">
        <v>300</v>
      </c>
      <c r="B71" s="135" t="s">
        <v>31</v>
      </c>
      <c r="C71" s="296">
        <f t="shared" ref="C71:Q71" si="35">SUM(C24+C32+C40+C59+C62)</f>
        <v>22282</v>
      </c>
      <c r="D71" s="296">
        <f>SUM(D24+D32+D40+D59+D62)</f>
        <v>23137</v>
      </c>
      <c r="E71" s="296">
        <f t="shared" si="35"/>
        <v>24926</v>
      </c>
      <c r="F71" s="296">
        <f>SUM(F24+F32+F40+F59+F62)</f>
        <v>24926</v>
      </c>
      <c r="G71" s="296">
        <f>SUM(G24+G32+G40+G59+G62)</f>
        <v>24926</v>
      </c>
      <c r="H71" s="296">
        <f t="shared" si="35"/>
        <v>1150</v>
      </c>
      <c r="I71" s="296">
        <f>SUM(I24+I32+I40+I59+I62)</f>
        <v>1150</v>
      </c>
      <c r="J71" s="296">
        <f t="shared" si="35"/>
        <v>1150</v>
      </c>
      <c r="K71" s="296">
        <f>SUM(K24+K32+K40+K59+K62)</f>
        <v>1150</v>
      </c>
      <c r="L71" s="296">
        <f>SUM(L24+L32+L40+L59+L62)</f>
        <v>1150</v>
      </c>
      <c r="M71" s="296">
        <f t="shared" si="35"/>
        <v>370</v>
      </c>
      <c r="N71" s="296">
        <f t="shared" si="35"/>
        <v>310</v>
      </c>
      <c r="O71" s="296">
        <f t="shared" si="35"/>
        <v>375</v>
      </c>
      <c r="P71" s="296">
        <f t="shared" si="35"/>
        <v>375</v>
      </c>
      <c r="Q71" s="296">
        <f t="shared" si="35"/>
        <v>375</v>
      </c>
      <c r="R71" s="188">
        <f>(H71+C71+M71)</f>
        <v>23802</v>
      </c>
      <c r="S71" s="188">
        <f>(I71+D71+N71)</f>
        <v>24597</v>
      </c>
      <c r="T71" s="188">
        <f>(J71+E71+O71)</f>
        <v>26451</v>
      </c>
      <c r="U71" s="188">
        <f>(K71+F71+P71)</f>
        <v>26451</v>
      </c>
      <c r="V71" s="188">
        <f>(L71+G71+Q71)</f>
        <v>26451</v>
      </c>
      <c r="W71" s="37"/>
      <c r="Z71" s="395"/>
    </row>
    <row r="72" spans="1:26" x14ac:dyDescent="0.2">
      <c r="A72" s="177" t="s">
        <v>299</v>
      </c>
      <c r="B72" s="135" t="s">
        <v>467</v>
      </c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7">
        <f t="shared" ref="R72:V73" si="36">C72+H72+M72</f>
        <v>0</v>
      </c>
      <c r="S72" s="297">
        <f t="shared" si="36"/>
        <v>0</v>
      </c>
      <c r="T72" s="297">
        <f t="shared" si="36"/>
        <v>0</v>
      </c>
      <c r="U72" s="297">
        <f t="shared" si="36"/>
        <v>0</v>
      </c>
      <c r="V72" s="297">
        <f t="shared" si="36"/>
        <v>0</v>
      </c>
      <c r="W72" s="36"/>
      <c r="Z72" s="395"/>
    </row>
    <row r="73" spans="1:26" ht="13.5" thickBot="1" x14ac:dyDescent="0.25">
      <c r="A73" s="177" t="s">
        <v>329</v>
      </c>
      <c r="B73" s="176" t="s">
        <v>40</v>
      </c>
      <c r="C73" s="297">
        <v>0</v>
      </c>
      <c r="D73" s="297">
        <v>0</v>
      </c>
      <c r="E73" s="297">
        <v>542</v>
      </c>
      <c r="F73" s="297">
        <v>542</v>
      </c>
      <c r="G73" s="297">
        <v>542</v>
      </c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>
        <f t="shared" si="36"/>
        <v>0</v>
      </c>
      <c r="S73" s="297">
        <f t="shared" si="36"/>
        <v>0</v>
      </c>
      <c r="T73" s="297">
        <f t="shared" si="36"/>
        <v>542</v>
      </c>
      <c r="U73" s="297">
        <f t="shared" si="36"/>
        <v>542</v>
      </c>
      <c r="V73" s="297">
        <f t="shared" si="36"/>
        <v>542</v>
      </c>
      <c r="W73" s="36"/>
      <c r="Z73" s="395"/>
    </row>
    <row r="74" spans="1:26" ht="16.5" thickBot="1" x14ac:dyDescent="0.3">
      <c r="A74" s="177"/>
      <c r="B74" s="259" t="s">
        <v>10</v>
      </c>
      <c r="C74" s="298">
        <f t="shared" ref="C74:V74" si="37">SUM(C20+C23+C71+C72+C73)</f>
        <v>196672</v>
      </c>
      <c r="D74" s="298">
        <f>SUM(D20+D23+D71+D72+D73)</f>
        <v>197894</v>
      </c>
      <c r="E74" s="298">
        <f>SUM(E20+E23+E71+E72+E73)</f>
        <v>192573</v>
      </c>
      <c r="F74" s="298">
        <f>SUM(F20+F23+F71+F72+F73)</f>
        <v>192573</v>
      </c>
      <c r="G74" s="298">
        <f>SUM(G20+G23+G71+G72+G73)</f>
        <v>192573</v>
      </c>
      <c r="H74" s="298">
        <f t="shared" si="37"/>
        <v>20697</v>
      </c>
      <c r="I74" s="298">
        <f>SUM(I20+I23+I71+I72+I73)</f>
        <v>26622</v>
      </c>
      <c r="J74" s="298">
        <f>SUM(J20+J23+J71+J72+J73)</f>
        <v>21771</v>
      </c>
      <c r="K74" s="298">
        <f>SUM(K20+K23+K71+K72+K73)</f>
        <v>21771</v>
      </c>
      <c r="L74" s="298">
        <f t="shared" si="37"/>
        <v>21771</v>
      </c>
      <c r="M74" s="298">
        <f t="shared" si="37"/>
        <v>8581</v>
      </c>
      <c r="N74" s="298">
        <f>SUM(N20+N23+N71+N72+N73)</f>
        <v>8580</v>
      </c>
      <c r="O74" s="298">
        <f>SUM(O20+O23+O71+O72+O73)</f>
        <v>8937</v>
      </c>
      <c r="P74" s="298">
        <f>SUM(P20+P23+P71+P72+P73)</f>
        <v>8937</v>
      </c>
      <c r="Q74" s="298">
        <f t="shared" si="37"/>
        <v>8937</v>
      </c>
      <c r="R74" s="298">
        <f t="shared" si="37"/>
        <v>225950</v>
      </c>
      <c r="S74" s="298">
        <f t="shared" si="37"/>
        <v>233096</v>
      </c>
      <c r="T74" s="298">
        <f t="shared" si="37"/>
        <v>223281</v>
      </c>
      <c r="U74" s="298">
        <f t="shared" si="37"/>
        <v>223281</v>
      </c>
      <c r="V74" s="753">
        <f t="shared" si="37"/>
        <v>223281</v>
      </c>
      <c r="W74" s="36"/>
      <c r="Z74" s="395"/>
    </row>
    <row r="75" spans="1:26" x14ac:dyDescent="0.2">
      <c r="A75" s="177" t="s">
        <v>330</v>
      </c>
      <c r="B75" s="258" t="s">
        <v>805</v>
      </c>
      <c r="C75" s="299">
        <f t="shared" ref="C75:Q75" si="38">SUM(C76:C77)</f>
        <v>1000</v>
      </c>
      <c r="D75" s="299">
        <f t="shared" si="38"/>
        <v>1000</v>
      </c>
      <c r="E75" s="299">
        <f t="shared" si="38"/>
        <v>1000</v>
      </c>
      <c r="F75" s="299">
        <f>SUM(F76:F77)</f>
        <v>1000</v>
      </c>
      <c r="G75" s="299">
        <f>SUM(G76:G77)</f>
        <v>1000</v>
      </c>
      <c r="H75" s="299">
        <f t="shared" si="38"/>
        <v>0</v>
      </c>
      <c r="I75" s="299">
        <f t="shared" si="38"/>
        <v>0</v>
      </c>
      <c r="J75" s="299">
        <f t="shared" si="38"/>
        <v>0</v>
      </c>
      <c r="K75" s="299">
        <f t="shared" si="38"/>
        <v>0</v>
      </c>
      <c r="L75" s="299">
        <f t="shared" si="38"/>
        <v>0</v>
      </c>
      <c r="M75" s="299">
        <f t="shared" si="38"/>
        <v>0</v>
      </c>
      <c r="N75" s="299">
        <f t="shared" si="38"/>
        <v>0</v>
      </c>
      <c r="O75" s="299">
        <f t="shared" si="38"/>
        <v>0</v>
      </c>
      <c r="P75" s="299">
        <f t="shared" si="38"/>
        <v>0</v>
      </c>
      <c r="Q75" s="299">
        <f t="shared" si="38"/>
        <v>0</v>
      </c>
      <c r="R75" s="188">
        <f>(H75+C75+M75)</f>
        <v>1000</v>
      </c>
      <c r="S75" s="188">
        <f>(I75+D75+N75)</f>
        <v>1000</v>
      </c>
      <c r="T75" s="188">
        <f>(J75+E75+O75)</f>
        <v>1000</v>
      </c>
      <c r="U75" s="188">
        <f>(K75+F75+P75)</f>
        <v>1000</v>
      </c>
      <c r="V75" s="188">
        <f>(L75+G75+Q75)</f>
        <v>1000</v>
      </c>
      <c r="W75" s="36"/>
      <c r="Z75" s="395"/>
    </row>
    <row r="76" spans="1:26" hidden="1" x14ac:dyDescent="0.2">
      <c r="A76" s="177"/>
      <c r="B76" s="2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387"/>
      <c r="S76" s="387"/>
      <c r="T76" s="387"/>
      <c r="U76" s="387"/>
      <c r="V76" s="387">
        <f>SUM(G76+L76+Q76)</f>
        <v>0</v>
      </c>
      <c r="W76" s="36"/>
      <c r="Z76" s="395"/>
    </row>
    <row r="77" spans="1:26" ht="13.5" thickBot="1" x14ac:dyDescent="0.25">
      <c r="A77" s="177"/>
      <c r="B77" s="194" t="s">
        <v>933</v>
      </c>
      <c r="C77" s="202">
        <v>1000</v>
      </c>
      <c r="D77" s="202">
        <v>1000</v>
      </c>
      <c r="E77" s="202">
        <v>1000</v>
      </c>
      <c r="F77" s="202">
        <v>1000</v>
      </c>
      <c r="G77" s="202">
        <v>1000</v>
      </c>
      <c r="H77" s="202"/>
      <c r="I77" s="202"/>
      <c r="J77" s="202"/>
      <c r="K77" s="202"/>
      <c r="L77" s="202"/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752">
        <f>(H77+C77+M77)</f>
        <v>1000</v>
      </c>
      <c r="S77" s="752">
        <f>(I77+D77+N77)</f>
        <v>1000</v>
      </c>
      <c r="T77" s="752">
        <f>(J77+E77+O77)</f>
        <v>1000</v>
      </c>
      <c r="U77" s="752">
        <f>(K77+F77+P77)</f>
        <v>1000</v>
      </c>
      <c r="V77" s="752">
        <f>(L77+G77+Q77)</f>
        <v>1000</v>
      </c>
      <c r="W77" s="36"/>
      <c r="Z77" s="395"/>
    </row>
    <row r="78" spans="1:26" ht="20.25" thickBot="1" x14ac:dyDescent="0.4">
      <c r="A78" s="174"/>
      <c r="B78" s="183" t="s">
        <v>7</v>
      </c>
      <c r="C78" s="298">
        <f t="shared" ref="C78:Q78" si="39">SUM(C20+C23+C71+C72+C73+C75)</f>
        <v>197672</v>
      </c>
      <c r="D78" s="298">
        <f t="shared" si="39"/>
        <v>198894</v>
      </c>
      <c r="E78" s="298">
        <f t="shared" si="39"/>
        <v>193573</v>
      </c>
      <c r="F78" s="298">
        <f t="shared" si="39"/>
        <v>193573</v>
      </c>
      <c r="G78" s="298">
        <f t="shared" si="39"/>
        <v>193573</v>
      </c>
      <c r="H78" s="298">
        <f t="shared" si="39"/>
        <v>20697</v>
      </c>
      <c r="I78" s="298">
        <f t="shared" si="39"/>
        <v>26622</v>
      </c>
      <c r="J78" s="298">
        <f t="shared" si="39"/>
        <v>21771</v>
      </c>
      <c r="K78" s="298">
        <f t="shared" si="39"/>
        <v>21771</v>
      </c>
      <c r="L78" s="298">
        <f t="shared" si="39"/>
        <v>21771</v>
      </c>
      <c r="M78" s="298">
        <f t="shared" si="39"/>
        <v>8581</v>
      </c>
      <c r="N78" s="298">
        <f t="shared" si="39"/>
        <v>8580</v>
      </c>
      <c r="O78" s="298">
        <f t="shared" si="39"/>
        <v>8937</v>
      </c>
      <c r="P78" s="298">
        <f t="shared" si="39"/>
        <v>8937</v>
      </c>
      <c r="Q78" s="298">
        <f t="shared" si="39"/>
        <v>8937</v>
      </c>
      <c r="R78" s="182">
        <f>SUM(R74+R75)</f>
        <v>226950</v>
      </c>
      <c r="S78" s="182">
        <f>SUM(S74+S75)</f>
        <v>234096</v>
      </c>
      <c r="T78" s="182">
        <f>SUM(T74+T75)</f>
        <v>224281</v>
      </c>
      <c r="U78" s="182">
        <f>SUM(U74+U75)</f>
        <v>224281</v>
      </c>
      <c r="V78" s="753">
        <f>SUM(V74+V75)</f>
        <v>224281</v>
      </c>
      <c r="W78" s="37"/>
      <c r="X78" s="255"/>
      <c r="Y78" s="255"/>
      <c r="Z78" s="395"/>
    </row>
    <row r="79" spans="1:26" x14ac:dyDescent="0.2">
      <c r="A79" s="71"/>
      <c r="B79" s="90" t="s">
        <v>60</v>
      </c>
      <c r="C79" s="179">
        <v>34</v>
      </c>
      <c r="D79" s="179">
        <v>34</v>
      </c>
      <c r="E79" s="179">
        <v>34</v>
      </c>
      <c r="F79" s="179">
        <v>34</v>
      </c>
      <c r="G79" s="179">
        <v>34</v>
      </c>
      <c r="H79" s="178">
        <v>4</v>
      </c>
      <c r="I79" s="178">
        <v>4</v>
      </c>
      <c r="J79" s="178">
        <v>4</v>
      </c>
      <c r="K79" s="178">
        <v>4</v>
      </c>
      <c r="L79" s="178">
        <v>4</v>
      </c>
      <c r="M79" s="95">
        <v>2</v>
      </c>
      <c r="N79" s="95">
        <v>2</v>
      </c>
      <c r="O79" s="95">
        <v>2</v>
      </c>
      <c r="P79" s="95">
        <v>2</v>
      </c>
      <c r="Q79" s="95">
        <v>2</v>
      </c>
      <c r="R79" s="49">
        <f>(H79+C79+M79)</f>
        <v>40</v>
      </c>
      <c r="S79" s="49">
        <f>(I79+D79+N79)</f>
        <v>40</v>
      </c>
      <c r="T79" s="49">
        <f>(J79+E79+O79)</f>
        <v>40</v>
      </c>
      <c r="U79" s="49">
        <f>(K79+F79+P79)</f>
        <v>40</v>
      </c>
      <c r="V79" s="49">
        <f>(L79+G79+Q79)</f>
        <v>40</v>
      </c>
      <c r="W79" s="37"/>
      <c r="X79" s="255"/>
      <c r="Y79" s="255"/>
      <c r="Z79" s="395"/>
    </row>
    <row r="80" spans="1:26" x14ac:dyDescent="0.2">
      <c r="B80" s="10" t="s">
        <v>1140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392"/>
      <c r="R80" s="392">
        <f>SUM('2.működés'!C12)</f>
        <v>131680</v>
      </c>
      <c r="S80" s="392">
        <f>SUM('2.működés'!D12)</f>
        <v>132089</v>
      </c>
      <c r="T80" s="392">
        <f>SUM('2.működés'!E11)</f>
        <v>169302</v>
      </c>
      <c r="U80" s="392">
        <f>SUM('2.működés'!F11)</f>
        <v>169302</v>
      </c>
      <c r="V80" s="392">
        <f>SUM('2.működés'!G11)</f>
        <v>169302</v>
      </c>
      <c r="W80" s="612"/>
      <c r="X80" s="255"/>
      <c r="Y80" s="255"/>
      <c r="Z80" s="395"/>
    </row>
    <row r="81" spans="2:28" x14ac:dyDescent="0.2">
      <c r="B81" s="10" t="s">
        <v>430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392"/>
      <c r="R81" s="392">
        <f>980+1+19</f>
        <v>1000</v>
      </c>
      <c r="S81" s="392">
        <f>980+(1+2)+(19+167+3)</f>
        <v>1172</v>
      </c>
      <c r="T81" s="392">
        <f>980+1+19</f>
        <v>1000</v>
      </c>
      <c r="U81" s="392">
        <f>980+1+19</f>
        <v>1000</v>
      </c>
      <c r="V81" s="392">
        <f>980+1+19</f>
        <v>1000</v>
      </c>
      <c r="W81" s="612"/>
      <c r="X81" s="818"/>
      <c r="Y81" s="255"/>
      <c r="Z81" s="395"/>
    </row>
    <row r="82" spans="2:28" x14ac:dyDescent="0.2">
      <c r="B82" s="10" t="s">
        <v>943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392"/>
      <c r="R82" s="392">
        <f>SUM('2.működés'!C59)</f>
        <v>29925</v>
      </c>
      <c r="S82" s="392">
        <f>SUM('2.működés'!D59)</f>
        <v>29925</v>
      </c>
      <c r="T82" s="392">
        <f>SUM('2.működés'!E59)</f>
        <v>29927</v>
      </c>
      <c r="U82" s="392">
        <f>SUM('2.működés'!F59)</f>
        <v>29927</v>
      </c>
      <c r="V82" s="392">
        <f>SUM('2.működés'!G59)</f>
        <v>29927</v>
      </c>
      <c r="W82" s="612"/>
      <c r="X82" s="818"/>
      <c r="Y82" s="255"/>
      <c r="Z82" s="395"/>
    </row>
    <row r="83" spans="2:28" x14ac:dyDescent="0.2">
      <c r="B83" s="10" t="s">
        <v>942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392"/>
      <c r="R83" s="392">
        <f>SUM('2.működés'!C60)</f>
        <v>5000</v>
      </c>
      <c r="S83" s="392">
        <f>SUM('2.működés'!D60)</f>
        <v>5000</v>
      </c>
      <c r="T83" s="392">
        <f>SUM('2.működés'!E60)</f>
        <v>8500</v>
      </c>
      <c r="U83" s="392">
        <f>SUM('2.működés'!F60)</f>
        <v>8500</v>
      </c>
      <c r="V83" s="392">
        <f>SUM('2.működés'!G60)</f>
        <v>8500</v>
      </c>
      <c r="W83" s="612"/>
      <c r="X83" s="818"/>
      <c r="Y83" s="255"/>
      <c r="Z83" s="395"/>
    </row>
    <row r="84" spans="2:28" x14ac:dyDescent="0.2">
      <c r="B84" s="10" t="s">
        <v>941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392"/>
      <c r="R84" s="392">
        <v>17881</v>
      </c>
      <c r="S84" s="392">
        <v>17881</v>
      </c>
      <c r="T84" s="392">
        <f>(15599+90)+1041</f>
        <v>16730</v>
      </c>
      <c r="U84" s="392">
        <f>(15599+90)+1041</f>
        <v>16730</v>
      </c>
      <c r="V84" s="392">
        <f>(15599+90)+1041</f>
        <v>16730</v>
      </c>
      <c r="W84" s="612"/>
      <c r="X84" s="818"/>
      <c r="Y84" s="255"/>
      <c r="Z84" s="395"/>
    </row>
    <row r="85" spans="2:28" x14ac:dyDescent="0.2">
      <c r="B85" s="608" t="s">
        <v>354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9"/>
      <c r="R85" s="609">
        <f>SUM(R80:R84)</f>
        <v>185486</v>
      </c>
      <c r="S85" s="609">
        <f>SUM(S80:S84)</f>
        <v>186067</v>
      </c>
      <c r="T85" s="609">
        <f>SUM(T80:T84)</f>
        <v>225459</v>
      </c>
      <c r="U85" s="609">
        <f>SUM(U80:U84)</f>
        <v>225459</v>
      </c>
      <c r="V85" s="609">
        <f>SUM(V80:V84)</f>
        <v>225459</v>
      </c>
      <c r="W85" s="612"/>
      <c r="X85" s="818"/>
      <c r="Y85" s="255"/>
      <c r="Z85" s="395"/>
    </row>
    <row r="86" spans="2:28" x14ac:dyDescent="0.2">
      <c r="B86" s="10" t="s">
        <v>353</v>
      </c>
      <c r="Q86" s="392"/>
      <c r="R86" s="796">
        <f>SUM(R78-R85)</f>
        <v>41464</v>
      </c>
      <c r="S86" s="796">
        <f>SUM(S78-S85)</f>
        <v>48029</v>
      </c>
      <c r="T86" s="392">
        <f>SUM(T78-T85)</f>
        <v>-1178</v>
      </c>
      <c r="U86" s="392">
        <f>SUM(U78-U85)</f>
        <v>-1178</v>
      </c>
      <c r="V86" s="392">
        <f>SUM(V78-V85)</f>
        <v>-1178</v>
      </c>
      <c r="W86" s="612"/>
      <c r="X86" s="818"/>
      <c r="Y86" s="255"/>
      <c r="Z86" s="819"/>
      <c r="AA86" s="255"/>
      <c r="AB86" s="255"/>
    </row>
    <row r="87" spans="2:28" x14ac:dyDescent="0.2">
      <c r="V87" s="86"/>
      <c r="Z87" s="36"/>
    </row>
    <row r="88" spans="2:28" hidden="1" x14ac:dyDescent="0.2">
      <c r="U88" s="45" t="e">
        <f>U80+#REF!+U81+U83+U86</f>
        <v>#REF!</v>
      </c>
      <c r="V88" s="392" t="e">
        <f>V80+#REF!+V81+V83+V86</f>
        <v>#REF!</v>
      </c>
      <c r="Z88" s="36"/>
    </row>
    <row r="89" spans="2:28" hidden="1" x14ac:dyDescent="0.2">
      <c r="U89" s="45">
        <f>U80+U86</f>
        <v>168124</v>
      </c>
      <c r="V89" s="45">
        <f>V80+V86</f>
        <v>168124</v>
      </c>
      <c r="Z89" s="36"/>
    </row>
    <row r="90" spans="2:28" x14ac:dyDescent="0.2">
      <c r="Z90" s="36"/>
    </row>
    <row r="91" spans="2:28" x14ac:dyDescent="0.2">
      <c r="Z91" s="37"/>
    </row>
    <row r="92" spans="2:28" x14ac:dyDescent="0.2">
      <c r="Z92" s="36"/>
    </row>
    <row r="93" spans="2:28" x14ac:dyDescent="0.2">
      <c r="Z93" s="36"/>
    </row>
    <row r="94" spans="2:28" x14ac:dyDescent="0.2">
      <c r="Z94" s="37"/>
    </row>
    <row r="95" spans="2:28" x14ac:dyDescent="0.2">
      <c r="Z95" s="37"/>
    </row>
    <row r="96" spans="2:28" x14ac:dyDescent="0.2">
      <c r="Z96" s="36"/>
    </row>
    <row r="97" spans="26:26" x14ac:dyDescent="0.2">
      <c r="Z97" s="36"/>
    </row>
    <row r="98" spans="26:26" x14ac:dyDescent="0.2">
      <c r="Z98" s="36"/>
    </row>
    <row r="99" spans="26:26" x14ac:dyDescent="0.2">
      <c r="Z99" s="36"/>
    </row>
    <row r="100" spans="26:26" x14ac:dyDescent="0.2">
      <c r="Z100" s="36"/>
    </row>
    <row r="101" spans="26:26" x14ac:dyDescent="0.2">
      <c r="Z101" s="36"/>
    </row>
    <row r="102" spans="26:26" x14ac:dyDescent="0.2">
      <c r="Z102" s="36"/>
    </row>
    <row r="103" spans="26:26" x14ac:dyDescent="0.2">
      <c r="Z103" s="37"/>
    </row>
    <row r="104" spans="26:26" x14ac:dyDescent="0.2">
      <c r="Z104" s="36"/>
    </row>
    <row r="105" spans="26:26" x14ac:dyDescent="0.2">
      <c r="Z105" s="36"/>
    </row>
    <row r="106" spans="26:26" x14ac:dyDescent="0.2">
      <c r="Z106" s="36"/>
    </row>
    <row r="107" spans="26:26" x14ac:dyDescent="0.2">
      <c r="Z107" s="36"/>
    </row>
    <row r="108" spans="26:26" x14ac:dyDescent="0.2">
      <c r="Z108" s="36"/>
    </row>
    <row r="109" spans="26:26" x14ac:dyDescent="0.2">
      <c r="Z109" s="36"/>
    </row>
    <row r="110" spans="26:26" x14ac:dyDescent="0.2">
      <c r="Z110" s="36"/>
    </row>
    <row r="111" spans="26:26" x14ac:dyDescent="0.2">
      <c r="Z111" s="36"/>
    </row>
    <row r="112" spans="26:26" x14ac:dyDescent="0.2">
      <c r="Z112" s="36"/>
    </row>
    <row r="113" spans="26:26" x14ac:dyDescent="0.2">
      <c r="Z113" s="37"/>
    </row>
    <row r="114" spans="26:26" x14ac:dyDescent="0.2">
      <c r="Z114" s="36"/>
    </row>
    <row r="115" spans="26:26" x14ac:dyDescent="0.2">
      <c r="Z115" s="36"/>
    </row>
    <row r="116" spans="26:26" x14ac:dyDescent="0.2">
      <c r="Z116" s="36"/>
    </row>
    <row r="117" spans="26:26" x14ac:dyDescent="0.2">
      <c r="Z117" s="36"/>
    </row>
    <row r="118" spans="26:26" x14ac:dyDescent="0.2">
      <c r="Z118" s="36"/>
    </row>
    <row r="119" spans="26:26" x14ac:dyDescent="0.2">
      <c r="Z119" s="36"/>
    </row>
    <row r="120" spans="26:26" x14ac:dyDescent="0.2">
      <c r="Z120" s="36"/>
    </row>
    <row r="121" spans="26:26" x14ac:dyDescent="0.2">
      <c r="Z121" s="36"/>
    </row>
    <row r="122" spans="26:26" x14ac:dyDescent="0.2">
      <c r="Z122" s="36"/>
    </row>
    <row r="123" spans="26:26" x14ac:dyDescent="0.2">
      <c r="Z123" s="36"/>
    </row>
    <row r="124" spans="26:26" x14ac:dyDescent="0.2">
      <c r="Z124" s="36"/>
    </row>
    <row r="125" spans="26:26" x14ac:dyDescent="0.2">
      <c r="Z125" s="37"/>
    </row>
    <row r="126" spans="26:26" x14ac:dyDescent="0.2">
      <c r="Z126" s="36"/>
    </row>
    <row r="127" spans="26:26" x14ac:dyDescent="0.2">
      <c r="Z127" s="36"/>
    </row>
    <row r="128" spans="26:26" x14ac:dyDescent="0.2">
      <c r="Z128" s="36"/>
    </row>
    <row r="129" spans="26:26" x14ac:dyDescent="0.2">
      <c r="Z129" s="36"/>
    </row>
    <row r="130" spans="26:26" x14ac:dyDescent="0.2">
      <c r="Z130" s="36"/>
    </row>
    <row r="131" spans="26:26" x14ac:dyDescent="0.2">
      <c r="Z131" s="36"/>
    </row>
    <row r="132" spans="26:26" x14ac:dyDescent="0.2">
      <c r="Z132" s="36"/>
    </row>
    <row r="133" spans="26:26" x14ac:dyDescent="0.2">
      <c r="Z133" s="36"/>
    </row>
    <row r="134" spans="26:26" x14ac:dyDescent="0.2">
      <c r="Z134" s="36"/>
    </row>
    <row r="135" spans="26:26" x14ac:dyDescent="0.2">
      <c r="Z135" s="36"/>
    </row>
    <row r="136" spans="26:26" x14ac:dyDescent="0.2">
      <c r="Z136" s="37"/>
    </row>
    <row r="137" spans="26:26" x14ac:dyDescent="0.2">
      <c r="Z137" s="36"/>
    </row>
    <row r="138" spans="26:26" x14ac:dyDescent="0.2">
      <c r="Z138" s="36"/>
    </row>
    <row r="139" spans="26:26" x14ac:dyDescent="0.2">
      <c r="Z139" s="36"/>
    </row>
    <row r="140" spans="26:26" x14ac:dyDescent="0.2">
      <c r="Z140" s="36"/>
    </row>
    <row r="141" spans="26:26" x14ac:dyDescent="0.2">
      <c r="Z141" s="36"/>
    </row>
    <row r="142" spans="26:26" x14ac:dyDescent="0.2">
      <c r="Z142" s="36"/>
    </row>
    <row r="143" spans="26:26" x14ac:dyDescent="0.2">
      <c r="Z143" s="36"/>
    </row>
    <row r="144" spans="26:26" x14ac:dyDescent="0.2">
      <c r="Z144" s="37"/>
    </row>
    <row r="145" spans="26:26" x14ac:dyDescent="0.2">
      <c r="Z145" s="36"/>
    </row>
    <row r="155" spans="26:26" x14ac:dyDescent="0.2">
      <c r="Z155" s="393"/>
    </row>
    <row r="156" spans="26:26" x14ac:dyDescent="0.2">
      <c r="Z156" s="395"/>
    </row>
    <row r="157" spans="26:26" x14ac:dyDescent="0.2">
      <c r="Z157" s="395"/>
    </row>
    <row r="158" spans="26:26" x14ac:dyDescent="0.2">
      <c r="Z158" s="395"/>
    </row>
    <row r="159" spans="26:26" x14ac:dyDescent="0.2">
      <c r="Z159" s="395"/>
    </row>
    <row r="160" spans="26:26" x14ac:dyDescent="0.2">
      <c r="Z160" s="395"/>
    </row>
    <row r="161" spans="26:26" x14ac:dyDescent="0.2">
      <c r="Z161" s="395"/>
    </row>
    <row r="162" spans="26:26" x14ac:dyDescent="0.2">
      <c r="Z162" s="395"/>
    </row>
    <row r="163" spans="26:26" x14ac:dyDescent="0.2">
      <c r="Z163" s="395"/>
    </row>
    <row r="164" spans="26:26" x14ac:dyDescent="0.2">
      <c r="Z164" s="395"/>
    </row>
    <row r="165" spans="26:26" x14ac:dyDescent="0.2">
      <c r="Z165" s="395"/>
    </row>
    <row r="166" spans="26:26" x14ac:dyDescent="0.2">
      <c r="Z166" s="395"/>
    </row>
    <row r="167" spans="26:26" x14ac:dyDescent="0.2">
      <c r="Z167" s="395"/>
    </row>
    <row r="168" spans="26:26" x14ac:dyDescent="0.2">
      <c r="Z168" s="395"/>
    </row>
    <row r="169" spans="26:26" x14ac:dyDescent="0.2">
      <c r="Z169" s="395"/>
    </row>
    <row r="170" spans="26:26" x14ac:dyDescent="0.2">
      <c r="Z170" s="395"/>
    </row>
    <row r="171" spans="26:26" x14ac:dyDescent="0.2">
      <c r="Z171" s="395"/>
    </row>
    <row r="172" spans="26:26" x14ac:dyDescent="0.2">
      <c r="Z172" s="395"/>
    </row>
    <row r="173" spans="26:26" x14ac:dyDescent="0.2">
      <c r="Z173" s="395"/>
    </row>
    <row r="174" spans="26:26" x14ac:dyDescent="0.2">
      <c r="Z174" s="395"/>
    </row>
    <row r="175" spans="26:26" x14ac:dyDescent="0.2">
      <c r="Z175" s="395"/>
    </row>
    <row r="176" spans="26:26" x14ac:dyDescent="0.2">
      <c r="Z176" s="395"/>
    </row>
    <row r="177" spans="26:26" x14ac:dyDescent="0.2">
      <c r="Z177" s="395"/>
    </row>
    <row r="178" spans="26:26" x14ac:dyDescent="0.2">
      <c r="Z178" s="395"/>
    </row>
    <row r="179" spans="26:26" x14ac:dyDescent="0.2">
      <c r="Z179" s="395"/>
    </row>
    <row r="180" spans="26:26" x14ac:dyDescent="0.2">
      <c r="Z180" s="395"/>
    </row>
    <row r="181" spans="26:26" x14ac:dyDescent="0.2">
      <c r="Z181" s="395"/>
    </row>
    <row r="182" spans="26:26" x14ac:dyDescent="0.2">
      <c r="Z182" s="395"/>
    </row>
    <row r="183" spans="26:26" x14ac:dyDescent="0.2">
      <c r="Z183" s="395"/>
    </row>
    <row r="184" spans="26:26" x14ac:dyDescent="0.2">
      <c r="Z184" s="395"/>
    </row>
    <row r="185" spans="26:26" x14ac:dyDescent="0.2">
      <c r="Z185" s="395"/>
    </row>
    <row r="186" spans="26:26" x14ac:dyDescent="0.2">
      <c r="Z186" s="395"/>
    </row>
    <row r="187" spans="26:26" x14ac:dyDescent="0.2">
      <c r="Z187" s="395"/>
    </row>
    <row r="188" spans="26:26" x14ac:dyDescent="0.2">
      <c r="Z188" s="395"/>
    </row>
    <row r="189" spans="26:26" x14ac:dyDescent="0.2">
      <c r="Z189" s="395"/>
    </row>
    <row r="190" spans="26:26" x14ac:dyDescent="0.2">
      <c r="Z190" s="395"/>
    </row>
    <row r="191" spans="26:26" x14ac:dyDescent="0.2">
      <c r="Z191" s="395"/>
    </row>
    <row r="192" spans="26:26" x14ac:dyDescent="0.2">
      <c r="Z192" s="395"/>
    </row>
    <row r="193" spans="26:26" x14ac:dyDescent="0.2">
      <c r="Z193" s="395"/>
    </row>
    <row r="194" spans="26:26" x14ac:dyDescent="0.2">
      <c r="Z194" s="395"/>
    </row>
    <row r="195" spans="26:26" x14ac:dyDescent="0.2">
      <c r="Z195" s="395"/>
    </row>
    <row r="196" spans="26:26" x14ac:dyDescent="0.2">
      <c r="Z196" s="395"/>
    </row>
    <row r="197" spans="26:26" x14ac:dyDescent="0.2">
      <c r="Z197" s="395"/>
    </row>
    <row r="198" spans="26:26" x14ac:dyDescent="0.2">
      <c r="Z198" s="395"/>
    </row>
    <row r="199" spans="26:26" x14ac:dyDescent="0.2">
      <c r="Z199" s="395"/>
    </row>
    <row r="200" spans="26:26" x14ac:dyDescent="0.2">
      <c r="Z200" s="395"/>
    </row>
    <row r="201" spans="26:26" x14ac:dyDescent="0.2">
      <c r="Z201" s="395"/>
    </row>
    <row r="202" spans="26:26" x14ac:dyDescent="0.2">
      <c r="Z202" s="395"/>
    </row>
    <row r="203" spans="26:26" x14ac:dyDescent="0.2">
      <c r="Z203" s="395"/>
    </row>
    <row r="204" spans="26:26" x14ac:dyDescent="0.2">
      <c r="Z204" s="395"/>
    </row>
    <row r="205" spans="26:26" x14ac:dyDescent="0.2">
      <c r="Z205" s="395"/>
    </row>
    <row r="206" spans="26:26" x14ac:dyDescent="0.2">
      <c r="Z206" s="395"/>
    </row>
    <row r="207" spans="26:26" x14ac:dyDescent="0.2">
      <c r="Z207" s="395"/>
    </row>
    <row r="208" spans="26:26" x14ac:dyDescent="0.2">
      <c r="Z208" s="395"/>
    </row>
    <row r="209" spans="26:26" x14ac:dyDescent="0.2">
      <c r="Z209" s="395"/>
    </row>
    <row r="210" spans="26:26" x14ac:dyDescent="0.2">
      <c r="Z210" s="395"/>
    </row>
    <row r="211" spans="26:26" x14ac:dyDescent="0.2">
      <c r="Z211" s="395"/>
    </row>
    <row r="212" spans="26:26" x14ac:dyDescent="0.2">
      <c r="Z212" s="395"/>
    </row>
    <row r="213" spans="26:26" x14ac:dyDescent="0.2">
      <c r="Z213" s="395"/>
    </row>
    <row r="214" spans="26:26" x14ac:dyDescent="0.2">
      <c r="Z214" s="395"/>
    </row>
    <row r="215" spans="26:26" x14ac:dyDescent="0.2">
      <c r="Z215" s="395"/>
    </row>
    <row r="216" spans="26:26" x14ac:dyDescent="0.2">
      <c r="Z216" s="395"/>
    </row>
    <row r="217" spans="26:26" x14ac:dyDescent="0.2">
      <c r="Z217" s="395"/>
    </row>
    <row r="218" spans="26:26" x14ac:dyDescent="0.2">
      <c r="Z218" s="395"/>
    </row>
    <row r="219" spans="26:26" x14ac:dyDescent="0.2">
      <c r="Z219" s="395"/>
    </row>
    <row r="220" spans="26:26" x14ac:dyDescent="0.2">
      <c r="Z220" s="395"/>
    </row>
    <row r="221" spans="26:26" x14ac:dyDescent="0.2">
      <c r="Z221" s="395"/>
    </row>
    <row r="222" spans="26:26" x14ac:dyDescent="0.2">
      <c r="Z222" s="395"/>
    </row>
    <row r="223" spans="26:26" x14ac:dyDescent="0.2">
      <c r="Z223" s="395"/>
    </row>
    <row r="224" spans="26:26" x14ac:dyDescent="0.2">
      <c r="Z224" s="395"/>
    </row>
  </sheetData>
  <mergeCells count="9">
    <mergeCell ref="A5:V5"/>
    <mergeCell ref="A3:V3"/>
    <mergeCell ref="A4:V4"/>
    <mergeCell ref="A7:A8"/>
    <mergeCell ref="B7:B8"/>
    <mergeCell ref="C7:G7"/>
    <mergeCell ref="H7:L7"/>
    <mergeCell ref="M7:Q7"/>
    <mergeCell ref="R7:S7"/>
  </mergeCells>
  <pageMargins left="0.35433070866141736" right="0.15748031496062992" top="0.19685039370078741" bottom="0.15748031496062992" header="0.19685039370078741" footer="0.15748031496062992"/>
  <pageSetup paperSize="9" scale="85" orientation="landscape" r:id="rId1"/>
  <headerFooter alignWithMargins="0"/>
  <rowBreaks count="1" manualBreakCount="1">
    <brk id="48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82"/>
  <sheetViews>
    <sheetView zoomScaleNormal="100" workbookViewId="0">
      <selection activeCell="D27" sqref="D27:E27"/>
    </sheetView>
  </sheetViews>
  <sheetFormatPr defaultRowHeight="12.75" x14ac:dyDescent="0.2"/>
  <cols>
    <col min="1" max="1" width="44.85546875" customWidth="1"/>
    <col min="2" max="2" width="12.7109375" customWidth="1"/>
    <col min="3" max="3" width="12.7109375" style="115" customWidth="1"/>
    <col min="4" max="10" width="10.140625" customWidth="1"/>
    <col min="11" max="11" width="12.7109375" customWidth="1"/>
    <col min="12" max="12" width="12.7109375" hidden="1" customWidth="1"/>
    <col min="13" max="16" width="12.7109375" customWidth="1"/>
    <col min="17" max="17" width="10.28515625" customWidth="1"/>
  </cols>
  <sheetData>
    <row r="1" spans="1:31" x14ac:dyDescent="0.2">
      <c r="A1" s="4"/>
      <c r="B1" s="4"/>
      <c r="C1" s="4"/>
      <c r="D1" s="4"/>
      <c r="E1" s="4"/>
      <c r="F1" s="4"/>
      <c r="G1" s="4"/>
      <c r="H1" s="4"/>
      <c r="I1" s="98" t="s">
        <v>1001</v>
      </c>
      <c r="J1" s="98"/>
      <c r="K1" s="98"/>
      <c r="L1" s="98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">
      <c r="A2" s="99"/>
      <c r="B2" s="4"/>
      <c r="C2" s="100"/>
      <c r="D2" s="4"/>
      <c r="E2" s="4"/>
      <c r="F2" s="4"/>
      <c r="G2" s="4"/>
      <c r="H2" s="4"/>
      <c r="I2" s="767">
        <f>'1.Bev-kiad.'!D2</f>
        <v>0</v>
      </c>
      <c r="J2" s="101"/>
      <c r="K2" s="101"/>
      <c r="L2" s="101"/>
      <c r="M2" s="4"/>
      <c r="N2" s="4"/>
      <c r="O2" s="4"/>
      <c r="P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3" customFormat="1" ht="15" x14ac:dyDescent="0.2">
      <c r="A3" s="103" t="s">
        <v>65</v>
      </c>
      <c r="B3" s="4"/>
      <c r="C3" s="100"/>
      <c r="D3" s="63"/>
      <c r="E3" s="63"/>
      <c r="F3" s="63"/>
      <c r="G3" s="63"/>
      <c r="H3" s="63"/>
      <c r="I3" s="104"/>
      <c r="J3" s="104"/>
      <c r="K3" s="679"/>
      <c r="L3" s="105"/>
      <c r="M3" s="63"/>
      <c r="N3" s="63"/>
      <c r="O3" s="63"/>
      <c r="P3" s="63"/>
      <c r="Q3" s="4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1" s="3" customFormat="1" ht="15" x14ac:dyDescent="0.2">
      <c r="A4" s="103" t="s">
        <v>66</v>
      </c>
      <c r="B4" s="4"/>
      <c r="C4" s="100"/>
      <c r="D4" s="63"/>
      <c r="E4" s="63"/>
      <c r="F4" s="63"/>
      <c r="G4" s="63"/>
      <c r="H4" s="63"/>
      <c r="I4" s="104"/>
      <c r="J4" s="104"/>
      <c r="K4" s="679"/>
      <c r="L4" s="105"/>
      <c r="M4" s="63"/>
      <c r="N4" s="63"/>
      <c r="O4" s="63"/>
      <c r="P4" s="4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1" s="3" customFormat="1" x14ac:dyDescent="0.2">
      <c r="A5" s="4"/>
      <c r="B5" s="4"/>
      <c r="C5" s="100"/>
      <c r="D5" s="63"/>
      <c r="E5" s="63"/>
      <c r="F5" s="98" t="s">
        <v>28</v>
      </c>
      <c r="G5" s="63"/>
      <c r="H5" s="63"/>
      <c r="J5" s="98"/>
      <c r="L5" s="106"/>
      <c r="M5" s="63"/>
      <c r="N5" s="63"/>
      <c r="O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</row>
    <row r="6" spans="1:31" s="3" customFormat="1" ht="42.75" x14ac:dyDescent="0.2">
      <c r="A6" s="726" t="s">
        <v>394</v>
      </c>
      <c r="B6" s="725" t="s">
        <v>1198</v>
      </c>
      <c r="C6" s="739">
        <v>2021</v>
      </c>
      <c r="D6" s="739">
        <v>2022</v>
      </c>
      <c r="E6" s="739">
        <v>2023</v>
      </c>
      <c r="F6" s="739">
        <v>2024</v>
      </c>
      <c r="G6" s="737"/>
      <c r="H6" s="737"/>
      <c r="I6" s="737"/>
      <c r="J6" s="737"/>
      <c r="K6" s="107"/>
      <c r="L6" s="107"/>
    </row>
    <row r="7" spans="1:31" s="3" customFormat="1" ht="15" customHeight="1" x14ac:dyDescent="0.2">
      <c r="A7" s="920" t="s">
        <v>67</v>
      </c>
      <c r="B7" s="740">
        <f>SUM(B8:B8)</f>
        <v>0</v>
      </c>
      <c r="C7" s="740">
        <f>SUM(C8:C8)</f>
        <v>221049</v>
      </c>
      <c r="D7" s="680" t="s">
        <v>69</v>
      </c>
      <c r="E7" s="746" t="s">
        <v>69</v>
      </c>
      <c r="F7" s="744" t="s">
        <v>69</v>
      </c>
      <c r="G7" s="738"/>
      <c r="H7" s="738"/>
      <c r="I7" s="738"/>
      <c r="J7" s="738"/>
      <c r="K7" s="108"/>
      <c r="L7" s="108"/>
    </row>
    <row r="8" spans="1:31" s="3" customFormat="1" ht="16.5" customHeight="1" x14ac:dyDescent="0.2">
      <c r="A8" s="921" t="s">
        <v>1248</v>
      </c>
      <c r="B8" s="741"/>
      <c r="C8" s="742">
        <v>221049</v>
      </c>
      <c r="D8" s="743" t="s">
        <v>69</v>
      </c>
      <c r="E8" s="743" t="s">
        <v>69</v>
      </c>
      <c r="F8" s="744" t="s">
        <v>69</v>
      </c>
      <c r="G8" s="733"/>
      <c r="H8" s="733"/>
      <c r="I8" s="733"/>
      <c r="J8" s="733"/>
      <c r="K8" s="108"/>
      <c r="L8" s="108"/>
    </row>
    <row r="9" spans="1:31" s="3" customFormat="1" ht="17.25" customHeight="1" x14ac:dyDescent="0.2">
      <c r="A9" s="922" t="s">
        <v>68</v>
      </c>
      <c r="B9" s="217">
        <f>SUM(B10)</f>
        <v>197556</v>
      </c>
      <c r="C9" s="217">
        <f>SUM(C10)</f>
        <v>530984</v>
      </c>
      <c r="D9" s="746" t="s">
        <v>69</v>
      </c>
      <c r="E9" s="746" t="s">
        <v>69</v>
      </c>
      <c r="F9" s="680" t="s">
        <v>69</v>
      </c>
      <c r="G9" s="734"/>
      <c r="H9" s="734"/>
      <c r="I9" s="734"/>
      <c r="J9" s="734"/>
      <c r="K9" s="108"/>
      <c r="L9" s="108"/>
    </row>
    <row r="10" spans="1:31" s="3" customFormat="1" ht="17.25" customHeight="1" x14ac:dyDescent="0.2">
      <c r="A10" s="921" t="s">
        <v>519</v>
      </c>
      <c r="B10" s="741">
        <f>(10058+5652+20574+2572+158700)</f>
        <v>197556</v>
      </c>
      <c r="C10" s="167">
        <v>530984</v>
      </c>
      <c r="D10" s="743" t="s">
        <v>69</v>
      </c>
      <c r="E10" s="743" t="s">
        <v>69</v>
      </c>
      <c r="F10" s="48" t="s">
        <v>69</v>
      </c>
      <c r="G10" s="735"/>
      <c r="H10" s="735"/>
      <c r="I10" s="735"/>
      <c r="J10" s="735"/>
      <c r="K10" s="108"/>
      <c r="L10" s="108"/>
    </row>
    <row r="11" spans="1:31" s="3" customFormat="1" ht="15.75" customHeight="1" x14ac:dyDescent="0.2">
      <c r="A11" s="923" t="s">
        <v>70</v>
      </c>
      <c r="B11" s="219"/>
      <c r="C11" s="218"/>
      <c r="D11" s="746" t="s">
        <v>69</v>
      </c>
      <c r="E11" s="746" t="s">
        <v>69</v>
      </c>
      <c r="F11" s="680" t="s">
        <v>69</v>
      </c>
      <c r="G11" s="734"/>
      <c r="H11" s="734"/>
      <c r="I11" s="734"/>
      <c r="J11" s="734"/>
      <c r="K11" s="108"/>
      <c r="L11" s="108"/>
    </row>
    <row r="12" spans="1:31" s="3" customFormat="1" x14ac:dyDescent="0.2">
      <c r="A12" s="924" t="s">
        <v>69</v>
      </c>
      <c r="B12" s="34"/>
      <c r="C12" s="167"/>
      <c r="D12" s="743" t="s">
        <v>69</v>
      </c>
      <c r="E12" s="743" t="s">
        <v>69</v>
      </c>
      <c r="F12" s="48" t="s">
        <v>69</v>
      </c>
      <c r="G12" s="735"/>
      <c r="H12" s="735"/>
      <c r="I12" s="735"/>
      <c r="J12" s="735"/>
      <c r="K12" s="35"/>
      <c r="L12" s="35"/>
    </row>
    <row r="13" spans="1:31" s="3" customFormat="1" x14ac:dyDescent="0.2">
      <c r="A13" s="923" t="s">
        <v>47</v>
      </c>
      <c r="B13" s="124">
        <f>SUM(B7+B9)</f>
        <v>197556</v>
      </c>
      <c r="C13" s="124">
        <f>SUM(C7+C9)</f>
        <v>752033</v>
      </c>
      <c r="D13" s="747" t="s">
        <v>69</v>
      </c>
      <c r="E13" s="747" t="s">
        <v>69</v>
      </c>
      <c r="F13" s="745" t="s">
        <v>69</v>
      </c>
      <c r="G13" s="736"/>
      <c r="H13" s="736"/>
      <c r="I13" s="736"/>
      <c r="J13" s="736"/>
      <c r="K13" s="109"/>
      <c r="L13" s="109"/>
    </row>
    <row r="14" spans="1:31" s="3" customFormat="1" x14ac:dyDescent="0.2">
      <c r="A14" s="4"/>
      <c r="B14" s="4"/>
      <c r="C14" s="4"/>
      <c r="D14" s="220"/>
      <c r="E14" s="220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31" ht="12.95" customHeight="1" x14ac:dyDescent="0.2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31" ht="16.5" customHeight="1" x14ac:dyDescent="0.2">
      <c r="A16" s="993" t="s">
        <v>1002</v>
      </c>
      <c r="B16" s="993"/>
      <c r="C16" s="993"/>
      <c r="D16" s="993"/>
      <c r="E16" s="993"/>
      <c r="F16" s="993"/>
      <c r="G16" s="993"/>
      <c r="H16" s="993"/>
      <c r="I16" s="993"/>
      <c r="J16" s="993"/>
      <c r="K16" s="993"/>
      <c r="L16" s="993"/>
      <c r="M16" s="993"/>
    </row>
    <row r="17" spans="1:17" ht="12.95" customHeight="1" x14ac:dyDescent="0.2">
      <c r="A17" s="1003" t="s">
        <v>1199</v>
      </c>
      <c r="B17" s="1004"/>
      <c r="C17" s="1004"/>
      <c r="D17" s="1004"/>
      <c r="E17" s="1004"/>
      <c r="F17" s="1004"/>
      <c r="G17" s="1004"/>
      <c r="H17" s="1004"/>
      <c r="I17" s="1004"/>
      <c r="J17" s="1004"/>
      <c r="K17" s="1004"/>
      <c r="L17" s="1004"/>
      <c r="M17" s="1004"/>
    </row>
    <row r="18" spans="1:17" ht="12.95" customHeight="1" x14ac:dyDescent="0.2">
      <c r="A18" s="4"/>
      <c r="B18" s="4"/>
      <c r="C18" s="111"/>
      <c r="D18" s="102"/>
      <c r="E18" s="102"/>
      <c r="F18" s="102"/>
      <c r="G18" s="102"/>
      <c r="H18" s="102"/>
      <c r="I18" s="102"/>
      <c r="J18" s="102"/>
      <c r="K18" s="102"/>
      <c r="L18" s="102"/>
      <c r="M18" s="98" t="s">
        <v>0</v>
      </c>
    </row>
    <row r="19" spans="1:17" ht="17.25" customHeight="1" x14ac:dyDescent="0.2">
      <c r="A19" s="1001" t="s">
        <v>974</v>
      </c>
      <c r="B19" s="1001" t="s">
        <v>71</v>
      </c>
      <c r="C19" s="1001" t="s">
        <v>72</v>
      </c>
      <c r="D19" s="1005" t="s">
        <v>935</v>
      </c>
      <c r="E19" s="1005"/>
      <c r="F19" s="1005"/>
      <c r="G19" s="1005"/>
      <c r="H19" s="1005"/>
      <c r="I19" s="1005"/>
      <c r="J19" s="1005"/>
      <c r="K19" s="1005"/>
      <c r="L19" s="533"/>
      <c r="M19" s="1010" t="s">
        <v>47</v>
      </c>
    </row>
    <row r="20" spans="1:17" ht="17.25" customHeight="1" x14ac:dyDescent="0.2">
      <c r="A20" s="1001"/>
      <c r="B20" s="1001"/>
      <c r="C20" s="1001"/>
      <c r="D20" s="997">
        <v>2021</v>
      </c>
      <c r="E20" s="998"/>
      <c r="F20" s="997">
        <v>2022</v>
      </c>
      <c r="G20" s="1021"/>
      <c r="H20" s="994">
        <v>2023</v>
      </c>
      <c r="I20" s="994"/>
      <c r="J20" s="1005" t="s">
        <v>1200</v>
      </c>
      <c r="K20" s="1005"/>
      <c r="L20" s="724"/>
      <c r="M20" s="1010"/>
    </row>
    <row r="21" spans="1:17" ht="30" customHeight="1" x14ac:dyDescent="0.2">
      <c r="A21" s="1002"/>
      <c r="B21" s="1002"/>
      <c r="C21" s="1002"/>
      <c r="D21" s="141" t="s">
        <v>975</v>
      </c>
      <c r="E21" s="141" t="s">
        <v>976</v>
      </c>
      <c r="F21" s="141" t="s">
        <v>975</v>
      </c>
      <c r="G21" s="141" t="s">
        <v>976</v>
      </c>
      <c r="H21" s="141" t="s">
        <v>975</v>
      </c>
      <c r="I21" s="141" t="s">
        <v>976</v>
      </c>
      <c r="J21" s="141" t="s">
        <v>975</v>
      </c>
      <c r="K21" s="141" t="s">
        <v>976</v>
      </c>
      <c r="L21" s="112">
        <v>2019</v>
      </c>
      <c r="M21" s="1011"/>
    </row>
    <row r="22" spans="1:17" ht="24.75" customHeight="1" x14ac:dyDescent="0.2">
      <c r="A22" s="535" t="s">
        <v>977</v>
      </c>
      <c r="B22" s="33">
        <v>2019</v>
      </c>
      <c r="C22" s="536">
        <v>100000</v>
      </c>
      <c r="D22" s="142">
        <v>10400</v>
      </c>
      <c r="E22" s="142">
        <v>1755</v>
      </c>
      <c r="F22" s="167">
        <v>10400</v>
      </c>
      <c r="G22" s="167">
        <v>1513</v>
      </c>
      <c r="H22" s="167">
        <v>10400</v>
      </c>
      <c r="I22" s="167">
        <v>1270</v>
      </c>
      <c r="J22" s="167">
        <v>48000</v>
      </c>
      <c r="K22" s="167">
        <v>2726</v>
      </c>
      <c r="L22" s="34"/>
      <c r="M22" s="48">
        <f>SUM(D22:K22)</f>
        <v>86464</v>
      </c>
    </row>
    <row r="23" spans="1:17" ht="12.95" customHeight="1" x14ac:dyDescent="0.2">
      <c r="A23" s="68" t="s">
        <v>978</v>
      </c>
      <c r="B23" s="71">
        <v>2019</v>
      </c>
      <c r="C23" s="536">
        <v>100000</v>
      </c>
      <c r="D23" s="142">
        <v>9756</v>
      </c>
      <c r="E23" s="142">
        <v>1888</v>
      </c>
      <c r="F23" s="167">
        <v>9756</v>
      </c>
      <c r="G23" s="168">
        <v>1663</v>
      </c>
      <c r="H23" s="168">
        <v>9756</v>
      </c>
      <c r="I23" s="68">
        <v>1437</v>
      </c>
      <c r="J23" s="68">
        <v>56097</v>
      </c>
      <c r="K23" s="68">
        <v>3892</v>
      </c>
      <c r="L23" s="71"/>
      <c r="M23" s="48">
        <f>SUM(D23:K23)</f>
        <v>94245</v>
      </c>
    </row>
    <row r="24" spans="1:17" ht="12.95" customHeight="1" x14ac:dyDescent="0.2">
      <c r="A24" s="113" t="s">
        <v>47</v>
      </c>
      <c r="B24" s="72"/>
      <c r="C24" s="217">
        <f t="shared" ref="C24:K24" si="0">SUM(C22:C23)</f>
        <v>200000</v>
      </c>
      <c r="D24" s="143">
        <f t="shared" si="0"/>
        <v>20156</v>
      </c>
      <c r="E24" s="143">
        <f t="shared" si="0"/>
        <v>3643</v>
      </c>
      <c r="F24" s="168">
        <f t="shared" si="0"/>
        <v>20156</v>
      </c>
      <c r="G24" s="168">
        <f t="shared" si="0"/>
        <v>3176</v>
      </c>
      <c r="H24" s="168">
        <f t="shared" si="0"/>
        <v>20156</v>
      </c>
      <c r="I24" s="70">
        <f t="shared" si="0"/>
        <v>2707</v>
      </c>
      <c r="J24" s="70">
        <f t="shared" si="0"/>
        <v>104097</v>
      </c>
      <c r="K24" s="70">
        <f t="shared" si="0"/>
        <v>6618</v>
      </c>
      <c r="L24" s="70"/>
      <c r="M24" s="681">
        <f>SUM(M22:M23)</f>
        <v>180709</v>
      </c>
      <c r="N24" s="86"/>
    </row>
    <row r="25" spans="1:17" ht="22.5" customHeight="1" x14ac:dyDescent="0.2">
      <c r="A25" s="1012" t="s">
        <v>381</v>
      </c>
      <c r="B25" s="1013"/>
      <c r="C25" s="1014"/>
      <c r="D25" s="1005" t="s">
        <v>393</v>
      </c>
      <c r="E25" s="1005"/>
      <c r="F25" s="1005"/>
      <c r="G25" s="1005"/>
      <c r="H25" s="1005"/>
      <c r="I25" s="1005"/>
      <c r="J25" s="1005"/>
      <c r="K25" s="1005"/>
      <c r="L25" s="533"/>
      <c r="M25" s="1010" t="s">
        <v>47</v>
      </c>
      <c r="N25" s="3"/>
      <c r="O25" s="3"/>
      <c r="P25" s="3"/>
      <c r="Q25" s="3"/>
    </row>
    <row r="26" spans="1:17" ht="39.75" customHeight="1" x14ac:dyDescent="0.2">
      <c r="A26" s="1015"/>
      <c r="B26" s="1016"/>
      <c r="C26" s="1017"/>
      <c r="D26" s="1008">
        <v>2021</v>
      </c>
      <c r="E26" s="1009"/>
      <c r="F26" s="1006">
        <v>2022</v>
      </c>
      <c r="G26" s="1007"/>
      <c r="H26" s="995">
        <v>2023</v>
      </c>
      <c r="I26" s="996"/>
      <c r="J26" s="999" t="s">
        <v>1201</v>
      </c>
      <c r="K26" s="1000"/>
      <c r="L26" s="112"/>
      <c r="M26" s="1011"/>
      <c r="N26" s="3"/>
      <c r="O26" s="3"/>
      <c r="P26" s="3"/>
      <c r="Q26" s="3"/>
    </row>
    <row r="27" spans="1:17" ht="12.95" customHeight="1" x14ac:dyDescent="0.2">
      <c r="A27" s="1018"/>
      <c r="B27" s="1019"/>
      <c r="C27" s="1020"/>
      <c r="D27" s="1022">
        <f>SUM('2.működés'!C72+'2.működés'!C73+'2.működés'!C74+'2.működés'!C76+'2.működés'!C84+'2.működés'!C79+'3.felh'!C20)/2</f>
        <v>187000</v>
      </c>
      <c r="E27" s="1023"/>
      <c r="F27" s="1024">
        <v>167000</v>
      </c>
      <c r="G27" s="1025"/>
      <c r="H27" s="1026">
        <v>167000</v>
      </c>
      <c r="I27" s="1027"/>
      <c r="J27" s="1026">
        <f>(167000*7)</f>
        <v>1169000</v>
      </c>
      <c r="K27" s="1027"/>
      <c r="L27" s="34"/>
      <c r="M27" s="48" t="s">
        <v>69</v>
      </c>
      <c r="N27" s="3"/>
      <c r="O27" s="3"/>
      <c r="P27" s="3"/>
      <c r="Q27" s="3"/>
    </row>
    <row r="28" spans="1:17" ht="12.95" customHeight="1" x14ac:dyDescent="0.2">
      <c r="B28" s="86"/>
      <c r="C28" s="11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2.95" hidden="1" customHeight="1" x14ac:dyDescent="0.2">
      <c r="B29" s="86"/>
      <c r="C29" s="114"/>
      <c r="D29" s="645">
        <f>('2.működés'!D71+'2.működés'!D76+'2.működés'!D78+'2.működés'!D84+'2.működés'!D79+'3.felh'!D20)/2</f>
        <v>187000</v>
      </c>
      <c r="E29" s="645"/>
      <c r="F29" s="645">
        <f>('2.működés'!E71+'2.működés'!E76+'2.működés'!E78+'2.működés'!E84+'2.működés'!E79+'3.felh'!E20)/2</f>
        <v>161920.5</v>
      </c>
      <c r="G29" s="645"/>
      <c r="H29" s="645"/>
      <c r="I29" s="3"/>
      <c r="J29" s="3"/>
      <c r="K29" s="3"/>
      <c r="L29" s="3"/>
      <c r="M29" s="3"/>
      <c r="N29" s="3"/>
      <c r="O29" s="3"/>
      <c r="P29" s="3"/>
      <c r="Q29" s="3"/>
    </row>
    <row r="30" spans="1:17" ht="12.95" hidden="1" customHeight="1" x14ac:dyDescent="0.2">
      <c r="B30" s="86"/>
      <c r="C30" s="114"/>
      <c r="D30" s="645">
        <f>D29*2</f>
        <v>374000</v>
      </c>
      <c r="E30" s="64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2.95" hidden="1" customHeight="1" x14ac:dyDescent="0.2">
      <c r="B31" s="86"/>
      <c r="C31" s="114"/>
      <c r="D31" s="645">
        <f>368582-D30</f>
        <v>-5418</v>
      </c>
      <c r="E31" s="64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2.95" customHeight="1" x14ac:dyDescent="0.2">
      <c r="B32" s="86"/>
      <c r="C32" s="1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ht="12.95" customHeight="1" x14ac:dyDescent="0.2">
      <c r="B33" s="86"/>
      <c r="C33" s="11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 ht="12.95" customHeight="1" x14ac:dyDescent="0.2">
      <c r="B34" s="86"/>
      <c r="C34" s="1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ht="12.95" customHeight="1" x14ac:dyDescent="0.2">
      <c r="B35" s="86"/>
      <c r="C35" s="1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 ht="12.95" customHeight="1" x14ac:dyDescent="0.2">
      <c r="B36" s="86"/>
      <c r="C36" s="11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 ht="12.95" customHeight="1" x14ac:dyDescent="0.2">
      <c r="B37" s="86"/>
      <c r="C37" s="11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2.95" customHeight="1" x14ac:dyDescent="0.2">
      <c r="B38" s="86"/>
      <c r="C38" s="11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17" ht="12.95" customHeight="1" x14ac:dyDescent="0.2">
      <c r="B39" s="86"/>
      <c r="C39" s="11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2.95" customHeight="1" x14ac:dyDescent="0.2">
      <c r="B40" s="86"/>
      <c r="C40" s="11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ht="12.95" customHeight="1" x14ac:dyDescent="0.2">
      <c r="B41" s="86"/>
      <c r="C41" s="11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 ht="12.95" customHeight="1" x14ac:dyDescent="0.2">
      <c r="B42" s="86"/>
      <c r="C42" s="11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17" ht="12.95" customHeight="1" x14ac:dyDescent="0.2">
      <c r="B43" s="86"/>
      <c r="C43" s="11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17" ht="12.95" customHeight="1" x14ac:dyDescent="0.2">
      <c r="B44" s="86"/>
      <c r="C44" s="11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 ht="12.95" customHeight="1" x14ac:dyDescent="0.2">
      <c r="B45" s="86"/>
      <c r="C45" s="11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 ht="12.95" customHeight="1" x14ac:dyDescent="0.2">
      <c r="B46" s="86"/>
      <c r="C46" s="11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2:17" ht="12.95" customHeight="1" x14ac:dyDescent="0.2">
      <c r="B47" s="86"/>
      <c r="C47" s="11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17" ht="12.95" customHeight="1" x14ac:dyDescent="0.2">
      <c r="B48" s="86"/>
      <c r="C48" s="11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2:17" ht="12.95" customHeight="1" x14ac:dyDescent="0.2">
      <c r="B49" s="86"/>
      <c r="C49" s="11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 ht="12.95" customHeight="1" x14ac:dyDescent="0.2">
      <c r="B50" s="86"/>
      <c r="C50" s="11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2:17" ht="12.95" customHeight="1" x14ac:dyDescent="0.2">
      <c r="B51" s="86"/>
      <c r="C51" s="1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2:17" ht="12.95" customHeight="1" x14ac:dyDescent="0.2">
      <c r="B52" s="86"/>
      <c r="C52" s="11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2:17" ht="12.95" customHeight="1" x14ac:dyDescent="0.2">
      <c r="B53" s="86"/>
      <c r="C53" s="11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 ht="12.95" customHeight="1" x14ac:dyDescent="0.2">
      <c r="B54" s="86"/>
      <c r="C54" s="11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 ht="12.95" customHeight="1" x14ac:dyDescent="0.2">
      <c r="B55" s="86"/>
      <c r="C55" s="11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 ht="12.95" customHeight="1" x14ac:dyDescent="0.2">
      <c r="B56" s="86"/>
      <c r="C56" s="114"/>
    </row>
    <row r="57" spans="2:17" ht="12.95" customHeight="1" x14ac:dyDescent="0.2">
      <c r="B57" s="86"/>
      <c r="C57" s="114"/>
    </row>
    <row r="58" spans="2:17" ht="12.95" customHeight="1" x14ac:dyDescent="0.2">
      <c r="B58" s="86"/>
      <c r="C58" s="114"/>
    </row>
    <row r="59" spans="2:17" ht="12.95" customHeight="1" x14ac:dyDescent="0.2">
      <c r="B59" s="86"/>
      <c r="C59" s="114"/>
    </row>
    <row r="60" spans="2:17" ht="12.95" customHeight="1" x14ac:dyDescent="0.2">
      <c r="B60" s="86"/>
      <c r="C60" s="114"/>
    </row>
    <row r="61" spans="2:17" ht="12.95" customHeight="1" x14ac:dyDescent="0.2">
      <c r="B61" s="86"/>
      <c r="C61" s="114"/>
    </row>
    <row r="62" spans="2:17" ht="12.95" customHeight="1" x14ac:dyDescent="0.2">
      <c r="B62" s="86"/>
      <c r="C62" s="114"/>
    </row>
    <row r="63" spans="2:17" ht="12.95" customHeight="1" x14ac:dyDescent="0.2">
      <c r="B63" s="86"/>
      <c r="C63" s="114"/>
    </row>
    <row r="64" spans="2:17" ht="12.95" customHeight="1" x14ac:dyDescent="0.2">
      <c r="B64" s="86"/>
      <c r="C64" s="114"/>
    </row>
    <row r="65" spans="2:3" x14ac:dyDescent="0.2">
      <c r="B65" s="86"/>
      <c r="C65" s="114"/>
    </row>
    <row r="66" spans="2:3" x14ac:dyDescent="0.2">
      <c r="B66" s="86"/>
      <c r="C66" s="114"/>
    </row>
    <row r="67" spans="2:3" x14ac:dyDescent="0.2">
      <c r="B67" s="86"/>
      <c r="C67" s="114"/>
    </row>
    <row r="68" spans="2:3" x14ac:dyDescent="0.2">
      <c r="B68" s="86"/>
      <c r="C68" s="114"/>
    </row>
    <row r="69" spans="2:3" x14ac:dyDescent="0.2">
      <c r="B69" s="86"/>
      <c r="C69" s="114"/>
    </row>
    <row r="70" spans="2:3" x14ac:dyDescent="0.2">
      <c r="B70" s="86"/>
      <c r="C70" s="114"/>
    </row>
    <row r="71" spans="2:3" x14ac:dyDescent="0.2">
      <c r="B71" s="86"/>
      <c r="C71" s="114"/>
    </row>
    <row r="72" spans="2:3" x14ac:dyDescent="0.2">
      <c r="B72" s="86"/>
      <c r="C72" s="114"/>
    </row>
    <row r="73" spans="2:3" x14ac:dyDescent="0.2">
      <c r="B73" s="86"/>
      <c r="C73" s="114"/>
    </row>
    <row r="74" spans="2:3" x14ac:dyDescent="0.2">
      <c r="B74" s="86"/>
      <c r="C74" s="114"/>
    </row>
    <row r="75" spans="2:3" x14ac:dyDescent="0.2">
      <c r="B75" s="86"/>
      <c r="C75" s="114"/>
    </row>
    <row r="76" spans="2:3" x14ac:dyDescent="0.2">
      <c r="B76" s="86"/>
      <c r="C76" s="114"/>
    </row>
    <row r="77" spans="2:3" x14ac:dyDescent="0.2">
      <c r="B77" s="86"/>
      <c r="C77" s="114"/>
    </row>
    <row r="78" spans="2:3" x14ac:dyDescent="0.2">
      <c r="B78" s="86"/>
      <c r="C78" s="114"/>
    </row>
    <row r="79" spans="2:3" x14ac:dyDescent="0.2">
      <c r="B79" s="86"/>
      <c r="C79" s="114"/>
    </row>
    <row r="80" spans="2:3" x14ac:dyDescent="0.2">
      <c r="B80" s="86"/>
      <c r="C80" s="114"/>
    </row>
    <row r="81" spans="2:3" x14ac:dyDescent="0.2">
      <c r="B81" s="86"/>
      <c r="C81" s="114"/>
    </row>
    <row r="82" spans="2:3" x14ac:dyDescent="0.2">
      <c r="B82" s="86"/>
      <c r="C82" s="114"/>
    </row>
  </sheetData>
  <mergeCells count="22">
    <mergeCell ref="F20:G20"/>
    <mergeCell ref="M25:M26"/>
    <mergeCell ref="D27:E27"/>
    <mergeCell ref="F27:G27"/>
    <mergeCell ref="H27:I27"/>
    <mergeCell ref="J27:K27"/>
    <mergeCell ref="A16:M16"/>
    <mergeCell ref="H20:I20"/>
    <mergeCell ref="H26:I26"/>
    <mergeCell ref="D20:E20"/>
    <mergeCell ref="J26:K26"/>
    <mergeCell ref="A19:A21"/>
    <mergeCell ref="A17:M17"/>
    <mergeCell ref="B19:B21"/>
    <mergeCell ref="D25:K25"/>
    <mergeCell ref="J20:K20"/>
    <mergeCell ref="F26:G26"/>
    <mergeCell ref="C19:C21"/>
    <mergeCell ref="D26:E26"/>
    <mergeCell ref="D19:K19"/>
    <mergeCell ref="M19:M21"/>
    <mergeCell ref="A25:C27"/>
  </mergeCells>
  <pageMargins left="0.64" right="0.2" top="0.31" bottom="1" header="0.19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zoomScaleNormal="100" workbookViewId="0">
      <selection activeCell="C15" sqref="C15"/>
    </sheetView>
  </sheetViews>
  <sheetFormatPr defaultRowHeight="12.75" x14ac:dyDescent="0.2"/>
  <cols>
    <col min="1" max="1" width="6.140625" style="396" customWidth="1"/>
    <col min="2" max="2" width="46.85546875" style="396" customWidth="1"/>
    <col min="3" max="3" width="15.28515625" style="396" customWidth="1"/>
    <col min="4" max="4" width="13.7109375" style="396" customWidth="1"/>
    <col min="5" max="5" width="13.85546875" style="396" customWidth="1"/>
    <col min="6" max="7" width="9.140625" style="396" hidden="1" customWidth="1"/>
    <col min="8" max="16384" width="9.140625" style="396"/>
  </cols>
  <sheetData>
    <row r="1" spans="1:7" x14ac:dyDescent="0.2">
      <c r="E1" s="397" t="s">
        <v>382</v>
      </c>
    </row>
    <row r="2" spans="1:7" ht="19.5" x14ac:dyDescent="0.35">
      <c r="A2" s="928" t="s">
        <v>27</v>
      </c>
      <c r="B2" s="936"/>
      <c r="C2" s="936"/>
      <c r="D2" s="936"/>
      <c r="E2" s="936"/>
    </row>
    <row r="3" spans="1:7" ht="19.5" x14ac:dyDescent="0.35">
      <c r="A3" s="928" t="s">
        <v>739</v>
      </c>
      <c r="B3" s="936"/>
      <c r="C3" s="936"/>
      <c r="D3" s="936"/>
      <c r="E3" s="936"/>
    </row>
    <row r="4" spans="1:7" ht="20.25" thickBot="1" x14ac:dyDescent="0.4">
      <c r="B4" s="389"/>
      <c r="C4" s="389"/>
      <c r="D4" s="389"/>
    </row>
    <row r="5" spans="1:7" s="401" customFormat="1" ht="48.75" customHeight="1" thickBot="1" x14ac:dyDescent="0.25">
      <c r="A5" s="398"/>
      <c r="B5" s="399" t="s">
        <v>531</v>
      </c>
      <c r="C5" s="399" t="s">
        <v>44</v>
      </c>
      <c r="D5" s="399" t="s">
        <v>532</v>
      </c>
      <c r="E5" s="400" t="s">
        <v>47</v>
      </c>
    </row>
    <row r="6" spans="1:7" x14ac:dyDescent="0.2">
      <c r="A6" s="402" t="s">
        <v>533</v>
      </c>
      <c r="B6" s="403" t="s">
        <v>534</v>
      </c>
      <c r="C6" s="528">
        <v>2162596</v>
      </c>
      <c r="D6" s="404">
        <v>31806</v>
      </c>
      <c r="E6" s="405">
        <f>SUM(C6:D6)</f>
        <v>2194402</v>
      </c>
      <c r="G6" s="396">
        <v>252931</v>
      </c>
    </row>
    <row r="7" spans="1:7" x14ac:dyDescent="0.2">
      <c r="A7" s="406" t="s">
        <v>535</v>
      </c>
      <c r="B7" s="407" t="s">
        <v>536</v>
      </c>
      <c r="C7" s="428">
        <v>813907</v>
      </c>
      <c r="D7" s="408">
        <v>185259</v>
      </c>
      <c r="E7" s="409">
        <f>SUM(C7:D7)</f>
        <v>999166</v>
      </c>
      <c r="F7" s="410"/>
      <c r="G7" s="396">
        <v>252931</v>
      </c>
    </row>
    <row r="8" spans="1:7" x14ac:dyDescent="0.2">
      <c r="A8" s="411" t="s">
        <v>537</v>
      </c>
      <c r="B8" s="412" t="s">
        <v>538</v>
      </c>
      <c r="C8" s="426">
        <f>C6-C7</f>
        <v>1348689</v>
      </c>
      <c r="D8" s="413">
        <f>D6-D7</f>
        <v>-153453</v>
      </c>
      <c r="E8" s="414">
        <f>E6-E7</f>
        <v>1195236</v>
      </c>
      <c r="F8" s="415"/>
    </row>
    <row r="9" spans="1:7" x14ac:dyDescent="0.2">
      <c r="A9" s="406" t="s">
        <v>539</v>
      </c>
      <c r="B9" s="407" t="s">
        <v>540</v>
      </c>
      <c r="C9" s="428">
        <v>162293</v>
      </c>
      <c r="D9" s="408">
        <v>173994</v>
      </c>
      <c r="E9" s="409">
        <f>SUM(C9:D9)</f>
        <v>336287</v>
      </c>
      <c r="F9" s="410">
        <f>E6+E9</f>
        <v>2530689</v>
      </c>
      <c r="G9" s="410">
        <f>F9-G6</f>
        <v>2277758</v>
      </c>
    </row>
    <row r="10" spans="1:7" x14ac:dyDescent="0.2">
      <c r="A10" s="406" t="s">
        <v>541</v>
      </c>
      <c r="B10" s="407" t="s">
        <v>542</v>
      </c>
      <c r="C10" s="428">
        <v>184852</v>
      </c>
      <c r="D10" s="408">
        <v>0</v>
      </c>
      <c r="E10" s="409">
        <f>SUM(C10:D10)</f>
        <v>184852</v>
      </c>
      <c r="F10" s="410">
        <f>E7+E10</f>
        <v>1184018</v>
      </c>
      <c r="G10" s="410">
        <f>F10-G7</f>
        <v>931087</v>
      </c>
    </row>
    <row r="11" spans="1:7" ht="14.25" customHeight="1" x14ac:dyDescent="0.2">
      <c r="A11" s="411" t="s">
        <v>543</v>
      </c>
      <c r="B11" s="412" t="s">
        <v>544</v>
      </c>
      <c r="C11" s="426">
        <f>C9-C10</f>
        <v>-22559</v>
      </c>
      <c r="D11" s="413">
        <f>D9-D10</f>
        <v>173994</v>
      </c>
      <c r="E11" s="414">
        <f>E9-E10</f>
        <v>151435</v>
      </c>
    </row>
    <row r="12" spans="1:7" x14ac:dyDescent="0.2">
      <c r="A12" s="411" t="s">
        <v>545</v>
      </c>
      <c r="B12" s="412" t="s">
        <v>546</v>
      </c>
      <c r="C12" s="426">
        <f>C8+C11</f>
        <v>1326130</v>
      </c>
      <c r="D12" s="413">
        <f>D8+D11</f>
        <v>20541</v>
      </c>
      <c r="E12" s="414">
        <f>E8+E11</f>
        <v>1346671</v>
      </c>
    </row>
    <row r="13" spans="1:7" x14ac:dyDescent="0.2">
      <c r="A13" s="411">
        <v>15</v>
      </c>
      <c r="B13" s="412" t="s">
        <v>547</v>
      </c>
      <c r="C13" s="426">
        <f>C12</f>
        <v>1326130</v>
      </c>
      <c r="D13" s="413">
        <f>D12</f>
        <v>20541</v>
      </c>
      <c r="E13" s="414">
        <f>E12</f>
        <v>1346671</v>
      </c>
    </row>
    <row r="14" spans="1:7" ht="25.5" hidden="1" x14ac:dyDescent="0.2">
      <c r="A14" s="411" t="s">
        <v>548</v>
      </c>
      <c r="B14" s="412" t="s">
        <v>549</v>
      </c>
      <c r="C14" s="529">
        <v>0</v>
      </c>
      <c r="D14" s="416">
        <v>0</v>
      </c>
      <c r="E14" s="417">
        <f>SUM(C14:D14)</f>
        <v>0</v>
      </c>
    </row>
    <row r="15" spans="1:7" ht="13.5" thickBot="1" x14ac:dyDescent="0.25">
      <c r="A15" s="418">
        <v>17</v>
      </c>
      <c r="B15" s="419" t="s">
        <v>550</v>
      </c>
      <c r="C15" s="530">
        <f>C12-C14</f>
        <v>1326130</v>
      </c>
      <c r="D15" s="420">
        <f>D12-D14</f>
        <v>20541</v>
      </c>
      <c r="E15" s="421">
        <f>E12-E14</f>
        <v>1346671</v>
      </c>
    </row>
  </sheetData>
  <mergeCells count="2">
    <mergeCell ref="A2:E2"/>
    <mergeCell ref="A3:E3"/>
  </mergeCells>
  <pageMargins left="0.7" right="0.7" top="0.75" bottom="0.75" header="0.3" footer="0.3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82"/>
  <sheetViews>
    <sheetView topLeftCell="A13" zoomScaleNormal="100" workbookViewId="0">
      <selection activeCell="F19" sqref="F19"/>
    </sheetView>
  </sheetViews>
  <sheetFormatPr defaultRowHeight="12.75" x14ac:dyDescent="0.2"/>
  <cols>
    <col min="1" max="1" width="0.28515625" style="396" customWidth="1"/>
    <col min="2" max="2" width="8.140625" style="396" customWidth="1"/>
    <col min="3" max="3" width="78.5703125" style="396" customWidth="1"/>
    <col min="4" max="4" width="13.42578125" style="396" customWidth="1"/>
    <col min="5" max="5" width="14.140625" style="396" customWidth="1"/>
    <col min="6" max="6" width="12.42578125" style="396" customWidth="1"/>
    <col min="7" max="16384" width="9.140625" style="396"/>
  </cols>
  <sheetData>
    <row r="1" spans="2:8" x14ac:dyDescent="0.2">
      <c r="F1" s="397" t="s">
        <v>505</v>
      </c>
    </row>
    <row r="2" spans="2:8" ht="19.5" x14ac:dyDescent="0.35">
      <c r="B2" s="928" t="s">
        <v>27</v>
      </c>
      <c r="C2" s="936"/>
      <c r="D2" s="936"/>
      <c r="E2" s="936"/>
      <c r="F2" s="936"/>
      <c r="G2" s="91"/>
      <c r="H2" s="91"/>
    </row>
    <row r="3" spans="2:8" ht="19.5" x14ac:dyDescent="0.35">
      <c r="B3" s="928" t="s">
        <v>740</v>
      </c>
      <c r="C3" s="936"/>
      <c r="D3" s="936"/>
      <c r="E3" s="936"/>
      <c r="F3" s="936"/>
      <c r="G3" s="91"/>
      <c r="H3" s="91"/>
    </row>
    <row r="4" spans="2:8" x14ac:dyDescent="0.2">
      <c r="F4" s="397"/>
    </row>
    <row r="5" spans="2:8" x14ac:dyDescent="0.2">
      <c r="F5" s="397" t="s">
        <v>750</v>
      </c>
    </row>
    <row r="6" spans="2:8" s="401" customFormat="1" ht="31.5" x14ac:dyDescent="0.2">
      <c r="B6" s="422"/>
      <c r="C6" s="423" t="s">
        <v>74</v>
      </c>
      <c r="D6" s="423" t="s">
        <v>552</v>
      </c>
      <c r="E6" s="422" t="s">
        <v>553</v>
      </c>
      <c r="F6" s="422" t="s">
        <v>554</v>
      </c>
    </row>
    <row r="7" spans="2:8" hidden="1" x14ac:dyDescent="0.2">
      <c r="B7" s="424" t="s">
        <v>533</v>
      </c>
      <c r="C7" s="407" t="s">
        <v>555</v>
      </c>
      <c r="D7" s="408">
        <v>0</v>
      </c>
      <c r="E7" s="408">
        <v>0</v>
      </c>
      <c r="F7" s="408">
        <v>0</v>
      </c>
    </row>
    <row r="8" spans="2:8" hidden="1" x14ac:dyDescent="0.2">
      <c r="B8" s="424" t="s">
        <v>535</v>
      </c>
      <c r="C8" s="407" t="s">
        <v>556</v>
      </c>
      <c r="D8" s="408">
        <v>71</v>
      </c>
      <c r="E8" s="408">
        <v>0</v>
      </c>
      <c r="F8" s="408">
        <v>34</v>
      </c>
    </row>
    <row r="9" spans="2:8" x14ac:dyDescent="0.2">
      <c r="B9" s="424" t="s">
        <v>533</v>
      </c>
      <c r="C9" s="407" t="s">
        <v>557</v>
      </c>
      <c r="D9" s="408">
        <v>292</v>
      </c>
      <c r="E9" s="408">
        <f>E7+E8</f>
        <v>0</v>
      </c>
      <c r="F9" s="408">
        <v>812</v>
      </c>
    </row>
    <row r="10" spans="2:8" hidden="1" x14ac:dyDescent="0.2">
      <c r="B10" s="424" t="s">
        <v>541</v>
      </c>
      <c r="C10" s="407" t="s">
        <v>558</v>
      </c>
      <c r="D10" s="408">
        <v>453294</v>
      </c>
      <c r="E10" s="408">
        <v>0</v>
      </c>
      <c r="F10" s="408">
        <v>456355</v>
      </c>
    </row>
    <row r="11" spans="2:8" hidden="1" x14ac:dyDescent="0.2">
      <c r="B11" s="424" t="s">
        <v>543</v>
      </c>
      <c r="C11" s="407" t="s">
        <v>559</v>
      </c>
      <c r="D11" s="408">
        <v>20376</v>
      </c>
      <c r="E11" s="408">
        <v>0</v>
      </c>
      <c r="F11" s="408">
        <v>0</v>
      </c>
    </row>
    <row r="12" spans="2:8" hidden="1" x14ac:dyDescent="0.2">
      <c r="B12" s="424" t="s">
        <v>560</v>
      </c>
      <c r="C12" s="407" t="s">
        <v>561</v>
      </c>
      <c r="D12" s="408">
        <v>0</v>
      </c>
      <c r="E12" s="408">
        <v>0</v>
      </c>
      <c r="F12" s="408">
        <v>0</v>
      </c>
    </row>
    <row r="13" spans="2:8" x14ac:dyDescent="0.2">
      <c r="B13" s="424" t="s">
        <v>535</v>
      </c>
      <c r="C13" s="407" t="s">
        <v>562</v>
      </c>
      <c r="D13" s="408">
        <v>4808307</v>
      </c>
      <c r="E13" s="408">
        <f>E10+E11+E12</f>
        <v>0</v>
      </c>
      <c r="F13" s="408">
        <v>4824355</v>
      </c>
    </row>
    <row r="14" spans="2:8" hidden="1" x14ac:dyDescent="0.2">
      <c r="B14" s="424" t="s">
        <v>563</v>
      </c>
      <c r="C14" s="407" t="s">
        <v>564</v>
      </c>
      <c r="D14" s="408">
        <v>0</v>
      </c>
      <c r="E14" s="408">
        <v>0</v>
      </c>
      <c r="F14" s="408">
        <v>0</v>
      </c>
    </row>
    <row r="15" spans="2:8" hidden="1" x14ac:dyDescent="0.2">
      <c r="B15" s="424" t="s">
        <v>565</v>
      </c>
      <c r="C15" s="407" t="s">
        <v>566</v>
      </c>
      <c r="D15" s="408">
        <v>0</v>
      </c>
      <c r="E15" s="408">
        <v>0</v>
      </c>
      <c r="F15" s="408">
        <v>0</v>
      </c>
    </row>
    <row r="16" spans="2:8" hidden="1" x14ac:dyDescent="0.2">
      <c r="B16" s="424" t="s">
        <v>567</v>
      </c>
      <c r="C16" s="407" t="s">
        <v>568</v>
      </c>
      <c r="D16" s="408">
        <v>0</v>
      </c>
      <c r="E16" s="408">
        <v>0</v>
      </c>
      <c r="F16" s="408">
        <v>0</v>
      </c>
    </row>
    <row r="17" spans="2:6" hidden="1" x14ac:dyDescent="0.2">
      <c r="B17" s="424">
        <v>17</v>
      </c>
      <c r="C17" s="407" t="s">
        <v>569</v>
      </c>
      <c r="D17" s="408">
        <v>0</v>
      </c>
      <c r="E17" s="408">
        <v>0</v>
      </c>
      <c r="F17" s="408">
        <v>0</v>
      </c>
    </row>
    <row r="18" spans="2:6" x14ac:dyDescent="0.2">
      <c r="B18" s="424" t="s">
        <v>541</v>
      </c>
      <c r="C18" s="407" t="s">
        <v>570</v>
      </c>
      <c r="D18" s="408">
        <v>196666</v>
      </c>
      <c r="E18" s="408">
        <f>E14+E17</f>
        <v>0</v>
      </c>
      <c r="F18" s="408">
        <v>196506</v>
      </c>
    </row>
    <row r="19" spans="2:6" x14ac:dyDescent="0.2">
      <c r="B19" s="425" t="s">
        <v>541</v>
      </c>
      <c r="C19" s="412" t="s">
        <v>571</v>
      </c>
      <c r="D19" s="413">
        <f>D9+D13+D18</f>
        <v>5005265</v>
      </c>
      <c r="E19" s="413">
        <f>E9+E13+E18</f>
        <v>0</v>
      </c>
      <c r="F19" s="413">
        <f>F9+F13+F18</f>
        <v>5021673</v>
      </c>
    </row>
    <row r="20" spans="2:6" hidden="1" x14ac:dyDescent="0.2">
      <c r="C20" s="407" t="s">
        <v>572</v>
      </c>
      <c r="D20" s="408">
        <v>945</v>
      </c>
      <c r="E20" s="408">
        <v>0</v>
      </c>
      <c r="F20" s="408">
        <v>881</v>
      </c>
    </row>
    <row r="21" spans="2:6" x14ac:dyDescent="0.2">
      <c r="B21" s="424" t="s">
        <v>545</v>
      </c>
      <c r="C21" s="407" t="s">
        <v>760</v>
      </c>
      <c r="D21" s="408">
        <v>0</v>
      </c>
      <c r="E21" s="408">
        <f t="shared" ref="D21:F22" si="0">E20</f>
        <v>0</v>
      </c>
      <c r="F21" s="408">
        <v>160</v>
      </c>
    </row>
    <row r="22" spans="2:6" x14ac:dyDescent="0.2">
      <c r="B22" s="425" t="s">
        <v>560</v>
      </c>
      <c r="C22" s="412" t="s">
        <v>573</v>
      </c>
      <c r="D22" s="413">
        <f t="shared" si="0"/>
        <v>0</v>
      </c>
      <c r="E22" s="413">
        <f t="shared" si="0"/>
        <v>0</v>
      </c>
      <c r="F22" s="413">
        <f t="shared" si="0"/>
        <v>160</v>
      </c>
    </row>
    <row r="23" spans="2:6" hidden="1" x14ac:dyDescent="0.2">
      <c r="B23" s="424">
        <v>44</v>
      </c>
      <c r="C23" s="407" t="s">
        <v>574</v>
      </c>
      <c r="D23" s="408">
        <v>0</v>
      </c>
      <c r="E23" s="408">
        <v>0</v>
      </c>
      <c r="F23" s="408">
        <v>0</v>
      </c>
    </row>
    <row r="24" spans="2:6" hidden="1" x14ac:dyDescent="0.2">
      <c r="B24" s="425">
        <v>46</v>
      </c>
      <c r="C24" s="412" t="s">
        <v>575</v>
      </c>
      <c r="D24" s="413">
        <f>D23</f>
        <v>0</v>
      </c>
      <c r="E24" s="413">
        <f>E23</f>
        <v>0</v>
      </c>
      <c r="F24" s="413">
        <f>F23</f>
        <v>0</v>
      </c>
    </row>
    <row r="25" spans="2:6" hidden="1" x14ac:dyDescent="0.2">
      <c r="B25" s="424">
        <v>10</v>
      </c>
      <c r="C25" s="407" t="s">
        <v>576</v>
      </c>
      <c r="D25" s="408">
        <v>568</v>
      </c>
      <c r="E25" s="408">
        <v>0</v>
      </c>
      <c r="F25" s="408">
        <v>959</v>
      </c>
    </row>
    <row r="26" spans="2:6" x14ac:dyDescent="0.2">
      <c r="B26" s="424">
        <v>10</v>
      </c>
      <c r="C26" s="407" t="s">
        <v>577</v>
      </c>
      <c r="D26" s="408">
        <v>245</v>
      </c>
      <c r="E26" s="408">
        <f>E25</f>
        <v>0</v>
      </c>
      <c r="F26" s="408">
        <v>187</v>
      </c>
    </row>
    <row r="27" spans="2:6" x14ac:dyDescent="0.2">
      <c r="B27" s="424">
        <v>11</v>
      </c>
      <c r="C27" s="407" t="s">
        <v>751</v>
      </c>
      <c r="D27" s="408">
        <v>158112</v>
      </c>
      <c r="E27" s="408">
        <v>0</v>
      </c>
      <c r="F27" s="408">
        <v>1349783</v>
      </c>
    </row>
    <row r="28" spans="2:6" hidden="1" x14ac:dyDescent="0.2">
      <c r="B28" s="425">
        <v>12</v>
      </c>
      <c r="C28" s="412" t="s">
        <v>578</v>
      </c>
      <c r="D28" s="413">
        <f>D27</f>
        <v>158112</v>
      </c>
      <c r="E28" s="413">
        <f>E27</f>
        <v>0</v>
      </c>
      <c r="F28" s="413">
        <f>F27</f>
        <v>1349783</v>
      </c>
    </row>
    <row r="29" spans="2:6" x14ac:dyDescent="0.2">
      <c r="B29" s="425">
        <v>12</v>
      </c>
      <c r="C29" s="412" t="s">
        <v>579</v>
      </c>
      <c r="D29" s="413">
        <f>D26+D28+D24</f>
        <v>158357</v>
      </c>
      <c r="E29" s="413">
        <f>E26+E28+E24</f>
        <v>0</v>
      </c>
      <c r="F29" s="413">
        <f>F26+F28+F24</f>
        <v>1349970</v>
      </c>
    </row>
    <row r="30" spans="2:6" hidden="1" x14ac:dyDescent="0.2">
      <c r="B30" s="424">
        <v>62</v>
      </c>
      <c r="C30" s="407" t="s">
        <v>580</v>
      </c>
      <c r="D30" s="408">
        <v>0</v>
      </c>
      <c r="E30" s="408">
        <v>0</v>
      </c>
      <c r="F30" s="408">
        <v>0</v>
      </c>
    </row>
    <row r="31" spans="2:6" hidden="1" x14ac:dyDescent="0.2">
      <c r="B31" s="424">
        <v>66</v>
      </c>
      <c r="C31" s="407" t="s">
        <v>581</v>
      </c>
      <c r="D31" s="408">
        <v>0</v>
      </c>
      <c r="E31" s="408">
        <v>0</v>
      </c>
      <c r="F31" s="408">
        <v>0</v>
      </c>
    </row>
    <row r="32" spans="2:6" hidden="1" x14ac:dyDescent="0.2">
      <c r="B32" s="424">
        <v>67</v>
      </c>
      <c r="C32" s="407" t="s">
        <v>582</v>
      </c>
      <c r="D32" s="408">
        <v>0</v>
      </c>
      <c r="E32" s="408">
        <v>0</v>
      </c>
      <c r="F32" s="408">
        <v>0</v>
      </c>
    </row>
    <row r="33" spans="2:6" hidden="1" x14ac:dyDescent="0.2">
      <c r="B33" s="424">
        <v>68</v>
      </c>
      <c r="C33" s="407" t="s">
        <v>583</v>
      </c>
      <c r="D33" s="408">
        <v>0</v>
      </c>
      <c r="E33" s="408">
        <v>0</v>
      </c>
      <c r="F33" s="408">
        <v>0</v>
      </c>
    </row>
    <row r="34" spans="2:6" hidden="1" x14ac:dyDescent="0.2">
      <c r="B34" s="424" t="s">
        <v>584</v>
      </c>
      <c r="C34" s="407" t="s">
        <v>585</v>
      </c>
      <c r="D34" s="408">
        <v>0</v>
      </c>
      <c r="E34" s="408">
        <v>0</v>
      </c>
      <c r="F34" s="408">
        <v>0</v>
      </c>
    </row>
    <row r="35" spans="2:6" ht="25.5" hidden="1" x14ac:dyDescent="0.2">
      <c r="B35" s="427">
        <v>70</v>
      </c>
      <c r="C35" s="407" t="s">
        <v>752</v>
      </c>
      <c r="D35" s="416">
        <v>0</v>
      </c>
      <c r="E35" s="416">
        <v>0</v>
      </c>
      <c r="F35" s="416">
        <v>0</v>
      </c>
    </row>
    <row r="36" spans="2:6" hidden="1" x14ac:dyDescent="0.2">
      <c r="B36" s="424">
        <v>73</v>
      </c>
      <c r="C36" s="407" t="s">
        <v>586</v>
      </c>
      <c r="D36" s="408">
        <v>0</v>
      </c>
      <c r="E36" s="408">
        <v>0</v>
      </c>
      <c r="F36" s="408">
        <v>0</v>
      </c>
    </row>
    <row r="37" spans="2:6" hidden="1" x14ac:dyDescent="0.2">
      <c r="B37" s="424">
        <v>78</v>
      </c>
      <c r="C37" s="407" t="s">
        <v>587</v>
      </c>
      <c r="D37" s="408">
        <v>0</v>
      </c>
      <c r="E37" s="408">
        <v>0</v>
      </c>
      <c r="F37" s="408">
        <v>0</v>
      </c>
    </row>
    <row r="38" spans="2:6" hidden="1" x14ac:dyDescent="0.2">
      <c r="B38" s="424">
        <v>79</v>
      </c>
      <c r="C38" s="407" t="s">
        <v>588</v>
      </c>
      <c r="D38" s="408">
        <v>0</v>
      </c>
      <c r="E38" s="408">
        <v>0</v>
      </c>
      <c r="F38" s="408">
        <v>0</v>
      </c>
    </row>
    <row r="39" spans="2:6" hidden="1" x14ac:dyDescent="0.2">
      <c r="B39" s="424">
        <v>81</v>
      </c>
      <c r="C39" s="407" t="s">
        <v>589</v>
      </c>
      <c r="D39" s="408">
        <v>0</v>
      </c>
      <c r="E39" s="408">
        <v>0</v>
      </c>
      <c r="F39" s="408">
        <v>0</v>
      </c>
    </row>
    <row r="40" spans="2:6" ht="25.5" hidden="1" x14ac:dyDescent="0.2">
      <c r="B40" s="427">
        <v>85</v>
      </c>
      <c r="C40" s="407" t="s">
        <v>753</v>
      </c>
      <c r="D40" s="416">
        <v>0</v>
      </c>
      <c r="E40" s="416">
        <v>0</v>
      </c>
      <c r="F40" s="416">
        <v>0</v>
      </c>
    </row>
    <row r="41" spans="2:6" ht="25.5" hidden="1" x14ac:dyDescent="0.2">
      <c r="B41" s="427">
        <v>92</v>
      </c>
      <c r="C41" s="407" t="s">
        <v>754</v>
      </c>
      <c r="D41" s="416">
        <v>0</v>
      </c>
      <c r="E41" s="416">
        <v>0</v>
      </c>
      <c r="F41" s="416">
        <v>0</v>
      </c>
    </row>
    <row r="42" spans="2:6" x14ac:dyDescent="0.2">
      <c r="B42" s="424">
        <v>13</v>
      </c>
      <c r="C42" s="407" t="s">
        <v>590</v>
      </c>
      <c r="D42" s="408">
        <v>25534</v>
      </c>
      <c r="E42" s="408">
        <f>E30+E34+E38+E40</f>
        <v>0</v>
      </c>
      <c r="F42" s="408">
        <v>42542</v>
      </c>
    </row>
    <row r="43" spans="2:6" ht="12.75" hidden="1" customHeight="1" x14ac:dyDescent="0.2">
      <c r="B43" s="424">
        <v>123</v>
      </c>
      <c r="C43" s="407" t="s">
        <v>591</v>
      </c>
      <c r="D43" s="408">
        <v>0</v>
      </c>
      <c r="E43" s="408">
        <v>0</v>
      </c>
      <c r="F43" s="408">
        <v>0</v>
      </c>
    </row>
    <row r="44" spans="2:6" hidden="1" x14ac:dyDescent="0.2">
      <c r="B44" s="424">
        <v>125</v>
      </c>
      <c r="C44" s="407" t="s">
        <v>592</v>
      </c>
      <c r="D44" s="408">
        <v>0</v>
      </c>
      <c r="E44" s="408">
        <v>0</v>
      </c>
      <c r="F44" s="408">
        <v>0</v>
      </c>
    </row>
    <row r="45" spans="2:6" x14ac:dyDescent="0.2">
      <c r="B45" s="424">
        <v>14</v>
      </c>
      <c r="C45" s="407" t="s">
        <v>593</v>
      </c>
      <c r="D45" s="408">
        <v>4768</v>
      </c>
      <c r="E45" s="408">
        <f>E43</f>
        <v>0</v>
      </c>
      <c r="F45" s="408">
        <v>53571</v>
      </c>
    </row>
    <row r="46" spans="2:6" hidden="1" x14ac:dyDescent="0.2">
      <c r="B46" s="424">
        <v>142</v>
      </c>
      <c r="C46" s="407" t="s">
        <v>594</v>
      </c>
      <c r="D46" s="408">
        <v>0</v>
      </c>
      <c r="E46" s="408">
        <v>0</v>
      </c>
      <c r="F46" s="408">
        <v>0</v>
      </c>
    </row>
    <row r="47" spans="2:6" hidden="1" x14ac:dyDescent="0.2">
      <c r="B47" s="424">
        <v>147</v>
      </c>
      <c r="C47" s="407" t="s">
        <v>595</v>
      </c>
      <c r="D47" s="408">
        <v>0</v>
      </c>
      <c r="E47" s="408">
        <v>0</v>
      </c>
      <c r="F47" s="408">
        <v>0</v>
      </c>
    </row>
    <row r="48" spans="2:6" hidden="1" x14ac:dyDescent="0.2">
      <c r="B48" s="424">
        <v>152</v>
      </c>
      <c r="C48" s="407" t="s">
        <v>596</v>
      </c>
      <c r="D48" s="408">
        <v>0</v>
      </c>
      <c r="E48" s="408">
        <v>0</v>
      </c>
      <c r="F48" s="408">
        <v>0</v>
      </c>
    </row>
    <row r="49" spans="2:6" x14ac:dyDescent="0.2">
      <c r="B49" s="424">
        <v>15</v>
      </c>
      <c r="C49" s="407" t="s">
        <v>597</v>
      </c>
      <c r="D49" s="408">
        <v>663</v>
      </c>
      <c r="E49" s="408">
        <f>E46+E48</f>
        <v>0</v>
      </c>
      <c r="F49" s="408">
        <v>533</v>
      </c>
    </row>
    <row r="50" spans="2:6" x14ac:dyDescent="0.2">
      <c r="B50" s="425">
        <v>16</v>
      </c>
      <c r="C50" s="412" t="s">
        <v>598</v>
      </c>
      <c r="D50" s="413">
        <f>D42+D45+D49</f>
        <v>30965</v>
      </c>
      <c r="E50" s="413">
        <f>E42+E45+E49</f>
        <v>0</v>
      </c>
      <c r="F50" s="413">
        <f>F42+F45+F49</f>
        <v>96646</v>
      </c>
    </row>
    <row r="51" spans="2:6" hidden="1" x14ac:dyDescent="0.2">
      <c r="B51" s="424">
        <v>161</v>
      </c>
      <c r="C51" s="407" t="s">
        <v>599</v>
      </c>
      <c r="D51" s="408">
        <v>0</v>
      </c>
      <c r="E51" s="408">
        <v>0</v>
      </c>
      <c r="F51" s="408">
        <v>1155</v>
      </c>
    </row>
    <row r="52" spans="2:6" hidden="1" x14ac:dyDescent="0.2">
      <c r="B52" s="425">
        <v>164</v>
      </c>
      <c r="C52" s="412" t="s">
        <v>600</v>
      </c>
      <c r="D52" s="413">
        <f>SUM(D51)</f>
        <v>0</v>
      </c>
      <c r="E52" s="413">
        <f>SUM(E51)</f>
        <v>0</v>
      </c>
      <c r="F52" s="413">
        <f>SUM(F51)</f>
        <v>1155</v>
      </c>
    </row>
    <row r="53" spans="2:6" hidden="1" x14ac:dyDescent="0.2">
      <c r="B53" s="424">
        <v>166</v>
      </c>
      <c r="C53" s="407" t="s">
        <v>601</v>
      </c>
      <c r="D53" s="408">
        <v>0</v>
      </c>
      <c r="E53" s="408">
        <v>0</v>
      </c>
      <c r="F53" s="408">
        <v>0</v>
      </c>
    </row>
    <row r="54" spans="2:6" hidden="1" x14ac:dyDescent="0.2">
      <c r="B54" s="425">
        <v>167</v>
      </c>
      <c r="C54" s="412" t="s">
        <v>602</v>
      </c>
      <c r="D54" s="413">
        <f>SUM(D53)</f>
        <v>0</v>
      </c>
      <c r="E54" s="413">
        <f>SUM(E53)</f>
        <v>0</v>
      </c>
      <c r="F54" s="413">
        <f>SUM(F53)</f>
        <v>0</v>
      </c>
    </row>
    <row r="55" spans="2:6" hidden="1" x14ac:dyDescent="0.2">
      <c r="B55" s="424">
        <v>168</v>
      </c>
      <c r="C55" s="407" t="s">
        <v>603</v>
      </c>
      <c r="D55" s="408">
        <v>0</v>
      </c>
      <c r="E55" s="408">
        <v>0</v>
      </c>
      <c r="F55" s="408">
        <v>0</v>
      </c>
    </row>
    <row r="56" spans="2:6" ht="25.5" hidden="1" x14ac:dyDescent="0.2">
      <c r="B56" s="424">
        <v>169</v>
      </c>
      <c r="C56" s="407" t="s">
        <v>604</v>
      </c>
      <c r="D56" s="416">
        <v>0</v>
      </c>
      <c r="E56" s="416">
        <v>0</v>
      </c>
      <c r="F56" s="416">
        <v>0</v>
      </c>
    </row>
    <row r="57" spans="2:6" hidden="1" x14ac:dyDescent="0.2">
      <c r="B57" s="425">
        <v>170</v>
      </c>
      <c r="C57" s="412" t="s">
        <v>605</v>
      </c>
      <c r="D57" s="413">
        <f>D56+D55</f>
        <v>0</v>
      </c>
      <c r="E57" s="413">
        <f>E56+E55</f>
        <v>0</v>
      </c>
      <c r="F57" s="413">
        <f>F56+F55</f>
        <v>0</v>
      </c>
    </row>
    <row r="58" spans="2:6" x14ac:dyDescent="0.2">
      <c r="B58" s="425">
        <v>17</v>
      </c>
      <c r="C58" s="412" t="s">
        <v>755</v>
      </c>
      <c r="D58" s="413">
        <v>1051</v>
      </c>
      <c r="E58" s="413">
        <f>E52+E54+E57</f>
        <v>0</v>
      </c>
      <c r="F58" s="413">
        <f>F52+F54+F57</f>
        <v>1155</v>
      </c>
    </row>
    <row r="59" spans="2:6" hidden="1" x14ac:dyDescent="0.2">
      <c r="B59" s="424">
        <v>172</v>
      </c>
      <c r="C59" s="407" t="s">
        <v>606</v>
      </c>
      <c r="D59" s="408">
        <v>0</v>
      </c>
      <c r="E59" s="408">
        <v>0</v>
      </c>
      <c r="F59" s="408">
        <v>0</v>
      </c>
    </row>
    <row r="60" spans="2:6" hidden="1" x14ac:dyDescent="0.2">
      <c r="B60" s="424">
        <v>173</v>
      </c>
      <c r="C60" s="407" t="s">
        <v>607</v>
      </c>
      <c r="D60" s="408">
        <v>0</v>
      </c>
      <c r="E60" s="408">
        <v>0</v>
      </c>
      <c r="F60" s="408">
        <v>0</v>
      </c>
    </row>
    <row r="61" spans="2:6" x14ac:dyDescent="0.2">
      <c r="B61" s="425">
        <v>18</v>
      </c>
      <c r="C61" s="412" t="s">
        <v>608</v>
      </c>
      <c r="D61" s="426">
        <v>101</v>
      </c>
      <c r="E61" s="413">
        <f>E59+E60</f>
        <v>0</v>
      </c>
      <c r="F61" s="426">
        <f>F59+F60</f>
        <v>0</v>
      </c>
    </row>
    <row r="62" spans="2:6" x14ac:dyDescent="0.2">
      <c r="B62" s="425">
        <v>19</v>
      </c>
      <c r="C62" s="412" t="s">
        <v>609</v>
      </c>
      <c r="D62" s="426">
        <f>D19+D22+D29+D50+D58+D61</f>
        <v>5195739</v>
      </c>
      <c r="E62" s="413">
        <f>E19+E22+E29+E50+E57+E61</f>
        <v>0</v>
      </c>
      <c r="F62" s="426">
        <f>F19+F22+F29+F50+F58+F61</f>
        <v>6469604</v>
      </c>
    </row>
    <row r="63" spans="2:6" x14ac:dyDescent="0.2">
      <c r="B63" s="424">
        <v>20</v>
      </c>
      <c r="C63" s="407" t="s">
        <v>756</v>
      </c>
      <c r="D63" s="428">
        <v>5004269</v>
      </c>
      <c r="E63" s="428">
        <v>0</v>
      </c>
      <c r="F63" s="428">
        <v>5397196</v>
      </c>
    </row>
    <row r="64" spans="2:6" x14ac:dyDescent="0.2">
      <c r="B64" s="424">
        <v>181</v>
      </c>
      <c r="C64" s="407" t="s">
        <v>610</v>
      </c>
      <c r="D64" s="428">
        <v>410107</v>
      </c>
      <c r="E64" s="428">
        <v>0</v>
      </c>
      <c r="F64" s="428">
        <v>0</v>
      </c>
    </row>
    <row r="65" spans="2:6" x14ac:dyDescent="0.2">
      <c r="B65" s="424">
        <v>21</v>
      </c>
      <c r="C65" s="407" t="s">
        <v>611</v>
      </c>
      <c r="D65" s="428">
        <v>-871417</v>
      </c>
      <c r="E65" s="428">
        <v>0</v>
      </c>
      <c r="F65" s="428">
        <v>-799071</v>
      </c>
    </row>
    <row r="66" spans="2:6" x14ac:dyDescent="0.2">
      <c r="B66" s="424">
        <v>23</v>
      </c>
      <c r="C66" s="407" t="s">
        <v>612</v>
      </c>
      <c r="D66" s="428">
        <v>55541</v>
      </c>
      <c r="E66" s="428">
        <v>0</v>
      </c>
      <c r="F66" s="428">
        <v>113006</v>
      </c>
    </row>
    <row r="67" spans="2:6" x14ac:dyDescent="0.2">
      <c r="B67" s="425">
        <v>24</v>
      </c>
      <c r="C67" s="412" t="s">
        <v>613</v>
      </c>
      <c r="D67" s="426">
        <f>D63+D64+D65+D66</f>
        <v>4598500</v>
      </c>
      <c r="E67" s="426">
        <f>E63+E64+E65+E66</f>
        <v>0</v>
      </c>
      <c r="F67" s="426">
        <f>F63+F64+F65+F66</f>
        <v>4711131</v>
      </c>
    </row>
    <row r="68" spans="2:6" hidden="1" x14ac:dyDescent="0.2">
      <c r="B68" s="424">
        <v>189</v>
      </c>
      <c r="C68" s="407" t="s">
        <v>757</v>
      </c>
      <c r="D68" s="428">
        <v>0</v>
      </c>
      <c r="E68" s="408">
        <v>0</v>
      </c>
      <c r="F68" s="428">
        <v>0</v>
      </c>
    </row>
    <row r="69" spans="2:6" hidden="1" x14ac:dyDescent="0.2">
      <c r="B69" s="424">
        <v>190</v>
      </c>
      <c r="C69" s="407" t="s">
        <v>758</v>
      </c>
      <c r="D69" s="408">
        <v>0</v>
      </c>
      <c r="E69" s="408">
        <v>0</v>
      </c>
      <c r="F69" s="408">
        <v>0</v>
      </c>
    </row>
    <row r="70" spans="2:6" hidden="1" x14ac:dyDescent="0.2">
      <c r="B70" s="424">
        <v>186</v>
      </c>
      <c r="C70" s="407" t="s">
        <v>614</v>
      </c>
      <c r="D70" s="408">
        <v>0</v>
      </c>
      <c r="E70" s="408">
        <v>0</v>
      </c>
      <c r="F70" s="408">
        <v>0</v>
      </c>
    </row>
    <row r="71" spans="2:6" hidden="1" x14ac:dyDescent="0.2">
      <c r="B71" s="425" t="s">
        <v>759</v>
      </c>
      <c r="C71" s="412" t="s">
        <v>615</v>
      </c>
      <c r="D71" s="413">
        <f>D69+D68+D70</f>
        <v>0</v>
      </c>
      <c r="E71" s="413">
        <f>E69+E68+E70</f>
        <v>0</v>
      </c>
      <c r="F71" s="413">
        <f>F69+F68+F70</f>
        <v>0</v>
      </c>
    </row>
    <row r="72" spans="2:6" ht="25.5" hidden="1" x14ac:dyDescent="0.2">
      <c r="B72" s="427">
        <v>225</v>
      </c>
      <c r="C72" s="407" t="s">
        <v>616</v>
      </c>
      <c r="D72" s="416">
        <v>0</v>
      </c>
      <c r="E72" s="416">
        <v>0</v>
      </c>
      <c r="F72" s="416">
        <v>0</v>
      </c>
    </row>
    <row r="73" spans="2:6" hidden="1" x14ac:dyDescent="0.2">
      <c r="B73" s="425">
        <v>236</v>
      </c>
      <c r="C73" s="412" t="s">
        <v>617</v>
      </c>
      <c r="D73" s="413">
        <f>D72</f>
        <v>0</v>
      </c>
      <c r="E73" s="413">
        <f>E72</f>
        <v>0</v>
      </c>
      <c r="F73" s="413">
        <f>F72</f>
        <v>0</v>
      </c>
    </row>
    <row r="74" spans="2:6" x14ac:dyDescent="0.2">
      <c r="B74" s="424">
        <v>25</v>
      </c>
      <c r="C74" s="407" t="s">
        <v>615</v>
      </c>
      <c r="D74" s="408">
        <v>63120</v>
      </c>
      <c r="E74" s="408">
        <v>0</v>
      </c>
      <c r="F74" s="408">
        <v>71</v>
      </c>
    </row>
    <row r="75" spans="2:6" hidden="1" x14ac:dyDescent="0.2">
      <c r="B75" s="424">
        <v>26</v>
      </c>
      <c r="C75" s="407" t="s">
        <v>618</v>
      </c>
      <c r="D75" s="408"/>
      <c r="E75" s="408"/>
      <c r="F75" s="408"/>
    </row>
    <row r="76" spans="2:6" x14ac:dyDescent="0.2">
      <c r="B76" s="424">
        <v>26</v>
      </c>
      <c r="C76" s="407" t="s">
        <v>617</v>
      </c>
      <c r="D76" s="408">
        <v>13583</v>
      </c>
      <c r="E76" s="408">
        <v>0</v>
      </c>
      <c r="F76" s="408">
        <v>77224</v>
      </c>
    </row>
    <row r="77" spans="2:6" x14ac:dyDescent="0.2">
      <c r="B77" s="424">
        <v>27</v>
      </c>
      <c r="C77" s="407" t="s">
        <v>619</v>
      </c>
      <c r="D77" s="408">
        <v>8782</v>
      </c>
      <c r="E77" s="408">
        <f>E74+E76</f>
        <v>0</v>
      </c>
      <c r="F77" s="408">
        <v>4988</v>
      </c>
    </row>
    <row r="78" spans="2:6" x14ac:dyDescent="0.2">
      <c r="B78" s="425">
        <v>28</v>
      </c>
      <c r="C78" s="412" t="s">
        <v>620</v>
      </c>
      <c r="D78" s="413">
        <f>D71+D77+D73+D74+D76</f>
        <v>85485</v>
      </c>
      <c r="E78" s="413">
        <f>E71+E77+E73+E74+E76</f>
        <v>0</v>
      </c>
      <c r="F78" s="413">
        <f>F71+F77+F73+F74+F76</f>
        <v>82283</v>
      </c>
    </row>
    <row r="79" spans="2:6" hidden="1" x14ac:dyDescent="0.2">
      <c r="B79" s="424">
        <v>251</v>
      </c>
      <c r="C79" s="407" t="s">
        <v>621</v>
      </c>
      <c r="D79" s="408">
        <v>28949</v>
      </c>
      <c r="E79" s="408">
        <v>0</v>
      </c>
      <c r="F79" s="408"/>
    </row>
    <row r="80" spans="2:6" hidden="1" x14ac:dyDescent="0.2">
      <c r="B80" s="424">
        <v>252</v>
      </c>
      <c r="C80" s="407" t="s">
        <v>622</v>
      </c>
      <c r="D80" s="408">
        <v>482805</v>
      </c>
      <c r="E80" s="408">
        <v>0</v>
      </c>
      <c r="F80" s="408">
        <v>1676190</v>
      </c>
    </row>
    <row r="81" spans="2:6" x14ac:dyDescent="0.2">
      <c r="B81" s="425">
        <v>30</v>
      </c>
      <c r="C81" s="412" t="s">
        <v>623</v>
      </c>
      <c r="D81" s="413">
        <f>D79+D80</f>
        <v>511754</v>
      </c>
      <c r="E81" s="413">
        <f>E79+E80</f>
        <v>0</v>
      </c>
      <c r="F81" s="413">
        <f>F79+F80</f>
        <v>1676190</v>
      </c>
    </row>
    <row r="82" spans="2:6" x14ac:dyDescent="0.2">
      <c r="B82" s="425">
        <v>31</v>
      </c>
      <c r="C82" s="412" t="s">
        <v>624</v>
      </c>
      <c r="D82" s="413">
        <f>D67+D78+D81</f>
        <v>5195739</v>
      </c>
      <c r="E82" s="413">
        <f>E67+E78+E81</f>
        <v>0</v>
      </c>
      <c r="F82" s="413">
        <f>F67+F78+F81</f>
        <v>6469604</v>
      </c>
    </row>
  </sheetData>
  <mergeCells count="2">
    <mergeCell ref="B2:F2"/>
    <mergeCell ref="B3:F3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topLeftCell="A7" zoomScaleNormal="100" workbookViewId="0">
      <selection activeCell="E32" sqref="E32"/>
    </sheetView>
  </sheetViews>
  <sheetFormatPr defaultRowHeight="12.75" x14ac:dyDescent="0.2"/>
  <cols>
    <col min="1" max="1" width="8.140625" customWidth="1"/>
    <col min="2" max="2" width="65.85546875" customWidth="1"/>
    <col min="3" max="5" width="16" customWidth="1"/>
    <col min="6" max="6" width="3.85546875" customWidth="1"/>
  </cols>
  <sheetData>
    <row r="1" spans="1:8" s="396" customFormat="1" x14ac:dyDescent="0.2">
      <c r="E1" s="397" t="s">
        <v>530</v>
      </c>
    </row>
    <row r="2" spans="1:8" s="396" customFormat="1" ht="19.5" x14ac:dyDescent="0.35">
      <c r="A2" s="928" t="s">
        <v>27</v>
      </c>
      <c r="B2" s="936"/>
      <c r="C2" s="936"/>
      <c r="D2" s="936"/>
      <c r="E2" s="936"/>
      <c r="F2" s="936"/>
      <c r="G2" s="91"/>
      <c r="H2" s="91"/>
    </row>
    <row r="3" spans="1:8" s="396" customFormat="1" ht="19.5" x14ac:dyDescent="0.35">
      <c r="A3" s="928" t="s">
        <v>741</v>
      </c>
      <c r="B3" s="936"/>
      <c r="C3" s="936"/>
      <c r="D3" s="936"/>
      <c r="E3" s="936"/>
      <c r="F3" s="936"/>
      <c r="G3" s="91"/>
      <c r="H3" s="91"/>
    </row>
    <row r="4" spans="1:8" ht="5.25" customHeight="1" x14ac:dyDescent="0.2"/>
    <row r="5" spans="1:8" ht="31.5" x14ac:dyDescent="0.2">
      <c r="A5" s="429"/>
      <c r="B5" s="430" t="s">
        <v>74</v>
      </c>
      <c r="C5" s="430" t="s">
        <v>552</v>
      </c>
      <c r="D5" s="430" t="s">
        <v>553</v>
      </c>
      <c r="E5" s="430" t="s">
        <v>554</v>
      </c>
    </row>
    <row r="6" spans="1:8" x14ac:dyDescent="0.2">
      <c r="A6" s="431" t="s">
        <v>533</v>
      </c>
      <c r="B6" s="432" t="s">
        <v>626</v>
      </c>
      <c r="C6" s="433">
        <v>376071</v>
      </c>
      <c r="D6" s="433">
        <v>0</v>
      </c>
      <c r="E6" s="433">
        <v>420997</v>
      </c>
    </row>
    <row r="7" spans="1:8" x14ac:dyDescent="0.2">
      <c r="A7" s="431" t="s">
        <v>535</v>
      </c>
      <c r="B7" s="432" t="s">
        <v>627</v>
      </c>
      <c r="C7" s="433">
        <v>10661</v>
      </c>
      <c r="D7" s="433">
        <v>0</v>
      </c>
      <c r="E7" s="433">
        <v>8508</v>
      </c>
    </row>
    <row r="8" spans="1:8" x14ac:dyDescent="0.2">
      <c r="A8" s="431" t="s">
        <v>537</v>
      </c>
      <c r="B8" s="432" t="s">
        <v>628</v>
      </c>
      <c r="C8" s="433">
        <v>20059</v>
      </c>
      <c r="D8" s="433">
        <v>0</v>
      </c>
      <c r="E8" s="433">
        <v>30058</v>
      </c>
    </row>
    <row r="9" spans="1:8" x14ac:dyDescent="0.2">
      <c r="A9" s="434" t="s">
        <v>539</v>
      </c>
      <c r="B9" s="435" t="s">
        <v>629</v>
      </c>
      <c r="C9" s="436">
        <f>SUM(C6:C8)</f>
        <v>406791</v>
      </c>
      <c r="D9" s="436">
        <f>SUM(D6:D8)</f>
        <v>0</v>
      </c>
      <c r="E9" s="436">
        <f>SUM(E6:E8)</f>
        <v>459563</v>
      </c>
    </row>
    <row r="10" spans="1:8" x14ac:dyDescent="0.2">
      <c r="A10" s="431" t="s">
        <v>560</v>
      </c>
      <c r="B10" s="432" t="s">
        <v>630</v>
      </c>
      <c r="C10" s="433">
        <v>689293</v>
      </c>
      <c r="D10" s="433">
        <v>0</v>
      </c>
      <c r="E10" s="433">
        <v>411244</v>
      </c>
    </row>
    <row r="11" spans="1:8" x14ac:dyDescent="0.2">
      <c r="A11" s="431" t="s">
        <v>548</v>
      </c>
      <c r="B11" s="432" t="s">
        <v>631</v>
      </c>
      <c r="C11" s="433">
        <v>19631</v>
      </c>
      <c r="D11" s="433">
        <v>0</v>
      </c>
      <c r="E11" s="433">
        <v>53204</v>
      </c>
    </row>
    <row r="12" spans="1:8" x14ac:dyDescent="0.2">
      <c r="A12" s="431">
        <v>10</v>
      </c>
      <c r="B12" s="432" t="s">
        <v>632</v>
      </c>
      <c r="C12" s="433">
        <v>6831</v>
      </c>
      <c r="D12" s="433">
        <v>0</v>
      </c>
      <c r="E12" s="433">
        <v>0</v>
      </c>
    </row>
    <row r="13" spans="1:8" x14ac:dyDescent="0.2">
      <c r="A13" s="431">
        <v>11</v>
      </c>
      <c r="B13" s="432" t="s">
        <v>633</v>
      </c>
      <c r="C13" s="433">
        <v>204957</v>
      </c>
      <c r="D13" s="433">
        <v>0</v>
      </c>
      <c r="E13" s="433">
        <v>164858</v>
      </c>
    </row>
    <row r="14" spans="1:8" x14ac:dyDescent="0.2">
      <c r="A14" s="434">
        <v>12</v>
      </c>
      <c r="B14" s="435" t="s">
        <v>634</v>
      </c>
      <c r="C14" s="437">
        <f>SUM(C10:C13)</f>
        <v>920712</v>
      </c>
      <c r="D14" s="436">
        <f>SUM(D10:D13)</f>
        <v>0</v>
      </c>
      <c r="E14" s="437">
        <f>SUM(E10:E13)</f>
        <v>629306</v>
      </c>
    </row>
    <row r="15" spans="1:8" x14ac:dyDescent="0.2">
      <c r="A15" s="431">
        <v>13</v>
      </c>
      <c r="B15" s="432" t="s">
        <v>635</v>
      </c>
      <c r="C15" s="433">
        <v>17806</v>
      </c>
      <c r="D15" s="433">
        <v>0</v>
      </c>
      <c r="E15" s="433">
        <v>6592</v>
      </c>
    </row>
    <row r="16" spans="1:8" x14ac:dyDescent="0.2">
      <c r="A16" s="431">
        <v>14</v>
      </c>
      <c r="B16" s="432" t="s">
        <v>636</v>
      </c>
      <c r="C16" s="433">
        <v>145978</v>
      </c>
      <c r="D16" s="433">
        <v>0</v>
      </c>
      <c r="E16" s="433">
        <v>125511</v>
      </c>
    </row>
    <row r="17" spans="1:5" hidden="1" x14ac:dyDescent="0.2">
      <c r="A17" s="431">
        <v>16</v>
      </c>
      <c r="B17" s="432" t="s">
        <v>637</v>
      </c>
      <c r="C17" s="433">
        <v>0</v>
      </c>
      <c r="D17" s="433">
        <v>0</v>
      </c>
      <c r="E17" s="433">
        <v>0</v>
      </c>
    </row>
    <row r="18" spans="1:5" x14ac:dyDescent="0.2">
      <c r="A18" s="434">
        <v>17</v>
      </c>
      <c r="B18" s="435" t="s">
        <v>638</v>
      </c>
      <c r="C18" s="436">
        <f>SUM(C15:C17)</f>
        <v>163784</v>
      </c>
      <c r="D18" s="436">
        <f>SUM(D15:D17)</f>
        <v>0</v>
      </c>
      <c r="E18" s="436">
        <f>SUM(E15:E17)</f>
        <v>132103</v>
      </c>
    </row>
    <row r="19" spans="1:5" x14ac:dyDescent="0.2">
      <c r="A19" s="431">
        <v>18</v>
      </c>
      <c r="B19" s="432" t="s">
        <v>639</v>
      </c>
      <c r="C19" s="433">
        <v>151365</v>
      </c>
      <c r="D19" s="433">
        <v>0</v>
      </c>
      <c r="E19" s="433">
        <v>116469</v>
      </c>
    </row>
    <row r="20" spans="1:5" x14ac:dyDescent="0.2">
      <c r="A20" s="431">
        <v>19</v>
      </c>
      <c r="B20" s="432" t="s">
        <v>640</v>
      </c>
      <c r="C20" s="433">
        <v>65241</v>
      </c>
      <c r="D20" s="433">
        <v>0</v>
      </c>
      <c r="E20" s="433">
        <v>55597</v>
      </c>
    </row>
    <row r="21" spans="1:5" x14ac:dyDescent="0.2">
      <c r="A21" s="431">
        <v>20</v>
      </c>
      <c r="B21" s="432" t="s">
        <v>641</v>
      </c>
      <c r="C21" s="433">
        <v>59835</v>
      </c>
      <c r="D21" s="433">
        <v>0</v>
      </c>
      <c r="E21" s="433">
        <v>38725</v>
      </c>
    </row>
    <row r="22" spans="1:5" x14ac:dyDescent="0.2">
      <c r="A22" s="434">
        <v>21</v>
      </c>
      <c r="B22" s="435" t="s">
        <v>642</v>
      </c>
      <c r="C22" s="437">
        <f>SUM(C19:C21)</f>
        <v>276441</v>
      </c>
      <c r="D22" s="436">
        <f>SUM(D19:D21)</f>
        <v>0</v>
      </c>
      <c r="E22" s="437">
        <f>SUM(E19:E21)</f>
        <v>210791</v>
      </c>
    </row>
    <row r="23" spans="1:5" x14ac:dyDescent="0.2">
      <c r="A23" s="434">
        <v>22</v>
      </c>
      <c r="B23" s="435" t="s">
        <v>643</v>
      </c>
      <c r="C23" s="436">
        <v>93449</v>
      </c>
      <c r="D23" s="436">
        <v>0</v>
      </c>
      <c r="E23" s="436">
        <v>91234</v>
      </c>
    </row>
    <row r="24" spans="1:5" x14ac:dyDescent="0.2">
      <c r="A24" s="434">
        <v>23</v>
      </c>
      <c r="B24" s="435" t="s">
        <v>644</v>
      </c>
      <c r="C24" s="436">
        <v>739741</v>
      </c>
      <c r="D24" s="436">
        <v>0</v>
      </c>
      <c r="E24" s="436">
        <v>541756</v>
      </c>
    </row>
    <row r="25" spans="1:5" x14ac:dyDescent="0.2">
      <c r="A25" s="434">
        <v>24</v>
      </c>
      <c r="B25" s="435" t="s">
        <v>645</v>
      </c>
      <c r="C25" s="436">
        <f>C9+C14-C18-C22-C23-C24</f>
        <v>54088</v>
      </c>
      <c r="D25" s="436">
        <f>D9+D14-D18-D22-D23-D24</f>
        <v>0</v>
      </c>
      <c r="E25" s="436">
        <f>E9+E14-E18-E22-E23-E24</f>
        <v>112985</v>
      </c>
    </row>
    <row r="26" spans="1:5" x14ac:dyDescent="0.2">
      <c r="A26" s="431">
        <v>25</v>
      </c>
      <c r="B26" s="432" t="s">
        <v>646</v>
      </c>
      <c r="C26" s="433">
        <v>1648</v>
      </c>
      <c r="D26" s="433">
        <v>0</v>
      </c>
      <c r="E26" s="433">
        <v>0</v>
      </c>
    </row>
    <row r="27" spans="1:5" x14ac:dyDescent="0.2">
      <c r="A27" s="431">
        <v>28</v>
      </c>
      <c r="B27" s="432" t="s">
        <v>647</v>
      </c>
      <c r="C27" s="433">
        <v>15</v>
      </c>
      <c r="D27" s="433">
        <v>0</v>
      </c>
      <c r="E27" s="433">
        <v>39</v>
      </c>
    </row>
    <row r="28" spans="1:5" hidden="1" x14ac:dyDescent="0.2">
      <c r="A28" s="431">
        <v>29</v>
      </c>
      <c r="B28" s="432" t="s">
        <v>648</v>
      </c>
      <c r="C28" s="433">
        <v>0</v>
      </c>
      <c r="D28" s="433">
        <v>0</v>
      </c>
      <c r="E28" s="433">
        <v>0</v>
      </c>
    </row>
    <row r="29" spans="1:5" x14ac:dyDescent="0.2">
      <c r="A29" s="434">
        <v>32</v>
      </c>
      <c r="B29" s="435" t="s">
        <v>649</v>
      </c>
      <c r="C29" s="436">
        <f>SUM(C26:C28)</f>
        <v>1663</v>
      </c>
      <c r="D29" s="436">
        <f>SUM(D26:D28)</f>
        <v>0</v>
      </c>
      <c r="E29" s="436">
        <f>SUM(E26:E28)</f>
        <v>39</v>
      </c>
    </row>
    <row r="30" spans="1:5" x14ac:dyDescent="0.2">
      <c r="A30" s="431">
        <v>35</v>
      </c>
      <c r="B30" s="432" t="s">
        <v>650</v>
      </c>
      <c r="C30" s="433">
        <v>210</v>
      </c>
      <c r="D30" s="433">
        <v>0</v>
      </c>
      <c r="E30" s="433">
        <v>18</v>
      </c>
    </row>
    <row r="31" spans="1:5" hidden="1" x14ac:dyDescent="0.2">
      <c r="A31" s="431">
        <v>39</v>
      </c>
      <c r="B31" s="432" t="s">
        <v>651</v>
      </c>
      <c r="C31" s="433">
        <v>0</v>
      </c>
      <c r="D31" s="433">
        <v>0</v>
      </c>
      <c r="E31" s="433">
        <v>0</v>
      </c>
    </row>
    <row r="32" spans="1:5" x14ac:dyDescent="0.2">
      <c r="A32" s="434">
        <v>42</v>
      </c>
      <c r="B32" s="435" t="s">
        <v>652</v>
      </c>
      <c r="C32" s="436">
        <f>SUM(C30:C31)</f>
        <v>210</v>
      </c>
      <c r="D32" s="436">
        <f>SUM(D30:D31)</f>
        <v>0</v>
      </c>
      <c r="E32" s="436">
        <f>SUM(E30:E31)</f>
        <v>18</v>
      </c>
    </row>
    <row r="33" spans="1:7" x14ac:dyDescent="0.2">
      <c r="A33" s="434">
        <v>43</v>
      </c>
      <c r="B33" s="435" t="s">
        <v>653</v>
      </c>
      <c r="C33" s="436">
        <f>C29-C32</f>
        <v>1453</v>
      </c>
      <c r="D33" s="436">
        <f>D29-D32</f>
        <v>0</v>
      </c>
      <c r="E33" s="436">
        <f>E29-E32</f>
        <v>21</v>
      </c>
    </row>
    <row r="34" spans="1:7" x14ac:dyDescent="0.2">
      <c r="A34" s="434">
        <v>44</v>
      </c>
      <c r="B34" s="435" t="s">
        <v>654</v>
      </c>
      <c r="C34" s="436">
        <f>C25+C33</f>
        <v>55541</v>
      </c>
      <c r="D34" s="436">
        <f>D25+D33</f>
        <v>0</v>
      </c>
      <c r="E34" s="436">
        <f>E25+E33</f>
        <v>113006</v>
      </c>
      <c r="G34" s="86"/>
    </row>
    <row r="35" spans="1:7" x14ac:dyDescent="0.2">
      <c r="A35" s="2"/>
      <c r="B35" s="2"/>
      <c r="C35" s="2"/>
      <c r="D35" s="2"/>
      <c r="E35" s="2"/>
    </row>
    <row r="36" spans="1:7" x14ac:dyDescent="0.2">
      <c r="A36" s="2"/>
      <c r="B36" s="2"/>
      <c r="C36" s="2"/>
      <c r="D36" s="2"/>
      <c r="E36" s="2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35"/>
  <sheetViews>
    <sheetView zoomScaleNormal="100" workbookViewId="0">
      <selection activeCell="H102" sqref="H102"/>
    </sheetView>
  </sheetViews>
  <sheetFormatPr defaultRowHeight="12.75" x14ac:dyDescent="0.2"/>
  <cols>
    <col min="1" max="2" width="4.7109375" style="438" customWidth="1"/>
    <col min="3" max="3" width="62.28515625" style="438" customWidth="1"/>
    <col min="4" max="4" width="16.5703125" style="438" customWidth="1"/>
    <col min="5" max="5" width="16.140625" style="438" customWidth="1"/>
    <col min="6" max="6" width="12.28515625" style="440" customWidth="1"/>
    <col min="7" max="12" width="9.140625" style="440"/>
    <col min="13" max="16384" width="9.140625" style="438"/>
  </cols>
  <sheetData>
    <row r="1" spans="1:8" x14ac:dyDescent="0.2">
      <c r="E1" s="439" t="s">
        <v>551</v>
      </c>
    </row>
    <row r="2" spans="1:8" ht="23.25" customHeight="1" x14ac:dyDescent="0.35">
      <c r="A2" s="1031" t="s">
        <v>27</v>
      </c>
      <c r="B2" s="1031"/>
      <c r="C2" s="1031"/>
      <c r="D2" s="1031"/>
      <c r="E2" s="1031"/>
      <c r="F2" s="441"/>
      <c r="G2" s="441"/>
      <c r="H2" s="441"/>
    </row>
    <row r="3" spans="1:8" ht="21" customHeight="1" x14ac:dyDescent="0.35">
      <c r="A3" s="1031" t="s">
        <v>742</v>
      </c>
      <c r="B3" s="1031"/>
      <c r="C3" s="1031"/>
      <c r="D3" s="1031"/>
      <c r="E3" s="1031"/>
      <c r="F3" s="441"/>
      <c r="G3" s="441"/>
      <c r="H3" s="441"/>
    </row>
    <row r="4" spans="1:8" ht="13.5" customHeight="1" thickBot="1" x14ac:dyDescent="0.25">
      <c r="E4" s="442" t="s">
        <v>442</v>
      </c>
    </row>
    <row r="5" spans="1:8" ht="19.5" customHeight="1" x14ac:dyDescent="0.2">
      <c r="A5" s="1043" t="s">
        <v>656</v>
      </c>
      <c r="B5" s="1044"/>
      <c r="C5" s="1044"/>
      <c r="D5" s="1032" t="s">
        <v>743</v>
      </c>
      <c r="E5" s="1033"/>
    </row>
    <row r="6" spans="1:8" ht="15" customHeight="1" thickBot="1" x14ac:dyDescent="0.25">
      <c r="A6" s="443"/>
      <c r="B6" s="444"/>
      <c r="C6" s="444"/>
      <c r="D6" s="445" t="s">
        <v>657</v>
      </c>
      <c r="E6" s="446" t="s">
        <v>658</v>
      </c>
    </row>
    <row r="7" spans="1:8" ht="22.5" customHeight="1" x14ac:dyDescent="0.2">
      <c r="A7" s="447" t="s">
        <v>659</v>
      </c>
      <c r="B7" s="1045" t="s">
        <v>660</v>
      </c>
      <c r="C7" s="1045"/>
      <c r="D7" s="448">
        <f>SUM(D8+D17+D63)</f>
        <v>5021673</v>
      </c>
      <c r="E7" s="448">
        <f>SUM(E8+E17+E63)</f>
        <v>5709039</v>
      </c>
    </row>
    <row r="8" spans="1:8" ht="12.75" customHeight="1" x14ac:dyDescent="0.2">
      <c r="A8" s="449"/>
      <c r="B8" s="449" t="s">
        <v>661</v>
      </c>
      <c r="C8" s="450" t="s">
        <v>662</v>
      </c>
      <c r="D8" s="451">
        <f>D10+D16</f>
        <v>812</v>
      </c>
      <c r="E8" s="451">
        <f>E10+E16</f>
        <v>843</v>
      </c>
    </row>
    <row r="9" spans="1:8" x14ac:dyDescent="0.2">
      <c r="A9" s="449"/>
      <c r="B9" s="449"/>
      <c r="C9" s="449" t="s">
        <v>663</v>
      </c>
      <c r="D9" s="452"/>
      <c r="E9" s="451"/>
    </row>
    <row r="10" spans="1:8" ht="12.75" customHeight="1" x14ac:dyDescent="0.2">
      <c r="A10" s="449"/>
      <c r="B10" s="449"/>
      <c r="C10" s="453" t="s">
        <v>664</v>
      </c>
      <c r="D10" s="452">
        <f>D12+D15</f>
        <v>779</v>
      </c>
      <c r="E10" s="452">
        <f>E12+E15</f>
        <v>787</v>
      </c>
    </row>
    <row r="11" spans="1:8" ht="12.75" customHeight="1" x14ac:dyDescent="0.2">
      <c r="A11" s="449"/>
      <c r="B11" s="449"/>
      <c r="C11" s="449" t="s">
        <v>665</v>
      </c>
      <c r="D11" s="452"/>
      <c r="E11" s="451"/>
    </row>
    <row r="12" spans="1:8" ht="12.75" customHeight="1" x14ac:dyDescent="0.2">
      <c r="A12" s="449"/>
      <c r="B12" s="449"/>
      <c r="C12" s="453" t="s">
        <v>666</v>
      </c>
      <c r="D12" s="452"/>
      <c r="E12" s="451"/>
    </row>
    <row r="13" spans="1:8" ht="12.75" customHeight="1" x14ac:dyDescent="0.2">
      <c r="A13" s="449"/>
      <c r="B13" s="449"/>
      <c r="C13" s="453" t="s">
        <v>667</v>
      </c>
      <c r="D13" s="452"/>
      <c r="E13" s="451"/>
    </row>
    <row r="14" spans="1:8" x14ac:dyDescent="0.2">
      <c r="A14" s="449"/>
      <c r="B14" s="449"/>
      <c r="C14" s="454" t="s">
        <v>668</v>
      </c>
      <c r="D14" s="452"/>
      <c r="E14" s="451"/>
    </row>
    <row r="15" spans="1:8" ht="12.75" customHeight="1" x14ac:dyDescent="0.2">
      <c r="A15" s="449"/>
      <c r="B15" s="449"/>
      <c r="C15" s="453" t="s">
        <v>669</v>
      </c>
      <c r="D15" s="452">
        <v>779</v>
      </c>
      <c r="E15" s="452">
        <v>787</v>
      </c>
    </row>
    <row r="16" spans="1:8" ht="12.75" customHeight="1" x14ac:dyDescent="0.2">
      <c r="A16" s="449"/>
      <c r="B16" s="449"/>
      <c r="C16" s="453" t="s">
        <v>670</v>
      </c>
      <c r="D16" s="452">
        <v>33</v>
      </c>
      <c r="E16" s="452">
        <v>56</v>
      </c>
    </row>
    <row r="17" spans="1:15" ht="12.75" customHeight="1" x14ac:dyDescent="0.2">
      <c r="A17" s="449"/>
      <c r="B17" s="449" t="s">
        <v>671</v>
      </c>
      <c r="C17" s="450" t="s">
        <v>672</v>
      </c>
      <c r="D17" s="451">
        <f>SUM(D18+D27+D36+D45+D54)</f>
        <v>4824355</v>
      </c>
      <c r="E17" s="451">
        <f>SUM(E18+E27+E36+E45+E54)</f>
        <v>5511690</v>
      </c>
    </row>
    <row r="18" spans="1:15" ht="12.75" customHeight="1" x14ac:dyDescent="0.2">
      <c r="A18" s="455"/>
      <c r="B18" s="455"/>
      <c r="C18" s="456" t="s">
        <v>673</v>
      </c>
      <c r="D18" s="457">
        <f>SUM(D20+D26)</f>
        <v>4742551</v>
      </c>
      <c r="E18" s="457">
        <f>SUM(E20+E26)</f>
        <v>5392868</v>
      </c>
      <c r="F18" s="458"/>
      <c r="G18" s="459"/>
      <c r="H18" s="459"/>
      <c r="I18" s="459"/>
      <c r="J18" s="459"/>
      <c r="K18" s="459"/>
      <c r="L18" s="459"/>
      <c r="M18" s="460"/>
      <c r="N18" s="460"/>
      <c r="O18" s="460"/>
    </row>
    <row r="19" spans="1:15" x14ac:dyDescent="0.2">
      <c r="A19" s="455"/>
      <c r="B19" s="455"/>
      <c r="C19" s="461" t="s">
        <v>674</v>
      </c>
      <c r="D19" s="462"/>
      <c r="E19" s="457"/>
    </row>
    <row r="20" spans="1:15" ht="12.75" customHeight="1" x14ac:dyDescent="0.2">
      <c r="A20" s="455"/>
      <c r="B20" s="455"/>
      <c r="C20" s="463" t="s">
        <v>664</v>
      </c>
      <c r="D20" s="462">
        <f>SUM(D22+D25)</f>
        <v>4290983</v>
      </c>
      <c r="E20" s="462">
        <f>SUM(E22+E25)</f>
        <v>4915121</v>
      </c>
    </row>
    <row r="21" spans="1:15" ht="12.75" customHeight="1" x14ac:dyDescent="0.2">
      <c r="A21" s="455"/>
      <c r="B21" s="455"/>
      <c r="C21" s="461" t="s">
        <v>675</v>
      </c>
      <c r="D21" s="462"/>
      <c r="E21" s="457"/>
    </row>
    <row r="22" spans="1:15" ht="12.75" customHeight="1" x14ac:dyDescent="0.2">
      <c r="A22" s="455"/>
      <c r="B22" s="455"/>
      <c r="C22" s="463" t="s">
        <v>666</v>
      </c>
      <c r="D22" s="462">
        <f>1360503+642572+1183530</f>
        <v>3186605</v>
      </c>
      <c r="E22" s="462">
        <f>(1360503+772377+1619070)</f>
        <v>3751950</v>
      </c>
    </row>
    <row r="23" spans="1:15" ht="12.75" customHeight="1" x14ac:dyDescent="0.2">
      <c r="A23" s="455"/>
      <c r="B23" s="455"/>
      <c r="C23" s="463" t="s">
        <v>676</v>
      </c>
      <c r="D23" s="464">
        <f>D22</f>
        <v>3186605</v>
      </c>
      <c r="E23" s="464">
        <f>E22</f>
        <v>3751950</v>
      </c>
    </row>
    <row r="24" spans="1:15" x14ac:dyDescent="0.2">
      <c r="A24" s="455"/>
      <c r="B24" s="455"/>
      <c r="C24" s="463" t="s">
        <v>677</v>
      </c>
      <c r="D24" s="464"/>
      <c r="E24" s="465"/>
    </row>
    <row r="25" spans="1:15" ht="12.75" customHeight="1" x14ac:dyDescent="0.2">
      <c r="A25" s="455"/>
      <c r="B25" s="455"/>
      <c r="C25" s="463" t="s">
        <v>669</v>
      </c>
      <c r="D25" s="462">
        <f>(849598+84095+59505+111180)</f>
        <v>1104378</v>
      </c>
      <c r="E25" s="462">
        <f>(849598+114818+61809+136946)</f>
        <v>1163171</v>
      </c>
    </row>
    <row r="26" spans="1:15" ht="12.75" customHeight="1" x14ac:dyDescent="0.2">
      <c r="A26" s="455"/>
      <c r="B26" s="455"/>
      <c r="C26" s="463" t="s">
        <v>678</v>
      </c>
      <c r="D26" s="452">
        <f>333489+1050+89045+2324+668+24992</f>
        <v>451568</v>
      </c>
      <c r="E26" s="452">
        <f>333489+1050+111117+2324+668+29099</f>
        <v>477747</v>
      </c>
    </row>
    <row r="27" spans="1:15" ht="12.75" customHeight="1" x14ac:dyDescent="0.2">
      <c r="A27" s="449"/>
      <c r="B27" s="449"/>
      <c r="C27" s="450" t="s">
        <v>679</v>
      </c>
      <c r="D27" s="451">
        <f>SUM(D29+D35)</f>
        <v>81804</v>
      </c>
      <c r="E27" s="451">
        <f>SUM(E29+E35)</f>
        <v>118822</v>
      </c>
    </row>
    <row r="28" spans="1:15" ht="12.75" customHeight="1" x14ac:dyDescent="0.2">
      <c r="A28" s="449"/>
      <c r="B28" s="449"/>
      <c r="C28" s="449" t="s">
        <v>680</v>
      </c>
      <c r="D28" s="452"/>
      <c r="E28" s="451"/>
    </row>
    <row r="29" spans="1:15" ht="12.75" customHeight="1" x14ac:dyDescent="0.2">
      <c r="A29" s="449"/>
      <c r="B29" s="449"/>
      <c r="C29" s="453" t="s">
        <v>664</v>
      </c>
      <c r="D29" s="452"/>
      <c r="E29" s="451"/>
    </row>
    <row r="30" spans="1:15" ht="12.75" customHeight="1" x14ac:dyDescent="0.2">
      <c r="A30" s="449"/>
      <c r="B30" s="449"/>
      <c r="C30" s="449" t="s">
        <v>675</v>
      </c>
      <c r="D30" s="452"/>
      <c r="E30" s="451"/>
    </row>
    <row r="31" spans="1:15" ht="12.75" customHeight="1" x14ac:dyDescent="0.2">
      <c r="A31" s="449"/>
      <c r="B31" s="449"/>
      <c r="C31" s="453" t="s">
        <v>666</v>
      </c>
      <c r="D31" s="452"/>
      <c r="E31" s="451"/>
    </row>
    <row r="32" spans="1:15" ht="12.75" customHeight="1" x14ac:dyDescent="0.2">
      <c r="A32" s="449"/>
      <c r="B32" s="449"/>
      <c r="C32" s="453" t="s">
        <v>676</v>
      </c>
      <c r="D32" s="452"/>
      <c r="E32" s="451"/>
    </row>
    <row r="33" spans="1:5" x14ac:dyDescent="0.2">
      <c r="A33" s="449"/>
      <c r="B33" s="449"/>
      <c r="C33" s="453" t="s">
        <v>677</v>
      </c>
      <c r="D33" s="452"/>
      <c r="E33" s="451"/>
    </row>
    <row r="34" spans="1:5" ht="12.75" customHeight="1" x14ac:dyDescent="0.2">
      <c r="A34" s="449"/>
      <c r="B34" s="449"/>
      <c r="C34" s="453" t="s">
        <v>669</v>
      </c>
      <c r="D34" s="452"/>
      <c r="E34" s="451"/>
    </row>
    <row r="35" spans="1:5" ht="12.75" customHeight="1" x14ac:dyDescent="0.2">
      <c r="A35" s="449"/>
      <c r="B35" s="449"/>
      <c r="C35" s="453" t="s">
        <v>678</v>
      </c>
      <c r="D35" s="452">
        <f>1692+51269+8851+728+144+12296+4153+2671</f>
        <v>81804</v>
      </c>
      <c r="E35" s="452">
        <f>3353+75015+8851+728+144+23907+4153+2671</f>
        <v>118822</v>
      </c>
    </row>
    <row r="36" spans="1:5" ht="12.75" customHeight="1" x14ac:dyDescent="0.2">
      <c r="A36" s="449"/>
      <c r="B36" s="449"/>
      <c r="C36" s="450" t="s">
        <v>681</v>
      </c>
      <c r="D36" s="451">
        <v>0</v>
      </c>
      <c r="E36" s="451">
        <v>0</v>
      </c>
    </row>
    <row r="37" spans="1:5" ht="12.75" customHeight="1" x14ac:dyDescent="0.2">
      <c r="A37" s="449"/>
      <c r="B37" s="449"/>
      <c r="C37" s="449" t="s">
        <v>680</v>
      </c>
      <c r="D37" s="452"/>
      <c r="E37" s="451"/>
    </row>
    <row r="38" spans="1:5" ht="12.75" customHeight="1" x14ac:dyDescent="0.2">
      <c r="A38" s="449"/>
      <c r="B38" s="449"/>
      <c r="C38" s="453" t="s">
        <v>664</v>
      </c>
      <c r="D38" s="452"/>
      <c r="E38" s="451"/>
    </row>
    <row r="39" spans="1:5" ht="12.75" customHeight="1" x14ac:dyDescent="0.2">
      <c r="A39" s="449"/>
      <c r="B39" s="449"/>
      <c r="C39" s="449" t="s">
        <v>675</v>
      </c>
      <c r="D39" s="452"/>
      <c r="E39" s="451"/>
    </row>
    <row r="40" spans="1:5" ht="12.75" customHeight="1" x14ac:dyDescent="0.2">
      <c r="A40" s="449"/>
      <c r="B40" s="449"/>
      <c r="C40" s="453" t="s">
        <v>666</v>
      </c>
      <c r="D40" s="452"/>
      <c r="E40" s="451"/>
    </row>
    <row r="41" spans="1:5" ht="12.75" customHeight="1" x14ac:dyDescent="0.2">
      <c r="A41" s="449"/>
      <c r="B41" s="449"/>
      <c r="C41" s="453" t="s">
        <v>676</v>
      </c>
      <c r="D41" s="452"/>
      <c r="E41" s="451"/>
    </row>
    <row r="42" spans="1:5" x14ac:dyDescent="0.2">
      <c r="A42" s="449"/>
      <c r="B42" s="449"/>
      <c r="C42" s="453" t="s">
        <v>677</v>
      </c>
      <c r="D42" s="452"/>
      <c r="E42" s="451"/>
    </row>
    <row r="43" spans="1:5" ht="12.75" customHeight="1" x14ac:dyDescent="0.2">
      <c r="A43" s="449"/>
      <c r="B43" s="449"/>
      <c r="C43" s="453" t="s">
        <v>669</v>
      </c>
      <c r="D43" s="452"/>
      <c r="E43" s="451"/>
    </row>
    <row r="44" spans="1:5" ht="12.75" customHeight="1" x14ac:dyDescent="0.2">
      <c r="A44" s="466"/>
      <c r="B44" s="466"/>
      <c r="C44" s="453" t="s">
        <v>678</v>
      </c>
      <c r="D44" s="452"/>
      <c r="E44" s="467"/>
    </row>
    <row r="45" spans="1:5" ht="12.75" customHeight="1" x14ac:dyDescent="0.2">
      <c r="A45" s="449"/>
      <c r="B45" s="466"/>
      <c r="C45" s="450" t="s">
        <v>682</v>
      </c>
      <c r="D45" s="451">
        <f>SUM(D47+D53)</f>
        <v>0</v>
      </c>
      <c r="E45" s="451">
        <f>SUM(E47+E53)</f>
        <v>0</v>
      </c>
    </row>
    <row r="46" spans="1:5" ht="12.75" customHeight="1" x14ac:dyDescent="0.2">
      <c r="A46" s="449"/>
      <c r="B46" s="466"/>
      <c r="C46" s="449" t="s">
        <v>680</v>
      </c>
      <c r="D46" s="452"/>
      <c r="E46" s="467"/>
    </row>
    <row r="47" spans="1:5" ht="12.75" customHeight="1" x14ac:dyDescent="0.2">
      <c r="A47" s="449"/>
      <c r="B47" s="466"/>
      <c r="C47" s="453" t="s">
        <v>664</v>
      </c>
      <c r="D47" s="452"/>
      <c r="E47" s="468"/>
    </row>
    <row r="48" spans="1:5" ht="12.75" customHeight="1" x14ac:dyDescent="0.2">
      <c r="A48" s="449"/>
      <c r="B48" s="466"/>
      <c r="C48" s="449" t="s">
        <v>675</v>
      </c>
      <c r="D48" s="452"/>
      <c r="E48" s="467"/>
    </row>
    <row r="49" spans="1:5" ht="12.75" customHeight="1" x14ac:dyDescent="0.2">
      <c r="A49" s="449"/>
      <c r="B49" s="466"/>
      <c r="C49" s="453" t="s">
        <v>666</v>
      </c>
      <c r="D49" s="452"/>
      <c r="E49" s="467"/>
    </row>
    <row r="50" spans="1:5" ht="12.75" customHeight="1" x14ac:dyDescent="0.2">
      <c r="A50" s="449"/>
      <c r="B50" s="466"/>
      <c r="C50" s="453" t="s">
        <v>676</v>
      </c>
      <c r="D50" s="452"/>
      <c r="E50" s="467"/>
    </row>
    <row r="51" spans="1:5" x14ac:dyDescent="0.2">
      <c r="A51" s="449"/>
      <c r="B51" s="466"/>
      <c r="C51" s="453" t="s">
        <v>677</v>
      </c>
      <c r="D51" s="452"/>
      <c r="E51" s="467"/>
    </row>
    <row r="52" spans="1:5" ht="12.75" customHeight="1" x14ac:dyDescent="0.2">
      <c r="A52" s="449"/>
      <c r="B52" s="466"/>
      <c r="C52" s="453" t="s">
        <v>669</v>
      </c>
      <c r="D52" s="452"/>
      <c r="E52" s="468"/>
    </row>
    <row r="53" spans="1:5" ht="12.75" customHeight="1" x14ac:dyDescent="0.2">
      <c r="A53" s="449"/>
      <c r="B53" s="466"/>
      <c r="C53" s="453" t="s">
        <v>683</v>
      </c>
      <c r="D53" s="452">
        <v>0</v>
      </c>
      <c r="E53" s="469">
        <v>0</v>
      </c>
    </row>
    <row r="54" spans="1:5" ht="12.75" customHeight="1" x14ac:dyDescent="0.2">
      <c r="A54" s="449"/>
      <c r="B54" s="449"/>
      <c r="C54" s="450" t="s">
        <v>684</v>
      </c>
      <c r="D54" s="451"/>
      <c r="E54" s="467"/>
    </row>
    <row r="55" spans="1:5" x14ac:dyDescent="0.2">
      <c r="A55" s="449"/>
      <c r="B55" s="449"/>
      <c r="C55" s="449" t="s">
        <v>680</v>
      </c>
      <c r="D55" s="452"/>
      <c r="E55" s="467"/>
    </row>
    <row r="56" spans="1:5" ht="12.75" customHeight="1" x14ac:dyDescent="0.2">
      <c r="A56" s="449"/>
      <c r="B56" s="449"/>
      <c r="C56" s="453" t="s">
        <v>664</v>
      </c>
      <c r="D56" s="452"/>
      <c r="E56" s="467"/>
    </row>
    <row r="57" spans="1:5" ht="12.75" customHeight="1" x14ac:dyDescent="0.2">
      <c r="A57" s="449"/>
      <c r="B57" s="449"/>
      <c r="C57" s="449" t="s">
        <v>675</v>
      </c>
      <c r="D57" s="452"/>
      <c r="E57" s="467"/>
    </row>
    <row r="58" spans="1:5" ht="12.75" customHeight="1" x14ac:dyDescent="0.2">
      <c r="A58" s="449"/>
      <c r="B58" s="449"/>
      <c r="C58" s="453" t="s">
        <v>666</v>
      </c>
      <c r="D58" s="452"/>
      <c r="E58" s="467"/>
    </row>
    <row r="59" spans="1:5" ht="12.75" customHeight="1" x14ac:dyDescent="0.2">
      <c r="A59" s="449"/>
      <c r="B59" s="449"/>
      <c r="C59" s="453" t="s">
        <v>676</v>
      </c>
      <c r="D59" s="452"/>
      <c r="E59" s="467"/>
    </row>
    <row r="60" spans="1:5" x14ac:dyDescent="0.2">
      <c r="A60" s="449"/>
      <c r="B60" s="449"/>
      <c r="C60" s="453" t="s">
        <v>677</v>
      </c>
      <c r="D60" s="452"/>
      <c r="E60" s="467"/>
    </row>
    <row r="61" spans="1:5" ht="12.75" customHeight="1" x14ac:dyDescent="0.2">
      <c r="A61" s="449"/>
      <c r="B61" s="449"/>
      <c r="C61" s="453" t="s">
        <v>669</v>
      </c>
      <c r="D61" s="452"/>
      <c r="E61" s="467"/>
    </row>
    <row r="62" spans="1:5" ht="12.75" customHeight="1" x14ac:dyDescent="0.2">
      <c r="A62" s="449"/>
      <c r="B62" s="449"/>
      <c r="C62" s="453" t="s">
        <v>683</v>
      </c>
      <c r="D62" s="452"/>
      <c r="E62" s="467"/>
    </row>
    <row r="63" spans="1:5" ht="12.75" customHeight="1" x14ac:dyDescent="0.2">
      <c r="A63" s="449"/>
      <c r="B63" s="450" t="s">
        <v>685</v>
      </c>
      <c r="C63" s="470" t="s">
        <v>686</v>
      </c>
      <c r="D63" s="451">
        <f>SUM(D66+D72)</f>
        <v>196506</v>
      </c>
      <c r="E63" s="451">
        <f>SUM(E66+E72)</f>
        <v>196506</v>
      </c>
    </row>
    <row r="64" spans="1:5" ht="12.75" customHeight="1" x14ac:dyDescent="0.2">
      <c r="A64" s="449"/>
      <c r="B64" s="449"/>
      <c r="C64" s="449" t="s">
        <v>687</v>
      </c>
      <c r="D64" s="452"/>
      <c r="E64" s="467"/>
    </row>
    <row r="65" spans="1:5" ht="12.75" customHeight="1" x14ac:dyDescent="0.2">
      <c r="A65" s="449"/>
      <c r="B65" s="449"/>
      <c r="C65" s="449" t="s">
        <v>680</v>
      </c>
      <c r="D65" s="452"/>
      <c r="E65" s="467"/>
    </row>
    <row r="66" spans="1:5" ht="12.75" customHeight="1" x14ac:dyDescent="0.2">
      <c r="A66" s="466"/>
      <c r="B66" s="466"/>
      <c r="C66" s="453" t="s">
        <v>664</v>
      </c>
      <c r="D66" s="452"/>
      <c r="E66" s="467"/>
    </row>
    <row r="67" spans="1:5" ht="12.75" customHeight="1" x14ac:dyDescent="0.2">
      <c r="A67" s="466"/>
      <c r="B67" s="466"/>
      <c r="C67" s="449" t="s">
        <v>675</v>
      </c>
      <c r="D67" s="452"/>
      <c r="E67" s="467"/>
    </row>
    <row r="68" spans="1:5" ht="12.75" customHeight="1" x14ac:dyDescent="0.2">
      <c r="A68" s="466"/>
      <c r="B68" s="466"/>
      <c r="C68" s="453" t="s">
        <v>666</v>
      </c>
      <c r="D68" s="452"/>
      <c r="E68" s="467"/>
    </row>
    <row r="69" spans="1:5" ht="12.75" customHeight="1" x14ac:dyDescent="0.2">
      <c r="A69" s="466"/>
      <c r="B69" s="466"/>
      <c r="C69" s="453" t="s">
        <v>676</v>
      </c>
      <c r="D69" s="452"/>
      <c r="E69" s="467"/>
    </row>
    <row r="70" spans="1:5" ht="17.25" customHeight="1" x14ac:dyDescent="0.2">
      <c r="A70" s="466"/>
      <c r="B70" s="466"/>
      <c r="C70" s="453" t="s">
        <v>677</v>
      </c>
      <c r="D70" s="452"/>
      <c r="E70" s="467"/>
    </row>
    <row r="71" spans="1:5" ht="12.75" customHeight="1" x14ac:dyDescent="0.2">
      <c r="A71" s="466"/>
      <c r="B71" s="466"/>
      <c r="C71" s="453" t="s">
        <v>669</v>
      </c>
      <c r="D71" s="452"/>
      <c r="E71" s="467"/>
    </row>
    <row r="72" spans="1:5" ht="12.75" customHeight="1" x14ac:dyDescent="0.2">
      <c r="A72" s="466"/>
      <c r="B72" s="466"/>
      <c r="C72" s="453" t="s">
        <v>683</v>
      </c>
      <c r="D72" s="452">
        <v>196506</v>
      </c>
      <c r="E72" s="469">
        <v>196506</v>
      </c>
    </row>
    <row r="73" spans="1:5" ht="12.75" customHeight="1" x14ac:dyDescent="0.2">
      <c r="A73" s="466"/>
      <c r="B73" s="466"/>
      <c r="C73" s="449" t="s">
        <v>688</v>
      </c>
      <c r="D73" s="452"/>
      <c r="E73" s="467"/>
    </row>
    <row r="74" spans="1:5" ht="12.75" customHeight="1" x14ac:dyDescent="0.2">
      <c r="A74" s="466"/>
      <c r="B74" s="466"/>
      <c r="C74" s="449" t="s">
        <v>680</v>
      </c>
      <c r="D74" s="452"/>
      <c r="E74" s="467"/>
    </row>
    <row r="75" spans="1:5" ht="12.75" customHeight="1" x14ac:dyDescent="0.2">
      <c r="A75" s="466"/>
      <c r="B75" s="466"/>
      <c r="C75" s="453" t="s">
        <v>664</v>
      </c>
      <c r="D75" s="452"/>
      <c r="E75" s="467"/>
    </row>
    <row r="76" spans="1:5" ht="12.75" customHeight="1" x14ac:dyDescent="0.2">
      <c r="A76" s="466"/>
      <c r="B76" s="466"/>
      <c r="C76" s="449" t="s">
        <v>689</v>
      </c>
      <c r="D76" s="452"/>
      <c r="E76" s="467"/>
    </row>
    <row r="77" spans="1:5" ht="12.75" customHeight="1" x14ac:dyDescent="0.2">
      <c r="A77" s="466"/>
      <c r="B77" s="466"/>
      <c r="C77" s="453" t="s">
        <v>666</v>
      </c>
      <c r="D77" s="452"/>
      <c r="E77" s="467"/>
    </row>
    <row r="78" spans="1:5" ht="12.75" customHeight="1" x14ac:dyDescent="0.2">
      <c r="A78" s="466"/>
      <c r="B78" s="466"/>
      <c r="C78" s="453" t="s">
        <v>676</v>
      </c>
      <c r="D78" s="452"/>
      <c r="E78" s="467"/>
    </row>
    <row r="79" spans="1:5" x14ac:dyDescent="0.2">
      <c r="A79" s="466"/>
      <c r="B79" s="466"/>
      <c r="C79" s="453" t="s">
        <v>677</v>
      </c>
      <c r="D79" s="452"/>
      <c r="E79" s="467"/>
    </row>
    <row r="80" spans="1:5" ht="12.75" customHeight="1" x14ac:dyDescent="0.2">
      <c r="A80" s="466"/>
      <c r="B80" s="466"/>
      <c r="C80" s="453" t="s">
        <v>669</v>
      </c>
      <c r="D80" s="452"/>
      <c r="E80" s="467"/>
    </row>
    <row r="81" spans="1:13" ht="12.75" customHeight="1" x14ac:dyDescent="0.2">
      <c r="A81" s="466"/>
      <c r="B81" s="466"/>
      <c r="C81" s="453" t="s">
        <v>678</v>
      </c>
      <c r="D81" s="452"/>
      <c r="E81" s="467"/>
    </row>
    <row r="82" spans="1:13" ht="12.75" customHeight="1" x14ac:dyDescent="0.2">
      <c r="A82" s="466"/>
      <c r="B82" s="466"/>
      <c r="C82" s="449" t="s">
        <v>690</v>
      </c>
      <c r="D82" s="452"/>
      <c r="E82" s="467"/>
    </row>
    <row r="83" spans="1:13" ht="12.75" customHeight="1" x14ac:dyDescent="0.2">
      <c r="A83" s="466"/>
      <c r="B83" s="466"/>
      <c r="C83" s="449" t="s">
        <v>680</v>
      </c>
      <c r="D83" s="452"/>
      <c r="E83" s="467"/>
    </row>
    <row r="84" spans="1:13" ht="12.75" customHeight="1" x14ac:dyDescent="0.2">
      <c r="A84" s="466"/>
      <c r="B84" s="466"/>
      <c r="C84" s="453" t="s">
        <v>664</v>
      </c>
      <c r="D84" s="452"/>
      <c r="E84" s="467"/>
    </row>
    <row r="85" spans="1:13" ht="12.75" customHeight="1" x14ac:dyDescent="0.2">
      <c r="A85" s="466"/>
      <c r="B85" s="466"/>
      <c r="C85" s="449" t="s">
        <v>675</v>
      </c>
      <c r="D85" s="452"/>
      <c r="E85" s="467"/>
    </row>
    <row r="86" spans="1:13" ht="12.75" customHeight="1" x14ac:dyDescent="0.2">
      <c r="A86" s="466"/>
      <c r="B86" s="466"/>
      <c r="C86" s="453" t="s">
        <v>666</v>
      </c>
      <c r="D86" s="452"/>
      <c r="E86" s="467"/>
    </row>
    <row r="87" spans="1:13" ht="12.75" customHeight="1" x14ac:dyDescent="0.2">
      <c r="A87" s="466"/>
      <c r="B87" s="466"/>
      <c r="C87" s="453" t="s">
        <v>676</v>
      </c>
      <c r="D87" s="452"/>
      <c r="E87" s="467"/>
    </row>
    <row r="88" spans="1:13" x14ac:dyDescent="0.2">
      <c r="A88" s="466"/>
      <c r="B88" s="466"/>
      <c r="C88" s="453" t="s">
        <v>677</v>
      </c>
      <c r="D88" s="452"/>
      <c r="E88" s="467"/>
    </row>
    <row r="89" spans="1:13" ht="12.75" customHeight="1" x14ac:dyDescent="0.2">
      <c r="A89" s="466"/>
      <c r="B89" s="466"/>
      <c r="C89" s="453" t="s">
        <v>669</v>
      </c>
      <c r="D89" s="452"/>
      <c r="E89" s="467"/>
    </row>
    <row r="90" spans="1:13" ht="12.75" customHeight="1" x14ac:dyDescent="0.2">
      <c r="A90" s="466"/>
      <c r="B90" s="466"/>
      <c r="C90" s="453" t="s">
        <v>683</v>
      </c>
      <c r="D90" s="452"/>
      <c r="E90" s="471"/>
    </row>
    <row r="91" spans="1:13" ht="14.25" customHeight="1" x14ac:dyDescent="0.2">
      <c r="A91" s="472"/>
      <c r="B91" s="449" t="s">
        <v>691</v>
      </c>
      <c r="C91" s="473" t="s">
        <v>692</v>
      </c>
      <c r="D91" s="452"/>
      <c r="E91" s="457"/>
      <c r="F91" s="1046"/>
      <c r="G91" s="1046"/>
      <c r="H91" s="1046"/>
      <c r="I91" s="1046"/>
      <c r="J91" s="1046"/>
      <c r="K91" s="1046"/>
      <c r="L91" s="474"/>
      <c r="M91" s="474"/>
    </row>
    <row r="92" spans="1:13" ht="12.75" customHeight="1" x14ac:dyDescent="0.2">
      <c r="A92" s="475" t="s">
        <v>693</v>
      </c>
      <c r="B92" s="475"/>
      <c r="C92" s="475" t="s">
        <v>694</v>
      </c>
      <c r="D92" s="451">
        <f>SUM(D93:D94)</f>
        <v>160</v>
      </c>
      <c r="E92" s="451">
        <f>SUM(E93:E94)</f>
        <v>160</v>
      </c>
    </row>
    <row r="93" spans="1:13" ht="12.75" customHeight="1" x14ac:dyDescent="0.2">
      <c r="A93" s="466"/>
      <c r="B93" s="449" t="s">
        <v>661</v>
      </c>
      <c r="C93" s="449" t="s">
        <v>695</v>
      </c>
      <c r="D93" s="452">
        <v>0</v>
      </c>
      <c r="E93" s="469">
        <v>0</v>
      </c>
    </row>
    <row r="94" spans="1:13" ht="12.75" customHeight="1" x14ac:dyDescent="0.2">
      <c r="A94" s="466"/>
      <c r="B94" s="449" t="s">
        <v>671</v>
      </c>
      <c r="C94" s="449" t="s">
        <v>696</v>
      </c>
      <c r="D94" s="452">
        <v>160</v>
      </c>
      <c r="E94" s="467">
        <v>160</v>
      </c>
    </row>
    <row r="95" spans="1:13" ht="12.75" customHeight="1" x14ac:dyDescent="0.2">
      <c r="A95" s="476" t="s">
        <v>697</v>
      </c>
      <c r="B95" s="450"/>
      <c r="C95" s="475" t="s">
        <v>698</v>
      </c>
      <c r="D95" s="451">
        <f>'13.Mérleg'!F29</f>
        <v>1349970</v>
      </c>
      <c r="E95" s="467">
        <f>D95</f>
        <v>1349970</v>
      </c>
    </row>
    <row r="96" spans="1:13" ht="12.75" customHeight="1" x14ac:dyDescent="0.2">
      <c r="A96" s="476" t="s">
        <v>699</v>
      </c>
      <c r="B96" s="450"/>
      <c r="C96" s="475" t="s">
        <v>700</v>
      </c>
      <c r="D96" s="451">
        <f>'13.Mérleg'!F50</f>
        <v>96646</v>
      </c>
      <c r="E96" s="467">
        <f t="shared" ref="E96:E101" si="0">D96</f>
        <v>96646</v>
      </c>
    </row>
    <row r="97" spans="1:5" ht="12.75" hidden="1" customHeight="1" x14ac:dyDescent="0.2">
      <c r="A97" s="477"/>
      <c r="B97" s="449" t="s">
        <v>661</v>
      </c>
      <c r="C97" s="449" t="s">
        <v>701</v>
      </c>
      <c r="D97" s="452"/>
      <c r="E97" s="467">
        <f t="shared" si="0"/>
        <v>0</v>
      </c>
    </row>
    <row r="98" spans="1:5" ht="12.75" hidden="1" customHeight="1" x14ac:dyDescent="0.2">
      <c r="A98" s="477"/>
      <c r="B98" s="449" t="s">
        <v>671</v>
      </c>
      <c r="C98" s="449" t="s">
        <v>702</v>
      </c>
      <c r="D98" s="452"/>
      <c r="E98" s="467">
        <f t="shared" si="0"/>
        <v>0</v>
      </c>
    </row>
    <row r="99" spans="1:5" ht="12.75" hidden="1" customHeight="1" x14ac:dyDescent="0.2">
      <c r="A99" s="477"/>
      <c r="B99" s="449" t="s">
        <v>685</v>
      </c>
      <c r="C99" s="449" t="s">
        <v>703</v>
      </c>
      <c r="D99" s="452"/>
      <c r="E99" s="467">
        <f t="shared" si="0"/>
        <v>0</v>
      </c>
    </row>
    <row r="100" spans="1:5" ht="12.75" customHeight="1" x14ac:dyDescent="0.2">
      <c r="A100" s="476" t="s">
        <v>704</v>
      </c>
      <c r="B100" s="450"/>
      <c r="C100" s="475" t="s">
        <v>705</v>
      </c>
      <c r="D100" s="451">
        <f>'13.Mérleg'!F58</f>
        <v>1155</v>
      </c>
      <c r="E100" s="467">
        <f t="shared" si="0"/>
        <v>1155</v>
      </c>
    </row>
    <row r="101" spans="1:5" ht="12.75" customHeight="1" x14ac:dyDescent="0.2">
      <c r="A101" s="476" t="s">
        <v>706</v>
      </c>
      <c r="B101" s="450"/>
      <c r="C101" s="475" t="s">
        <v>707</v>
      </c>
      <c r="D101" s="451">
        <f>'13.Mérleg'!F61</f>
        <v>0</v>
      </c>
      <c r="E101" s="467">
        <f t="shared" si="0"/>
        <v>0</v>
      </c>
    </row>
    <row r="102" spans="1:5" ht="21.75" customHeight="1" x14ac:dyDescent="0.2">
      <c r="A102" s="1037" t="s">
        <v>708</v>
      </c>
      <c r="B102" s="1037"/>
      <c r="C102" s="1037"/>
      <c r="D102" s="478">
        <f>SUM(D7+D92+D95+D96+D100+D101)</f>
        <v>6469604</v>
      </c>
      <c r="E102" s="478">
        <f>SUM(E7+E92+E95+E96+E100+E101)</f>
        <v>7156970</v>
      </c>
    </row>
    <row r="103" spans="1:5" ht="16.5" customHeight="1" x14ac:dyDescent="0.2">
      <c r="A103" s="479"/>
      <c r="E103" s="480"/>
    </row>
    <row r="104" spans="1:5" ht="26.25" customHeight="1" x14ac:dyDescent="0.2">
      <c r="A104" s="1034" t="s">
        <v>709</v>
      </c>
      <c r="B104" s="1034"/>
      <c r="C104" s="1034"/>
      <c r="D104" s="1034"/>
      <c r="E104" s="1034"/>
    </row>
    <row r="105" spans="1:5" ht="13.5" thickBot="1" x14ac:dyDescent="0.25">
      <c r="B105" s="481"/>
      <c r="C105" s="481"/>
      <c r="D105" s="481"/>
      <c r="E105" s="482" t="s">
        <v>442</v>
      </c>
    </row>
    <row r="106" spans="1:5" ht="26.25" customHeight="1" thickBot="1" x14ac:dyDescent="0.25">
      <c r="A106" s="1038" t="s">
        <v>74</v>
      </c>
      <c r="B106" s="1039"/>
      <c r="C106" s="1039"/>
      <c r="D106" s="1040"/>
      <c r="E106" s="483" t="s">
        <v>743</v>
      </c>
    </row>
    <row r="107" spans="1:5" ht="13.5" customHeight="1" x14ac:dyDescent="0.2">
      <c r="A107" s="484" t="s">
        <v>710</v>
      </c>
      <c r="B107" s="1041" t="s">
        <v>711</v>
      </c>
      <c r="C107" s="1041"/>
      <c r="D107" s="485"/>
      <c r="E107" s="486">
        <v>294286</v>
      </c>
    </row>
    <row r="108" spans="1:5" ht="13.5" customHeight="1" x14ac:dyDescent="0.2">
      <c r="A108" s="487" t="s">
        <v>712</v>
      </c>
      <c r="B108" s="1042" t="s">
        <v>713</v>
      </c>
      <c r="C108" s="1042"/>
      <c r="D108" s="466"/>
      <c r="E108" s="452"/>
    </row>
    <row r="109" spans="1:5" ht="13.5" customHeight="1" x14ac:dyDescent="0.2">
      <c r="A109" s="487" t="s">
        <v>714</v>
      </c>
      <c r="B109" s="1042" t="s">
        <v>715</v>
      </c>
      <c r="C109" s="1042"/>
      <c r="D109" s="466"/>
      <c r="E109" s="452"/>
    </row>
    <row r="110" spans="1:5" ht="13.5" customHeight="1" x14ac:dyDescent="0.2">
      <c r="A110" s="487" t="s">
        <v>716</v>
      </c>
      <c r="B110" s="1042" t="s">
        <v>717</v>
      </c>
      <c r="C110" s="1042"/>
      <c r="D110" s="466"/>
      <c r="E110" s="451"/>
    </row>
    <row r="111" spans="1:5" ht="12.75" customHeight="1" x14ac:dyDescent="0.2">
      <c r="A111" s="487" t="s">
        <v>718</v>
      </c>
      <c r="B111" s="1042" t="s">
        <v>719</v>
      </c>
      <c r="C111" s="1042"/>
      <c r="D111" s="466"/>
      <c r="E111" s="451"/>
    </row>
    <row r="112" spans="1:5" ht="13.5" customHeight="1" x14ac:dyDescent="0.2">
      <c r="A112" s="1036" t="s">
        <v>720</v>
      </c>
      <c r="B112" s="1036"/>
      <c r="C112" s="1036"/>
      <c r="D112" s="488"/>
      <c r="E112" s="451">
        <f>SUM(E107:E111)</f>
        <v>294286</v>
      </c>
    </row>
    <row r="113" spans="1:6" ht="15.75" x14ac:dyDescent="0.2">
      <c r="A113" s="489"/>
    </row>
    <row r="114" spans="1:6" ht="15.75" x14ac:dyDescent="0.2">
      <c r="A114" s="1035" t="s">
        <v>721</v>
      </c>
      <c r="B114" s="1035"/>
      <c r="C114" s="1035"/>
      <c r="D114" s="1035"/>
      <c r="E114" s="1035"/>
    </row>
    <row r="115" spans="1:6" ht="15.75" x14ac:dyDescent="0.2">
      <c r="A115" s="1035" t="s">
        <v>722</v>
      </c>
      <c r="B115" s="1035"/>
      <c r="C115" s="1035"/>
      <c r="D115" s="1035"/>
      <c r="E115" s="1035"/>
    </row>
    <row r="116" spans="1:6" ht="15.75" x14ac:dyDescent="0.2">
      <c r="A116" s="1035" t="s">
        <v>723</v>
      </c>
      <c r="B116" s="1035"/>
      <c r="C116" s="1035"/>
      <c r="D116" s="1035"/>
      <c r="E116" s="1035"/>
    </row>
    <row r="117" spans="1:6" ht="15.75" x14ac:dyDescent="0.2">
      <c r="A117" s="490"/>
      <c r="B117" s="490"/>
      <c r="C117" s="490"/>
      <c r="D117" s="491" t="s">
        <v>724</v>
      </c>
      <c r="E117" s="491" t="s">
        <v>725</v>
      </c>
    </row>
    <row r="118" spans="1:6" x14ac:dyDescent="0.2">
      <c r="A118" s="492" t="s">
        <v>710</v>
      </c>
      <c r="B118" s="1028" t="s">
        <v>726</v>
      </c>
      <c r="C118" s="1028"/>
      <c r="D118" s="493"/>
      <c r="E118" s="494" t="s">
        <v>69</v>
      </c>
    </row>
    <row r="119" spans="1:6" x14ac:dyDescent="0.2">
      <c r="A119" s="492"/>
      <c r="B119" s="495"/>
      <c r="C119" s="496"/>
      <c r="D119" s="496"/>
      <c r="E119" s="494"/>
    </row>
    <row r="120" spans="1:6" x14ac:dyDescent="0.2">
      <c r="A120" s="492"/>
      <c r="B120" s="497"/>
      <c r="C120" s="498"/>
      <c r="D120" s="498"/>
      <c r="E120" s="494"/>
    </row>
    <row r="121" spans="1:6" x14ac:dyDescent="0.2">
      <c r="A121" s="499"/>
      <c r="B121" s="500"/>
      <c r="C121" s="501"/>
      <c r="D121" s="501"/>
      <c r="E121" s="502"/>
      <c r="F121" s="503"/>
    </row>
    <row r="122" spans="1:6" x14ac:dyDescent="0.2">
      <c r="A122" s="492" t="s">
        <v>712</v>
      </c>
      <c r="B122" s="1029" t="s">
        <v>727</v>
      </c>
      <c r="C122" s="1029"/>
      <c r="D122" s="504"/>
      <c r="E122" s="494" t="s">
        <v>69</v>
      </c>
    </row>
    <row r="123" spans="1:6" x14ac:dyDescent="0.2">
      <c r="A123" s="492"/>
      <c r="B123" s="497"/>
      <c r="C123" s="498"/>
      <c r="D123" s="498"/>
      <c r="E123" s="494"/>
    </row>
    <row r="124" spans="1:6" x14ac:dyDescent="0.2">
      <c r="A124" s="492"/>
      <c r="B124" s="497"/>
      <c r="C124" s="498"/>
      <c r="D124" s="498"/>
      <c r="E124" s="494"/>
    </row>
    <row r="125" spans="1:6" x14ac:dyDescent="0.2">
      <c r="A125" s="499"/>
      <c r="B125" s="505"/>
      <c r="C125" s="505"/>
      <c r="D125" s="505"/>
      <c r="E125" s="502"/>
    </row>
    <row r="126" spans="1:6" x14ac:dyDescent="0.2">
      <c r="A126" s="492" t="s">
        <v>714</v>
      </c>
      <c r="B126" s="1029" t="s">
        <v>728</v>
      </c>
      <c r="C126" s="1029"/>
      <c r="D126" s="504"/>
      <c r="E126" s="494" t="s">
        <v>69</v>
      </c>
    </row>
    <row r="127" spans="1:6" x14ac:dyDescent="0.2">
      <c r="A127" s="492"/>
      <c r="B127" s="506"/>
      <c r="C127" s="506"/>
      <c r="D127" s="506"/>
      <c r="E127" s="494"/>
    </row>
    <row r="128" spans="1:6" x14ac:dyDescent="0.2">
      <c r="A128" s="492"/>
      <c r="B128" s="506"/>
      <c r="C128" s="506"/>
      <c r="D128" s="506"/>
      <c r="E128" s="494"/>
    </row>
    <row r="129" spans="1:13" ht="9.75" customHeight="1" x14ac:dyDescent="0.2">
      <c r="A129" s="507"/>
      <c r="B129" s="500"/>
      <c r="C129" s="505"/>
      <c r="D129" s="505"/>
      <c r="E129" s="502"/>
    </row>
    <row r="130" spans="1:13" ht="11.25" customHeight="1" x14ac:dyDescent="0.2">
      <c r="A130" s="507"/>
      <c r="B130" s="500"/>
      <c r="C130" s="505"/>
      <c r="D130" s="505"/>
      <c r="E130" s="502"/>
    </row>
    <row r="131" spans="1:13" ht="13.5" customHeight="1" x14ac:dyDescent="0.2">
      <c r="A131" s="492" t="s">
        <v>716</v>
      </c>
      <c r="B131" s="1030" t="s">
        <v>729</v>
      </c>
      <c r="C131" s="1030"/>
      <c r="D131" s="456"/>
      <c r="E131" s="494" t="s">
        <v>69</v>
      </c>
    </row>
    <row r="132" spans="1:13" x14ac:dyDescent="0.2">
      <c r="A132" s="492"/>
      <c r="B132" s="508"/>
      <c r="C132" s="509"/>
      <c r="D132" s="509"/>
      <c r="E132" s="494"/>
    </row>
    <row r="133" spans="1:13" x14ac:dyDescent="0.2">
      <c r="A133" s="492"/>
      <c r="B133" s="508"/>
      <c r="C133" s="497"/>
      <c r="D133" s="497"/>
      <c r="E133" s="494"/>
      <c r="F133" s="459"/>
      <c r="G133" s="459"/>
      <c r="H133" s="459"/>
      <c r="I133" s="459"/>
      <c r="J133" s="459"/>
      <c r="K133" s="459"/>
      <c r="L133" s="459"/>
      <c r="M133" s="460"/>
    </row>
    <row r="134" spans="1:13" ht="15.75" x14ac:dyDescent="0.2">
      <c r="A134" s="489"/>
    </row>
    <row r="135" spans="1:13" ht="15.75" x14ac:dyDescent="0.2">
      <c r="A135" s="489"/>
    </row>
  </sheetData>
  <mergeCells count="22">
    <mergeCell ref="B111:C111"/>
    <mergeCell ref="B109:C109"/>
    <mergeCell ref="A5:C5"/>
    <mergeCell ref="B7:C7"/>
    <mergeCell ref="F91:K91"/>
    <mergeCell ref="B110:C110"/>
    <mergeCell ref="B118:C118"/>
    <mergeCell ref="B122:C122"/>
    <mergeCell ref="B126:C126"/>
    <mergeCell ref="B131:C131"/>
    <mergeCell ref="A2:E2"/>
    <mergeCell ref="A3:E3"/>
    <mergeCell ref="D5:E5"/>
    <mergeCell ref="A104:E104"/>
    <mergeCell ref="A114:E114"/>
    <mergeCell ref="A115:E115"/>
    <mergeCell ref="A112:C112"/>
    <mergeCell ref="A116:E116"/>
    <mergeCell ref="A102:C102"/>
    <mergeCell ref="A106:D106"/>
    <mergeCell ref="B107:C107"/>
    <mergeCell ref="B108:C108"/>
  </mergeCells>
  <pageMargins left="0.7" right="0.7" top="0.75" bottom="0.75" header="0.3" footer="0.3"/>
  <pageSetup paperSize="9" scale="85" orientation="portrait" r:id="rId1"/>
  <colBreaks count="1" manualBreakCount="1">
    <brk id="5" max="1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"/>
  <sheetViews>
    <sheetView zoomScaleNormal="100" workbookViewId="0">
      <selection activeCell="B10" sqref="B10"/>
    </sheetView>
  </sheetViews>
  <sheetFormatPr defaultRowHeight="12.75" x14ac:dyDescent="0.2"/>
  <cols>
    <col min="1" max="1" width="63.28515625" customWidth="1"/>
    <col min="2" max="2" width="17.28515625" customWidth="1"/>
    <col min="3" max="3" width="10.42578125" style="10" hidden="1" customWidth="1"/>
    <col min="4" max="4" width="9.42578125" style="10" hidden="1" customWidth="1"/>
  </cols>
  <sheetData>
    <row r="1" spans="1:4" x14ac:dyDescent="0.2">
      <c r="A1" s="4"/>
      <c r="B1" s="98" t="s">
        <v>625</v>
      </c>
    </row>
    <row r="2" spans="1:4" ht="50.25" customHeight="1" x14ac:dyDescent="0.25">
      <c r="A2" s="1047" t="s">
        <v>744</v>
      </c>
      <c r="B2" s="1048"/>
    </row>
    <row r="3" spans="1:4" x14ac:dyDescent="0.2">
      <c r="A3" s="4"/>
      <c r="B3" s="98"/>
    </row>
    <row r="4" spans="1:4" ht="13.5" thickBot="1" x14ac:dyDescent="0.25">
      <c r="A4" s="4"/>
      <c r="B4" s="98" t="s">
        <v>0</v>
      </c>
    </row>
    <row r="5" spans="1:4" ht="34.5" customHeight="1" thickBot="1" x14ac:dyDescent="0.25">
      <c r="A5" s="117" t="s">
        <v>74</v>
      </c>
      <c r="B5" s="271" t="s">
        <v>47</v>
      </c>
    </row>
    <row r="6" spans="1:4" ht="15.95" customHeight="1" x14ac:dyDescent="0.2">
      <c r="A6" s="119" t="s">
        <v>746</v>
      </c>
      <c r="B6" s="510">
        <f>'13.Mérleg'!D29</f>
        <v>158357</v>
      </c>
    </row>
    <row r="7" spans="1:4" ht="15.95" customHeight="1" x14ac:dyDescent="0.2">
      <c r="A7" s="123" t="s">
        <v>730</v>
      </c>
      <c r="B7" s="122" t="e">
        <f>SUM(D7-B6)</f>
        <v>#REF!</v>
      </c>
      <c r="D7" s="45" t="e">
        <f>'1.Bev-kiad.'!G62</f>
        <v>#REF!</v>
      </c>
    </row>
    <row r="8" spans="1:4" ht="15.95" customHeight="1" x14ac:dyDescent="0.2">
      <c r="A8" s="123" t="s">
        <v>731</v>
      </c>
      <c r="B8" s="122" t="e">
        <f>SUM(B6:B7)</f>
        <v>#REF!</v>
      </c>
      <c r="D8" s="45"/>
    </row>
    <row r="9" spans="1:4" ht="16.5" customHeight="1" x14ac:dyDescent="0.2">
      <c r="A9" s="123" t="s">
        <v>732</v>
      </c>
      <c r="B9" s="122">
        <f>'1.Bev-kiad.'!G82</f>
        <v>1861013</v>
      </c>
      <c r="D9" s="45">
        <f>'1.Bev-kiad.'!G82</f>
        <v>1861013</v>
      </c>
    </row>
    <row r="10" spans="1:4" ht="16.5" customHeight="1" x14ac:dyDescent="0.2">
      <c r="A10" s="123" t="s">
        <v>733</v>
      </c>
      <c r="B10" s="122" t="e">
        <f>SUM(B8-B9)</f>
        <v>#REF!</v>
      </c>
      <c r="C10" s="45"/>
      <c r="D10" s="45" t="e">
        <f>SUM(D7-D9)</f>
        <v>#REF!</v>
      </c>
    </row>
    <row r="11" spans="1:4" ht="16.5" customHeight="1" x14ac:dyDescent="0.2">
      <c r="A11" s="123" t="s">
        <v>734</v>
      </c>
      <c r="B11" s="511">
        <v>0</v>
      </c>
      <c r="D11" s="45"/>
    </row>
    <row r="12" spans="1:4" ht="15.95" customHeight="1" x14ac:dyDescent="0.2">
      <c r="A12" s="512" t="s">
        <v>745</v>
      </c>
      <c r="B12" s="513">
        <f>'13.Mérleg'!F29</f>
        <v>1349970</v>
      </c>
      <c r="C12" s="272">
        <v>158357</v>
      </c>
    </row>
    <row r="13" spans="1:4" ht="15.95" customHeight="1" thickBot="1" x14ac:dyDescent="0.25">
      <c r="A13" s="514" t="s">
        <v>735</v>
      </c>
      <c r="B13" s="515">
        <f>SUM(B12-B6)</f>
        <v>1191613</v>
      </c>
    </row>
    <row r="14" spans="1:4" ht="18" customHeight="1" x14ac:dyDescent="0.2">
      <c r="C14" s="45">
        <f>SUM(C12-B12)</f>
        <v>-1191613</v>
      </c>
      <c r="D14" s="45" t="e">
        <f>SUM(D10-C12)</f>
        <v>#REF!</v>
      </c>
    </row>
    <row r="15" spans="1:4" ht="18" customHeight="1" x14ac:dyDescent="0.2">
      <c r="C15"/>
      <c r="D15"/>
    </row>
    <row r="16" spans="1:4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"/>
  <sheetViews>
    <sheetView zoomScaleNormal="100" workbookViewId="0">
      <selection activeCell="H9" sqref="H9"/>
    </sheetView>
  </sheetViews>
  <sheetFormatPr defaultRowHeight="12.75" x14ac:dyDescent="0.2"/>
  <cols>
    <col min="1" max="1" width="69" customWidth="1"/>
    <col min="2" max="2" width="16" customWidth="1"/>
    <col min="3" max="3" width="12.28515625" customWidth="1"/>
    <col min="4" max="4" width="9.42578125" style="10" customWidth="1"/>
  </cols>
  <sheetData>
    <row r="1" spans="1:4" x14ac:dyDescent="0.2">
      <c r="A1" s="4"/>
      <c r="B1" s="98" t="s">
        <v>655</v>
      </c>
    </row>
    <row r="2" spans="1:4" ht="50.25" customHeight="1" x14ac:dyDescent="0.25">
      <c r="A2" s="1047" t="s">
        <v>747</v>
      </c>
      <c r="B2" s="1048"/>
    </row>
    <row r="3" spans="1:4" x14ac:dyDescent="0.2">
      <c r="A3" s="4"/>
      <c r="B3" s="98"/>
    </row>
    <row r="4" spans="1:4" ht="13.5" thickBot="1" x14ac:dyDescent="0.25">
      <c r="A4" s="4"/>
      <c r="B4" s="98" t="s">
        <v>0</v>
      </c>
    </row>
    <row r="5" spans="1:4" ht="34.5" customHeight="1" thickBot="1" x14ac:dyDescent="0.25">
      <c r="A5" s="117" t="s">
        <v>74</v>
      </c>
      <c r="B5" s="271" t="s">
        <v>47</v>
      </c>
    </row>
    <row r="6" spans="1:4" ht="31.5" customHeight="1" x14ac:dyDescent="0.2">
      <c r="A6" s="516" t="s">
        <v>736</v>
      </c>
      <c r="B6" s="510">
        <f>SUM(B7)</f>
        <v>0</v>
      </c>
    </row>
    <row r="7" spans="1:4" ht="15.95" customHeight="1" x14ac:dyDescent="0.2">
      <c r="A7" s="517" t="s">
        <v>737</v>
      </c>
      <c r="B7" s="518">
        <v>0</v>
      </c>
      <c r="D7" s="45"/>
    </row>
    <row r="8" spans="1:4" ht="25.5" customHeight="1" x14ac:dyDescent="0.2">
      <c r="A8" s="519" t="s">
        <v>738</v>
      </c>
      <c r="B8" s="122">
        <f>SUM(B9)</f>
        <v>3000</v>
      </c>
      <c r="D8" s="45"/>
    </row>
    <row r="9" spans="1:4" ht="16.5" customHeight="1" x14ac:dyDescent="0.2">
      <c r="A9" s="517" t="s">
        <v>737</v>
      </c>
      <c r="B9" s="527">
        <v>3000</v>
      </c>
      <c r="D9" s="45"/>
    </row>
    <row r="10" spans="1:4" s="10" customFormat="1" ht="18" customHeight="1" x14ac:dyDescent="0.2">
      <c r="A10" s="526" t="s">
        <v>749</v>
      </c>
      <c r="B10" s="525">
        <v>100</v>
      </c>
      <c r="C10" s="45"/>
      <c r="D10" s="45"/>
    </row>
    <row r="11" spans="1:4" s="520" customFormat="1" ht="19.5" customHeight="1" x14ac:dyDescent="0.2">
      <c r="A11" s="523" t="s">
        <v>748</v>
      </c>
      <c r="B11" s="524">
        <f>SUM(B12)</f>
        <v>10</v>
      </c>
      <c r="D11" s="521"/>
    </row>
    <row r="12" spans="1:4" ht="16.5" customHeight="1" thickBot="1" x14ac:dyDescent="0.25">
      <c r="A12" s="522" t="s">
        <v>761</v>
      </c>
      <c r="B12" s="532">
        <v>10</v>
      </c>
      <c r="D12" s="45"/>
    </row>
    <row r="13" spans="1:4" ht="15.95" customHeight="1" x14ac:dyDescent="0.2">
      <c r="A13" s="63"/>
      <c r="B13" s="129"/>
    </row>
    <row r="14" spans="1:4" ht="15.95" customHeight="1" x14ac:dyDescent="0.2">
      <c r="A14" s="63"/>
      <c r="B14" s="129"/>
    </row>
    <row r="15" spans="1:4" ht="15.95" customHeight="1" x14ac:dyDescent="0.2">
      <c r="A15" s="63"/>
      <c r="B15" s="129"/>
    </row>
    <row r="16" spans="1:4" ht="15.95" customHeight="1" x14ac:dyDescent="0.2">
      <c r="A16" s="63"/>
      <c r="B16" s="129"/>
    </row>
    <row r="17" spans="1:2" ht="15" customHeight="1" x14ac:dyDescent="0.2">
      <c r="A17" s="63"/>
      <c r="B17" s="63"/>
    </row>
    <row r="18" spans="1:2" ht="14.1" customHeight="1" x14ac:dyDescent="0.2">
      <c r="A18" s="63"/>
      <c r="B18" s="63"/>
    </row>
    <row r="19" spans="1:2" ht="14.1" customHeight="1" x14ac:dyDescent="0.2">
      <c r="A19" s="63"/>
      <c r="B19" s="63"/>
    </row>
    <row r="20" spans="1:2" ht="14.1" customHeight="1" x14ac:dyDescent="0.2"/>
    <row r="21" spans="1:2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7"/>
  <sheetViews>
    <sheetView zoomScaleNormal="100" workbookViewId="0">
      <selection activeCell="N1" sqref="N1"/>
    </sheetView>
  </sheetViews>
  <sheetFormatPr defaultRowHeight="12.75" x14ac:dyDescent="0.2"/>
  <cols>
    <col min="1" max="1" width="35.28515625" customWidth="1"/>
    <col min="2" max="2" width="9.28515625" customWidth="1"/>
    <col min="3" max="4" width="8.85546875" customWidth="1"/>
    <col min="5" max="5" width="9.42578125" customWidth="1"/>
    <col min="6" max="8" width="9.140625" customWidth="1"/>
    <col min="9" max="9" width="9" customWidth="1"/>
    <col min="10" max="11" width="9.140625" customWidth="1"/>
    <col min="12" max="12" width="9.140625" bestFit="1" customWidth="1"/>
    <col min="13" max="13" width="9.28515625" bestFit="1" customWidth="1"/>
    <col min="14" max="14" width="10.85546875" customWidth="1"/>
    <col min="15" max="15" width="10.85546875" style="89" customWidth="1"/>
    <col min="16" max="16" width="8.42578125" style="700" customWidth="1"/>
  </cols>
  <sheetData>
    <row r="1" spans="1:17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M1" s="4"/>
      <c r="N1" s="98"/>
      <c r="O1" s="106"/>
    </row>
    <row r="2" spans="1:1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M2" s="4"/>
      <c r="N2" s="769"/>
      <c r="O2" s="106"/>
    </row>
    <row r="3" spans="1:17" ht="15.75" x14ac:dyDescent="0.25">
      <c r="A3" s="116" t="s">
        <v>1202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98"/>
      <c r="O3" s="106"/>
    </row>
    <row r="4" spans="1:17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8"/>
      <c r="O4" s="106"/>
    </row>
    <row r="5" spans="1:17" ht="13.5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8" t="s">
        <v>0</v>
      </c>
      <c r="O5" s="106"/>
    </row>
    <row r="6" spans="1:17" ht="21.75" customHeight="1" thickBot="1" x14ac:dyDescent="0.25">
      <c r="A6" s="117" t="s">
        <v>74</v>
      </c>
      <c r="B6" s="118" t="s">
        <v>75</v>
      </c>
      <c r="C6" s="118" t="s">
        <v>76</v>
      </c>
      <c r="D6" s="118" t="s">
        <v>77</v>
      </c>
      <c r="E6" s="118" t="s">
        <v>78</v>
      </c>
      <c r="F6" s="118" t="s">
        <v>79</v>
      </c>
      <c r="G6" s="118" t="s">
        <v>80</v>
      </c>
      <c r="H6" s="118" t="s">
        <v>81</v>
      </c>
      <c r="I6" s="118" t="s">
        <v>82</v>
      </c>
      <c r="J6" s="118" t="s">
        <v>83</v>
      </c>
      <c r="K6" s="118" t="s">
        <v>84</v>
      </c>
      <c r="L6" s="118" t="s">
        <v>85</v>
      </c>
      <c r="M6" s="118" t="s">
        <v>86</v>
      </c>
      <c r="N6" s="271" t="s">
        <v>47</v>
      </c>
      <c r="O6" s="703"/>
    </row>
    <row r="7" spans="1:17" ht="15.95" customHeight="1" x14ac:dyDescent="0.2">
      <c r="A7" s="119" t="s">
        <v>87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120"/>
      <c r="O7" s="704"/>
      <c r="P7" s="708"/>
    </row>
    <row r="8" spans="1:17" ht="15.95" customHeight="1" x14ac:dyDescent="0.2">
      <c r="A8" s="348" t="s">
        <v>511</v>
      </c>
      <c r="B8" s="41">
        <v>50197</v>
      </c>
      <c r="C8" s="41">
        <v>44152</v>
      </c>
      <c r="D8" s="41">
        <v>36642</v>
      </c>
      <c r="E8" s="41">
        <v>34738</v>
      </c>
      <c r="F8" s="41">
        <v>37854</v>
      </c>
      <c r="G8" s="41">
        <v>37854</v>
      </c>
      <c r="H8" s="41">
        <v>37853</v>
      </c>
      <c r="I8" s="41">
        <v>37854</v>
      </c>
      <c r="J8" s="41">
        <v>37853</v>
      </c>
      <c r="K8" s="41">
        <v>37854</v>
      </c>
      <c r="L8" s="41">
        <v>37853</v>
      </c>
      <c r="M8" s="41">
        <v>37854</v>
      </c>
      <c r="N8" s="122">
        <f t="shared" ref="N8:N15" si="0">SUM(B8:M8)</f>
        <v>468558</v>
      </c>
      <c r="O8" s="705"/>
      <c r="P8" s="702"/>
    </row>
    <row r="9" spans="1:17" ht="15.95" customHeight="1" x14ac:dyDescent="0.2">
      <c r="A9" s="348" t="s">
        <v>509</v>
      </c>
      <c r="B9" s="41"/>
      <c r="C9" s="41"/>
      <c r="D9" s="41">
        <v>0</v>
      </c>
      <c r="E9" s="41"/>
      <c r="F9" s="41">
        <v>13204</v>
      </c>
      <c r="G9" s="41">
        <v>131034</v>
      </c>
      <c r="H9" s="41"/>
      <c r="I9" s="41"/>
      <c r="J9" s="41"/>
      <c r="K9" s="41"/>
      <c r="L9" s="41"/>
      <c r="M9" s="41"/>
      <c r="N9" s="122">
        <f t="shared" si="0"/>
        <v>144238</v>
      </c>
      <c r="O9" s="706"/>
      <c r="P9" s="708"/>
    </row>
    <row r="10" spans="1:17" ht="15.75" customHeight="1" x14ac:dyDescent="0.2">
      <c r="A10" s="144" t="s">
        <v>383</v>
      </c>
      <c r="B10" s="41">
        <v>1887</v>
      </c>
      <c r="C10" s="41">
        <v>1831</v>
      </c>
      <c r="D10" s="41">
        <v>122960</v>
      </c>
      <c r="E10" s="41">
        <v>12463</v>
      </c>
      <c r="F10" s="41"/>
      <c r="G10" s="41">
        <v>32000</v>
      </c>
      <c r="H10" s="41">
        <v>6000</v>
      </c>
      <c r="I10" s="41"/>
      <c r="J10" s="41">
        <v>125000</v>
      </c>
      <c r="K10" s="41">
        <v>5000</v>
      </c>
      <c r="L10" s="41">
        <v>3000</v>
      </c>
      <c r="M10" s="41">
        <f>2000-141</f>
        <v>1859</v>
      </c>
      <c r="N10" s="122">
        <f t="shared" si="0"/>
        <v>312000</v>
      </c>
      <c r="O10" s="706"/>
      <c r="P10" s="708"/>
    </row>
    <row r="11" spans="1:17" ht="15.95" customHeight="1" x14ac:dyDescent="0.2">
      <c r="A11" s="121" t="s">
        <v>384</v>
      </c>
      <c r="B11" s="41">
        <v>1152</v>
      </c>
      <c r="C11" s="41">
        <v>3273</v>
      </c>
      <c r="D11" s="41">
        <v>1348</v>
      </c>
      <c r="E11" s="41">
        <v>2179</v>
      </c>
      <c r="F11" s="41">
        <v>3915</v>
      </c>
      <c r="G11" s="41">
        <v>3915</v>
      </c>
      <c r="H11" s="41">
        <v>3914</v>
      </c>
      <c r="I11" s="41">
        <v>3915</v>
      </c>
      <c r="J11" s="41">
        <v>3915</v>
      </c>
      <c r="K11" s="41">
        <v>3914</v>
      </c>
      <c r="L11" s="41">
        <v>3915</v>
      </c>
      <c r="M11" s="41">
        <v>3915</v>
      </c>
      <c r="N11" s="122">
        <f t="shared" si="0"/>
        <v>39270</v>
      </c>
      <c r="O11" s="706"/>
      <c r="P11" s="708"/>
    </row>
    <row r="12" spans="1:17" ht="15.95" customHeight="1" x14ac:dyDescent="0.2">
      <c r="A12" s="121" t="s">
        <v>386</v>
      </c>
      <c r="B12" s="41">
        <v>75</v>
      </c>
      <c r="C12" s="41">
        <v>88</v>
      </c>
      <c r="D12" s="41">
        <v>87</v>
      </c>
      <c r="E12" s="41">
        <v>87</v>
      </c>
      <c r="F12" s="41">
        <v>87</v>
      </c>
      <c r="G12" s="41">
        <v>87</v>
      </c>
      <c r="H12" s="41">
        <f>87+38967</f>
        <v>39054</v>
      </c>
      <c r="I12" s="41">
        <v>87</v>
      </c>
      <c r="J12" s="41">
        <v>87</v>
      </c>
      <c r="K12" s="41">
        <v>87</v>
      </c>
      <c r="L12" s="41">
        <v>87</v>
      </c>
      <c r="M12" s="41">
        <v>87</v>
      </c>
      <c r="N12" s="122">
        <f t="shared" si="0"/>
        <v>40000</v>
      </c>
      <c r="O12" s="706"/>
      <c r="P12" s="708"/>
    </row>
    <row r="13" spans="1:17" ht="15.95" customHeight="1" x14ac:dyDescent="0.2">
      <c r="A13" s="121" t="s">
        <v>385</v>
      </c>
      <c r="B13" s="41">
        <v>120</v>
      </c>
      <c r="C13" s="41"/>
      <c r="D13" s="41"/>
      <c r="E13" s="41">
        <v>3000</v>
      </c>
      <c r="F13" s="41">
        <v>2000</v>
      </c>
      <c r="G13" s="41"/>
      <c r="H13" s="41"/>
      <c r="I13" s="41"/>
      <c r="J13" s="41"/>
      <c r="K13" s="41"/>
      <c r="L13" s="41"/>
      <c r="M13" s="41">
        <v>17000</v>
      </c>
      <c r="N13" s="122">
        <f t="shared" si="0"/>
        <v>22120</v>
      </c>
      <c r="O13" s="706"/>
      <c r="P13" s="708"/>
    </row>
    <row r="14" spans="1:17" ht="15.95" customHeight="1" x14ac:dyDescent="0.2">
      <c r="A14" s="121" t="s">
        <v>510</v>
      </c>
      <c r="B14" s="41"/>
      <c r="C14" s="41"/>
      <c r="D14" s="41"/>
      <c r="E14" s="41"/>
      <c r="F14" s="41"/>
      <c r="G14" s="41"/>
      <c r="H14" s="41">
        <v>10300</v>
      </c>
      <c r="I14" s="41"/>
      <c r="J14" s="41"/>
      <c r="K14" s="41"/>
      <c r="L14" s="41"/>
      <c r="M14" s="41"/>
      <c r="N14" s="122">
        <f t="shared" si="0"/>
        <v>10300</v>
      </c>
      <c r="O14" s="706"/>
      <c r="P14" s="708"/>
    </row>
    <row r="15" spans="1:17" ht="15.95" customHeight="1" x14ac:dyDescent="0.2">
      <c r="A15" s="121" t="s">
        <v>453</v>
      </c>
      <c r="B15" s="41">
        <f>SUM('1.Bev-kiad.'!C55)</f>
        <v>999900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122">
        <f t="shared" si="0"/>
        <v>999900</v>
      </c>
      <c r="O15" s="706"/>
      <c r="P15" s="708"/>
    </row>
    <row r="16" spans="1:17" ht="15.95" customHeight="1" x14ac:dyDescent="0.2">
      <c r="A16" s="123" t="s">
        <v>88</v>
      </c>
      <c r="B16" s="43">
        <f t="shared" ref="B16:N16" si="1">SUM(B8:B15)</f>
        <v>1053331</v>
      </c>
      <c r="C16" s="43">
        <f t="shared" si="1"/>
        <v>49344</v>
      </c>
      <c r="D16" s="43">
        <f t="shared" si="1"/>
        <v>161037</v>
      </c>
      <c r="E16" s="43">
        <f t="shared" si="1"/>
        <v>52467</v>
      </c>
      <c r="F16" s="43">
        <f t="shared" si="1"/>
        <v>57060</v>
      </c>
      <c r="G16" s="43">
        <f t="shared" si="1"/>
        <v>204890</v>
      </c>
      <c r="H16" s="43">
        <f t="shared" si="1"/>
        <v>97121</v>
      </c>
      <c r="I16" s="43">
        <f t="shared" si="1"/>
        <v>41856</v>
      </c>
      <c r="J16" s="43">
        <f t="shared" si="1"/>
        <v>166855</v>
      </c>
      <c r="K16" s="43">
        <f t="shared" si="1"/>
        <v>46855</v>
      </c>
      <c r="L16" s="43">
        <f t="shared" si="1"/>
        <v>44855</v>
      </c>
      <c r="M16" s="43">
        <f t="shared" si="1"/>
        <v>60715</v>
      </c>
      <c r="N16" s="122">
        <f t="shared" si="1"/>
        <v>2036386</v>
      </c>
      <c r="O16" s="706"/>
      <c r="P16" s="709"/>
      <c r="Q16" s="86"/>
    </row>
    <row r="17" spans="1:17" ht="16.5" customHeight="1" x14ac:dyDescent="0.2">
      <c r="A17" s="123" t="s">
        <v>89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122"/>
      <c r="O17" s="706"/>
      <c r="P17" s="708"/>
    </row>
    <row r="18" spans="1:17" ht="15.95" customHeight="1" x14ac:dyDescent="0.2">
      <c r="A18" s="121" t="s">
        <v>90</v>
      </c>
      <c r="B18" s="41">
        <v>45825</v>
      </c>
      <c r="C18" s="41">
        <v>44113</v>
      </c>
      <c r="D18" s="41">
        <v>98655</v>
      </c>
      <c r="E18" s="41">
        <v>53464</v>
      </c>
      <c r="F18" s="41">
        <v>94757</v>
      </c>
      <c r="G18" s="41">
        <f>94757+450</f>
        <v>95207</v>
      </c>
      <c r="H18" s="41">
        <f>94756+1331</f>
        <v>96087</v>
      </c>
      <c r="I18" s="41">
        <f>94757+1331</f>
        <v>96088</v>
      </c>
      <c r="J18" s="41">
        <f>94757+1332</f>
        <v>96089</v>
      </c>
      <c r="K18" s="41">
        <f>94756+1331</f>
        <v>96087</v>
      </c>
      <c r="L18" s="41">
        <v>94757</v>
      </c>
      <c r="M18" s="41">
        <v>94757</v>
      </c>
      <c r="N18" s="122">
        <f t="shared" ref="N18:N23" si="2">SUM(B18:M18)</f>
        <v>1005886</v>
      </c>
      <c r="O18" s="705"/>
      <c r="P18" s="702"/>
      <c r="Q18" s="86"/>
    </row>
    <row r="19" spans="1:17" ht="15.95" customHeight="1" x14ac:dyDescent="0.2">
      <c r="A19" s="121" t="s">
        <v>91</v>
      </c>
      <c r="B19" s="41">
        <v>418</v>
      </c>
      <c r="C19" s="41">
        <v>16238</v>
      </c>
      <c r="D19" s="41">
        <v>24862</v>
      </c>
      <c r="E19" s="41">
        <v>9857</v>
      </c>
      <c r="F19" s="41">
        <v>200000</v>
      </c>
      <c r="G19" s="41">
        <v>5156</v>
      </c>
      <c r="H19" s="41">
        <v>300000</v>
      </c>
      <c r="I19" s="41"/>
      <c r="J19" s="41"/>
      <c r="K19" s="41">
        <v>254902</v>
      </c>
      <c r="L19" s="41"/>
      <c r="M19" s="41"/>
      <c r="N19" s="122">
        <f t="shared" si="2"/>
        <v>811433</v>
      </c>
      <c r="O19" s="705"/>
      <c r="P19" s="702"/>
      <c r="Q19" s="86"/>
    </row>
    <row r="20" spans="1:17" ht="15.95" customHeight="1" x14ac:dyDescent="0.2">
      <c r="A20" s="121" t="s">
        <v>767</v>
      </c>
      <c r="B20" s="41"/>
      <c r="C20" s="41"/>
      <c r="D20" s="41"/>
      <c r="E20" s="41"/>
      <c r="F20" s="41">
        <v>1</v>
      </c>
      <c r="G20" s="41"/>
      <c r="H20" s="41"/>
      <c r="I20" s="41"/>
      <c r="J20" s="41"/>
      <c r="K20" s="41"/>
      <c r="L20" s="41"/>
      <c r="M20" s="41"/>
      <c r="N20" s="122">
        <f>SUM(B20:M20)</f>
        <v>1</v>
      </c>
      <c r="O20" s="706"/>
      <c r="P20" s="702"/>
    </row>
    <row r="21" spans="1:17" ht="15.95" customHeight="1" x14ac:dyDescent="0.2">
      <c r="A21" s="121" t="s">
        <v>472</v>
      </c>
      <c r="B21" s="41">
        <v>14996</v>
      </c>
      <c r="C21" s="41"/>
      <c r="D21" s="41">
        <v>5039</v>
      </c>
      <c r="E21" s="41"/>
      <c r="F21" s="41"/>
      <c r="G21" s="41">
        <v>0</v>
      </c>
      <c r="H21" s="41">
        <v>5039</v>
      </c>
      <c r="I21" s="41"/>
      <c r="J21" s="41">
        <v>0</v>
      </c>
      <c r="K21" s="41">
        <v>5039</v>
      </c>
      <c r="L21" s="41"/>
      <c r="M21" s="41">
        <v>5039</v>
      </c>
      <c r="N21" s="122">
        <f t="shared" si="2"/>
        <v>35152</v>
      </c>
      <c r="O21" s="706"/>
      <c r="P21" s="702"/>
    </row>
    <row r="22" spans="1:17" ht="26.25" customHeight="1" x14ac:dyDescent="0.2">
      <c r="A22" s="125" t="s">
        <v>92</v>
      </c>
      <c r="B22" s="41"/>
      <c r="C22" s="41"/>
      <c r="D22" s="41"/>
      <c r="E22" s="41"/>
      <c r="F22" s="41"/>
      <c r="G22" s="41"/>
      <c r="H22" s="41">
        <v>50000</v>
      </c>
      <c r="I22" s="41">
        <v>49816</v>
      </c>
      <c r="J22" s="41"/>
      <c r="K22" s="41">
        <f>SUM('2.működés'!C122)</f>
        <v>29963</v>
      </c>
      <c r="L22" s="41"/>
      <c r="M22" s="41">
        <f>SUM('3.felh'!C75)</f>
        <v>54135</v>
      </c>
      <c r="N22" s="122">
        <f t="shared" si="2"/>
        <v>183914</v>
      </c>
      <c r="O22" s="706"/>
      <c r="P22" s="708"/>
    </row>
    <row r="23" spans="1:17" ht="15.95" customHeight="1" x14ac:dyDescent="0.2">
      <c r="A23" s="123" t="s">
        <v>93</v>
      </c>
      <c r="B23" s="124">
        <f t="shared" ref="B23:M23" si="3">SUM(B18:B22)</f>
        <v>61239</v>
      </c>
      <c r="C23" s="124">
        <f t="shared" si="3"/>
        <v>60351</v>
      </c>
      <c r="D23" s="124">
        <f t="shared" si="3"/>
        <v>128556</v>
      </c>
      <c r="E23" s="124">
        <f t="shared" si="3"/>
        <v>63321</v>
      </c>
      <c r="F23" s="124">
        <f t="shared" si="3"/>
        <v>294758</v>
      </c>
      <c r="G23" s="124">
        <f t="shared" si="3"/>
        <v>100363</v>
      </c>
      <c r="H23" s="124">
        <f t="shared" si="3"/>
        <v>451126</v>
      </c>
      <c r="I23" s="124">
        <f t="shared" si="3"/>
        <v>145904</v>
      </c>
      <c r="J23" s="124">
        <f t="shared" si="3"/>
        <v>96089</v>
      </c>
      <c r="K23" s="124">
        <f t="shared" si="3"/>
        <v>385991</v>
      </c>
      <c r="L23" s="124">
        <f t="shared" si="3"/>
        <v>94757</v>
      </c>
      <c r="M23" s="124">
        <f t="shared" si="3"/>
        <v>153931</v>
      </c>
      <c r="N23" s="122">
        <f t="shared" si="2"/>
        <v>2036386</v>
      </c>
      <c r="O23" s="706"/>
      <c r="P23" s="709"/>
    </row>
    <row r="24" spans="1:17" ht="15.95" customHeight="1" x14ac:dyDescent="0.2">
      <c r="A24" s="123" t="s">
        <v>94</v>
      </c>
      <c r="B24" s="124">
        <f t="shared" ref="B24:N24" si="4">SUM(B16-B23)</f>
        <v>992092</v>
      </c>
      <c r="C24" s="124">
        <f t="shared" si="4"/>
        <v>-11007</v>
      </c>
      <c r="D24" s="124">
        <f t="shared" si="4"/>
        <v>32481</v>
      </c>
      <c r="E24" s="124">
        <f t="shared" si="4"/>
        <v>-10854</v>
      </c>
      <c r="F24" s="124">
        <f t="shared" si="4"/>
        <v>-237698</v>
      </c>
      <c r="G24" s="124">
        <f t="shared" si="4"/>
        <v>104527</v>
      </c>
      <c r="H24" s="124">
        <f t="shared" si="4"/>
        <v>-354005</v>
      </c>
      <c r="I24" s="124">
        <f t="shared" si="4"/>
        <v>-104048</v>
      </c>
      <c r="J24" s="124">
        <f t="shared" si="4"/>
        <v>70766</v>
      </c>
      <c r="K24" s="124">
        <f t="shared" si="4"/>
        <v>-339136</v>
      </c>
      <c r="L24" s="124">
        <f t="shared" si="4"/>
        <v>-49902</v>
      </c>
      <c r="M24" s="124">
        <f t="shared" si="4"/>
        <v>-93216</v>
      </c>
      <c r="N24" s="122">
        <f t="shared" si="4"/>
        <v>0</v>
      </c>
      <c r="O24" s="706"/>
      <c r="P24" s="709"/>
    </row>
    <row r="25" spans="1:17" ht="15.95" customHeight="1" thickBot="1" x14ac:dyDescent="0.25">
      <c r="A25" s="126" t="s">
        <v>95</v>
      </c>
      <c r="B25" s="127">
        <f>SUM(B24)</f>
        <v>992092</v>
      </c>
      <c r="C25" s="127">
        <f t="shared" ref="C25:M25" si="5">B25+C16-C23</f>
        <v>981085</v>
      </c>
      <c r="D25" s="127">
        <f t="shared" si="5"/>
        <v>1013566</v>
      </c>
      <c r="E25" s="127">
        <f t="shared" si="5"/>
        <v>1002712</v>
      </c>
      <c r="F25" s="127">
        <f t="shared" si="5"/>
        <v>765014</v>
      </c>
      <c r="G25" s="127">
        <f t="shared" si="5"/>
        <v>869541</v>
      </c>
      <c r="H25" s="127">
        <f t="shared" si="5"/>
        <v>515536</v>
      </c>
      <c r="I25" s="127">
        <f t="shared" si="5"/>
        <v>411488</v>
      </c>
      <c r="J25" s="127">
        <f t="shared" si="5"/>
        <v>482254</v>
      </c>
      <c r="K25" s="127">
        <f t="shared" si="5"/>
        <v>143118</v>
      </c>
      <c r="L25" s="127">
        <f t="shared" si="5"/>
        <v>93216</v>
      </c>
      <c r="M25" s="127">
        <f t="shared" si="5"/>
        <v>0</v>
      </c>
      <c r="N25" s="128">
        <f>SUM(N24)</f>
        <v>0</v>
      </c>
      <c r="O25" s="706"/>
      <c r="P25" s="708"/>
    </row>
    <row r="26" spans="1:17" ht="18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129"/>
      <c r="O26" s="704"/>
      <c r="P26" s="701"/>
    </row>
    <row r="27" spans="1:17" ht="18" customHeight="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129"/>
      <c r="O27" s="704"/>
    </row>
    <row r="28" spans="1:17" ht="15.95" customHeight="1" x14ac:dyDescent="0.2">
      <c r="A28" s="63"/>
      <c r="B28" s="63"/>
      <c r="C28" s="63"/>
      <c r="D28" s="63"/>
      <c r="E28" s="63"/>
      <c r="F28" s="63"/>
      <c r="G28" s="130"/>
      <c r="H28" s="63"/>
      <c r="I28" s="63"/>
      <c r="J28" s="63"/>
      <c r="K28" s="63"/>
      <c r="L28" s="63"/>
      <c r="M28" s="63"/>
      <c r="N28" s="129"/>
      <c r="O28" s="704"/>
    </row>
    <row r="29" spans="1:17" ht="15.95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129"/>
      <c r="O29" s="704"/>
    </row>
    <row r="30" spans="1:17" ht="15.95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129"/>
      <c r="O30" s="704"/>
    </row>
    <row r="31" spans="1:17" ht="15.95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129"/>
      <c r="O31" s="704"/>
    </row>
    <row r="32" spans="1:17" ht="15.9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129"/>
      <c r="O32" s="704"/>
    </row>
    <row r="33" spans="1:15" ht="1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707"/>
    </row>
    <row r="34" spans="1:15" ht="14.1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707"/>
    </row>
    <row r="35" spans="1:15" ht="14.1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707"/>
    </row>
    <row r="36" spans="1:15" ht="14.1" customHeight="1" x14ac:dyDescent="0.2"/>
    <row r="37" spans="1:15" ht="14.1" customHeight="1" x14ac:dyDescent="0.2"/>
  </sheetData>
  <pageMargins left="0.42" right="0.19685039370078741" top="0.74803149606299213" bottom="0.98425196850393704" header="0.51181102362204722" footer="0.51181102362204722"/>
  <pageSetup paperSize="9" scale="9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744"/>
  <sheetViews>
    <sheetView topLeftCell="A49" zoomScaleNormal="100" workbookViewId="0">
      <selection activeCell="B85" sqref="B85"/>
    </sheetView>
  </sheetViews>
  <sheetFormatPr defaultRowHeight="12.75" x14ac:dyDescent="0.2"/>
  <cols>
    <col min="1" max="1" width="6.28515625" style="2" customWidth="1"/>
    <col min="2" max="2" width="71.28515625" customWidth="1"/>
    <col min="3" max="3" width="14.28515625" style="45" hidden="1" customWidth="1"/>
    <col min="4" max="7" width="13.7109375" style="45" customWidth="1"/>
  </cols>
  <sheetData>
    <row r="1" spans="1:21" ht="15" customHeight="1" x14ac:dyDescent="0.3">
      <c r="A1" s="65"/>
      <c r="B1" s="213"/>
      <c r="E1" s="214"/>
      <c r="F1" s="214"/>
      <c r="G1" s="214" t="s">
        <v>382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3">
      <c r="A2" s="65"/>
      <c r="B2" s="213"/>
      <c r="E2" s="214"/>
      <c r="F2" s="214"/>
      <c r="G2" s="214">
        <f>'1.Bev-kiad.'!D2</f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x14ac:dyDescent="0.35">
      <c r="A3" s="928" t="s">
        <v>27</v>
      </c>
      <c r="B3" s="928"/>
      <c r="C3" s="928"/>
      <c r="D3" s="936"/>
      <c r="E3" s="936"/>
      <c r="F3" s="936"/>
      <c r="G3" s="9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x14ac:dyDescent="0.35">
      <c r="A4" s="928" t="s">
        <v>1254</v>
      </c>
      <c r="B4" s="928"/>
      <c r="C4" s="928"/>
      <c r="D4" s="936"/>
      <c r="E4" s="936"/>
      <c r="F4" s="936"/>
      <c r="G4" s="93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3.5" thickBot="1" x14ac:dyDescent="0.25">
      <c r="A5" s="65"/>
      <c r="B5" s="65"/>
      <c r="E5" s="214"/>
      <c r="F5" s="214"/>
      <c r="G5" s="214" t="s"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53.25" customHeight="1" thickBot="1" x14ac:dyDescent="0.25">
      <c r="A6" s="270" t="s">
        <v>124</v>
      </c>
      <c r="B6" s="54" t="s">
        <v>397</v>
      </c>
      <c r="C6" s="54" t="s">
        <v>387</v>
      </c>
      <c r="D6" s="54" t="s">
        <v>766</v>
      </c>
      <c r="E6" s="54" t="s">
        <v>932</v>
      </c>
      <c r="F6" s="54" t="s">
        <v>969</v>
      </c>
      <c r="G6" s="54" t="s">
        <v>1253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2.5" customHeight="1" x14ac:dyDescent="0.2">
      <c r="A7" s="170" t="s">
        <v>375</v>
      </c>
      <c r="B7" s="280" t="s">
        <v>360</v>
      </c>
      <c r="C7" s="205" t="e">
        <f>SUM(C8:C49)</f>
        <v>#REF!</v>
      </c>
      <c r="D7" s="205">
        <f>SUM(D8:D49)</f>
        <v>898450</v>
      </c>
      <c r="E7" s="205">
        <f>SUM(E8:E49)</f>
        <v>884000</v>
      </c>
      <c r="F7" s="205">
        <f>SUM(F8:F49)</f>
        <v>887000</v>
      </c>
      <c r="G7" s="205">
        <f>SUM(G8:G49)</f>
        <v>893000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8" customHeight="1" x14ac:dyDescent="0.25">
      <c r="A8" s="18" t="s">
        <v>126</v>
      </c>
      <c r="B8" s="30" t="s">
        <v>227</v>
      </c>
      <c r="C8" s="46" t="e">
        <f>SUM('2.működés'!#REF!)</f>
        <v>#REF!</v>
      </c>
      <c r="D8" s="46">
        <f>SUM('1.Bev-kiad.'!C8)</f>
        <v>457088</v>
      </c>
      <c r="E8" s="46">
        <v>490000</v>
      </c>
      <c r="F8" s="46">
        <v>490000</v>
      </c>
      <c r="G8" s="46">
        <v>490000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3.5" hidden="1" customHeight="1" x14ac:dyDescent="0.2">
      <c r="A9" s="9" t="s">
        <v>127</v>
      </c>
      <c r="B9" s="9" t="s">
        <v>135</v>
      </c>
      <c r="C9" s="6"/>
      <c r="D9" s="6"/>
      <c r="E9" s="6"/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3.5" hidden="1" customHeight="1" x14ac:dyDescent="0.2">
      <c r="A10" s="9" t="s">
        <v>176</v>
      </c>
      <c r="B10" s="9" t="s">
        <v>177</v>
      </c>
      <c r="C10" s="6"/>
      <c r="D10" s="6"/>
      <c r="E10" s="6"/>
      <c r="F10" s="6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3.5" hidden="1" customHeight="1" x14ac:dyDescent="0.2">
      <c r="A11" s="9" t="s">
        <v>128</v>
      </c>
      <c r="B11" s="9" t="s">
        <v>132</v>
      </c>
      <c r="C11" s="7"/>
      <c r="D11" s="7"/>
      <c r="E11" s="7"/>
      <c r="F11" s="7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3.5" hidden="1" customHeight="1" x14ac:dyDescent="0.2">
      <c r="A12" s="9" t="s">
        <v>129</v>
      </c>
      <c r="B12" s="9" t="s">
        <v>133</v>
      </c>
      <c r="C12" s="13"/>
      <c r="D12" s="13"/>
      <c r="E12" s="13"/>
      <c r="F12" s="13"/>
      <c r="G12" s="1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3.5" hidden="1" customHeight="1" x14ac:dyDescent="0.2">
      <c r="A13" s="9" t="s">
        <v>130</v>
      </c>
      <c r="B13" s="9" t="s">
        <v>134</v>
      </c>
      <c r="C13" s="17"/>
      <c r="D13" s="17"/>
      <c r="E13" s="17"/>
      <c r="F13" s="17"/>
      <c r="G13" s="1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2.75" hidden="1" customHeight="1" x14ac:dyDescent="0.2">
      <c r="A14" s="9" t="s">
        <v>131</v>
      </c>
      <c r="B14" s="9" t="s">
        <v>136</v>
      </c>
      <c r="C14" s="17"/>
      <c r="D14" s="17"/>
      <c r="E14" s="17"/>
      <c r="F14" s="17"/>
      <c r="G14" s="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8" customHeight="1" x14ac:dyDescent="0.25">
      <c r="A15" s="18" t="s">
        <v>137</v>
      </c>
      <c r="B15" s="30" t="s">
        <v>228</v>
      </c>
      <c r="C15" s="51" t="e">
        <f>SUM('3.felh'!#REF!)</f>
        <v>#REF!</v>
      </c>
      <c r="D15" s="51">
        <f>SUM('1.Bev-kiad.'!C15)</f>
        <v>23534</v>
      </c>
      <c r="E15" s="51">
        <v>24000</v>
      </c>
      <c r="F15" s="51">
        <v>25000</v>
      </c>
      <c r="G15" s="51">
        <v>25000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2.75" hidden="1" customHeight="1" x14ac:dyDescent="0.2">
      <c r="A16" s="9" t="s">
        <v>138</v>
      </c>
      <c r="B16" s="9" t="s">
        <v>145</v>
      </c>
      <c r="C16" s="6"/>
      <c r="D16" s="6"/>
      <c r="E16" s="6"/>
      <c r="F16" s="6"/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2.75" hidden="1" customHeight="1" x14ac:dyDescent="0.2">
      <c r="A17" s="9" t="s">
        <v>178</v>
      </c>
      <c r="B17" s="9" t="s">
        <v>179</v>
      </c>
      <c r="C17" s="17"/>
      <c r="D17" s="17"/>
      <c r="E17" s="17"/>
      <c r="F17" s="17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 hidden="1" customHeight="1" x14ac:dyDescent="0.2">
      <c r="A18" s="9" t="s">
        <v>139</v>
      </c>
      <c r="B18" s="9" t="s">
        <v>142</v>
      </c>
      <c r="C18" s="17"/>
      <c r="D18" s="17"/>
      <c r="E18" s="17"/>
      <c r="F18" s="17"/>
      <c r="G18" s="1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2.75" hidden="1" customHeight="1" x14ac:dyDescent="0.2">
      <c r="A19" s="9" t="s">
        <v>140</v>
      </c>
      <c r="B19" s="9" t="s">
        <v>143</v>
      </c>
      <c r="C19" s="17"/>
      <c r="D19" s="17"/>
      <c r="E19" s="17"/>
      <c r="F19" s="17"/>
      <c r="G19" s="1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2.75" hidden="1" customHeight="1" x14ac:dyDescent="0.2">
      <c r="A20" s="9" t="s">
        <v>141</v>
      </c>
      <c r="B20" s="9" t="s">
        <v>144</v>
      </c>
      <c r="C20" s="17"/>
      <c r="D20" s="17"/>
      <c r="E20" s="17"/>
      <c r="F20" s="17"/>
      <c r="G20" s="1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8" customHeight="1" x14ac:dyDescent="0.25">
      <c r="A21" s="18" t="s">
        <v>146</v>
      </c>
      <c r="B21" s="30" t="s">
        <v>108</v>
      </c>
      <c r="C21" s="51" t="e">
        <f>SUM('2.működés'!#REF!)</f>
        <v>#REF!</v>
      </c>
      <c r="D21" s="51">
        <f>SUM('1.Bev-kiad.'!C21)</f>
        <v>312000</v>
      </c>
      <c r="E21" s="51">
        <v>312000</v>
      </c>
      <c r="F21" s="51">
        <v>312000</v>
      </c>
      <c r="G21" s="51">
        <v>312000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2.75" hidden="1" customHeight="1" x14ac:dyDescent="0.2">
      <c r="A22" s="9" t="s">
        <v>147</v>
      </c>
      <c r="B22" s="9" t="s">
        <v>153</v>
      </c>
      <c r="C22" s="17"/>
      <c r="D22" s="17"/>
      <c r="E22" s="17"/>
      <c r="F22" s="17"/>
      <c r="G22" s="1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 hidden="1" customHeight="1" x14ac:dyDescent="0.2">
      <c r="A23" s="9" t="s">
        <v>148</v>
      </c>
      <c r="B23" s="9" t="s">
        <v>154</v>
      </c>
      <c r="C23" s="17"/>
      <c r="D23" s="17"/>
      <c r="E23" s="17"/>
      <c r="F23" s="17"/>
      <c r="G23" s="1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2.75" hidden="1" customHeight="1" x14ac:dyDescent="0.2">
      <c r="A24" s="9" t="s">
        <v>149</v>
      </c>
      <c r="B24" s="26" t="s">
        <v>155</v>
      </c>
      <c r="C24" s="58"/>
      <c r="D24" s="58"/>
      <c r="E24" s="58"/>
      <c r="F24" s="58"/>
      <c r="G24" s="5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2.75" hidden="1" customHeight="1" x14ac:dyDescent="0.2">
      <c r="A25" s="9" t="s">
        <v>150</v>
      </c>
      <c r="B25" s="9" t="s">
        <v>182</v>
      </c>
      <c r="C25" s="47"/>
      <c r="D25" s="47"/>
      <c r="E25" s="47"/>
      <c r="F25" s="47"/>
      <c r="G25" s="4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s="59" customFormat="1" ht="12.75" hidden="1" customHeight="1" x14ac:dyDescent="0.2">
      <c r="A26" s="9" t="s">
        <v>151</v>
      </c>
      <c r="B26" s="9" t="s">
        <v>183</v>
      </c>
      <c r="C26" s="17"/>
      <c r="D26" s="17"/>
      <c r="E26" s="17"/>
      <c r="F26" s="17"/>
      <c r="G26" s="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59" customFormat="1" ht="12.75" hidden="1" customHeight="1" x14ac:dyDescent="0.2">
      <c r="A27" s="9" t="s">
        <v>152</v>
      </c>
      <c r="B27" s="9" t="s">
        <v>156</v>
      </c>
      <c r="C27" s="17"/>
      <c r="D27" s="17"/>
      <c r="E27" s="17"/>
      <c r="F27" s="17"/>
      <c r="G27" s="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59" customFormat="1" ht="18" customHeight="1" x14ac:dyDescent="0.25">
      <c r="A28" s="18" t="s">
        <v>157</v>
      </c>
      <c r="B28" s="30" t="s">
        <v>229</v>
      </c>
      <c r="C28" s="51" t="e">
        <f>SUM('2.működés'!#REF!)</f>
        <v>#REF!</v>
      </c>
      <c r="D28" s="51">
        <f>SUM('1.Bev-kiad.'!C28)</f>
        <v>38528</v>
      </c>
      <c r="E28" s="51">
        <v>40000</v>
      </c>
      <c r="F28" s="51">
        <v>40000</v>
      </c>
      <c r="G28" s="51">
        <v>43000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3.5" hidden="1" customHeight="1" x14ac:dyDescent="0.2">
      <c r="A29" s="9" t="s">
        <v>160</v>
      </c>
      <c r="B29" s="9" t="s">
        <v>158</v>
      </c>
      <c r="C29" s="17"/>
      <c r="D29" s="17"/>
      <c r="E29" s="17"/>
      <c r="F29" s="17"/>
      <c r="G29" s="1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59" customFormat="1" ht="13.5" hidden="1" customHeight="1" x14ac:dyDescent="0.2">
      <c r="A30" s="9" t="s">
        <v>161</v>
      </c>
      <c r="B30" s="9" t="s">
        <v>159</v>
      </c>
      <c r="C30" s="17"/>
      <c r="D30" s="17"/>
      <c r="E30" s="17"/>
      <c r="F30" s="17"/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59" customFormat="1" ht="13.5" hidden="1" customHeight="1" x14ac:dyDescent="0.2">
      <c r="A31" s="9" t="s">
        <v>162</v>
      </c>
      <c r="B31" s="9" t="s">
        <v>165</v>
      </c>
      <c r="C31" s="13"/>
      <c r="D31" s="13"/>
      <c r="E31" s="13"/>
      <c r="F31" s="13"/>
      <c r="G31" s="1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3.5" hidden="1" customHeight="1" x14ac:dyDescent="0.2">
      <c r="A32" s="9" t="s">
        <v>163</v>
      </c>
      <c r="B32" s="26" t="s">
        <v>166</v>
      </c>
      <c r="C32" s="9"/>
      <c r="D32" s="9"/>
      <c r="E32" s="9"/>
      <c r="F32" s="9"/>
      <c r="G32" s="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2.75" hidden="1" customHeight="1" x14ac:dyDescent="0.2">
      <c r="A33" s="9" t="s">
        <v>164</v>
      </c>
      <c r="B33" s="26" t="s">
        <v>167</v>
      </c>
      <c r="C33" s="9"/>
      <c r="D33" s="9"/>
      <c r="E33" s="9"/>
      <c r="F33" s="9"/>
      <c r="G33" s="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hidden="1" customHeight="1" x14ac:dyDescent="0.2">
      <c r="A34" s="9" t="s">
        <v>168</v>
      </c>
      <c r="B34" s="26" t="s">
        <v>169</v>
      </c>
      <c r="C34" s="9"/>
      <c r="D34" s="9"/>
      <c r="E34" s="9"/>
      <c r="F34" s="9"/>
      <c r="G34" s="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hidden="1" customHeight="1" x14ac:dyDescent="0.2">
      <c r="A35" s="9" t="s">
        <v>170</v>
      </c>
      <c r="B35" s="26" t="s">
        <v>171</v>
      </c>
      <c r="C35" s="9"/>
      <c r="D35" s="9"/>
      <c r="E35" s="9"/>
      <c r="F35" s="9"/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hidden="1" customHeight="1" x14ac:dyDescent="0.2">
      <c r="A36" s="9" t="s">
        <v>172</v>
      </c>
      <c r="B36" s="26" t="s">
        <v>173</v>
      </c>
      <c r="C36" s="9"/>
      <c r="D36" s="9"/>
      <c r="E36" s="9"/>
      <c r="F36" s="9"/>
      <c r="G36" s="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hidden="1" customHeight="1" x14ac:dyDescent="0.2">
      <c r="A37" s="9" t="s">
        <v>174</v>
      </c>
      <c r="B37" s="26" t="s">
        <v>175</v>
      </c>
      <c r="C37" s="9"/>
      <c r="D37" s="9"/>
      <c r="E37" s="9"/>
      <c r="F37" s="9"/>
      <c r="G37" s="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hidden="1" customHeight="1" x14ac:dyDescent="0.2">
      <c r="A38" s="9" t="s">
        <v>180</v>
      </c>
      <c r="B38" s="26" t="s">
        <v>181</v>
      </c>
      <c r="C38" s="9"/>
      <c r="D38" s="9"/>
      <c r="E38" s="9"/>
      <c r="F38" s="9"/>
      <c r="G38" s="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7.25" customHeight="1" x14ac:dyDescent="0.25">
      <c r="A39" s="18" t="s">
        <v>184</v>
      </c>
      <c r="B39" s="30" t="s">
        <v>230</v>
      </c>
      <c r="C39" s="51" t="e">
        <f>SUM('3.felh'!#REF!)</f>
        <v>#REF!</v>
      </c>
      <c r="D39" s="51">
        <f>SUM('1.Bev-kiad.'!C39)</f>
        <v>40000</v>
      </c>
      <c r="E39" s="51">
        <v>0</v>
      </c>
      <c r="F39" s="51">
        <v>0</v>
      </c>
      <c r="G39" s="51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2.75" hidden="1" customHeight="1" x14ac:dyDescent="0.2">
      <c r="A40" s="9" t="s">
        <v>185</v>
      </c>
      <c r="B40" s="26" t="s">
        <v>190</v>
      </c>
      <c r="C40" s="9"/>
      <c r="D40" s="9"/>
      <c r="E40" s="9"/>
      <c r="F40" s="9"/>
      <c r="G40" s="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hidden="1" customHeight="1" x14ac:dyDescent="0.2">
      <c r="A41" s="9" t="s">
        <v>186</v>
      </c>
      <c r="B41" s="26" t="s">
        <v>191</v>
      </c>
      <c r="C41" s="9"/>
      <c r="D41" s="9"/>
      <c r="E41" s="9"/>
      <c r="F41" s="9"/>
      <c r="G41" s="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hidden="1" customHeight="1" x14ac:dyDescent="0.2">
      <c r="A42" s="9" t="s">
        <v>187</v>
      </c>
      <c r="B42" s="26" t="s">
        <v>192</v>
      </c>
      <c r="C42" s="9"/>
      <c r="D42" s="9"/>
      <c r="E42" s="9"/>
      <c r="F42" s="9"/>
      <c r="G42" s="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hidden="1" customHeight="1" x14ac:dyDescent="0.2">
      <c r="A43" s="9" t="s">
        <v>188</v>
      </c>
      <c r="B43" s="26" t="s">
        <v>193</v>
      </c>
      <c r="C43" s="9"/>
      <c r="D43" s="9"/>
      <c r="E43" s="9"/>
      <c r="F43" s="9"/>
      <c r="G43" s="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hidden="1" customHeight="1" x14ac:dyDescent="0.2">
      <c r="A44" s="9" t="s">
        <v>189</v>
      </c>
      <c r="B44" s="26" t="s">
        <v>194</v>
      </c>
      <c r="C44" s="9"/>
      <c r="D44" s="9"/>
      <c r="E44" s="9"/>
      <c r="F44" s="9"/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8" customHeight="1" x14ac:dyDescent="0.25">
      <c r="A45" s="18" t="s">
        <v>195</v>
      </c>
      <c r="B45" s="30" t="s">
        <v>231</v>
      </c>
      <c r="C45" s="51" t="e">
        <f>SUM('2.működés'!#REF!)</f>
        <v>#REF!</v>
      </c>
      <c r="D45" s="51">
        <f>SUM('1.Bev-kiad.'!C45)</f>
        <v>17000</v>
      </c>
      <c r="E45" s="51">
        <v>18000</v>
      </c>
      <c r="F45" s="51">
        <v>20000</v>
      </c>
      <c r="G45" s="51">
        <v>23000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2.75" hidden="1" customHeight="1" x14ac:dyDescent="0.2">
      <c r="A46" s="9" t="s">
        <v>201</v>
      </c>
      <c r="B46" s="26" t="s">
        <v>198</v>
      </c>
      <c r="C46" s="9"/>
      <c r="D46" s="9"/>
      <c r="E46" s="9"/>
      <c r="F46" s="9"/>
      <c r="G46" s="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hidden="1" customHeight="1" x14ac:dyDescent="0.2">
      <c r="A47" s="9" t="s">
        <v>202</v>
      </c>
      <c r="B47" s="26" t="s">
        <v>199</v>
      </c>
      <c r="C47" s="9"/>
      <c r="D47" s="9"/>
      <c r="E47" s="9"/>
      <c r="F47" s="9"/>
      <c r="G47" s="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hidden="1" customHeight="1" x14ac:dyDescent="0.2">
      <c r="A48" s="9" t="s">
        <v>203</v>
      </c>
      <c r="B48" s="26" t="s">
        <v>200</v>
      </c>
      <c r="C48" s="9"/>
      <c r="D48" s="9"/>
      <c r="E48" s="9"/>
      <c r="F48" s="9"/>
      <c r="G48" s="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8" customHeight="1" x14ac:dyDescent="0.25">
      <c r="A49" s="18" t="s">
        <v>196</v>
      </c>
      <c r="B49" s="30" t="s">
        <v>232</v>
      </c>
      <c r="C49" s="51" t="e">
        <f>SUM('3.felh'!#REF!)</f>
        <v>#REF!</v>
      </c>
      <c r="D49" s="51">
        <f>SUM('3.felh'!D24)</f>
        <v>10300</v>
      </c>
      <c r="E49" s="51"/>
      <c r="F49" s="51"/>
      <c r="G49" s="5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hidden="1" customHeight="1" x14ac:dyDescent="0.25">
      <c r="A50" s="9" t="s">
        <v>204</v>
      </c>
      <c r="B50" s="26" t="s">
        <v>207</v>
      </c>
      <c r="C50" s="51"/>
      <c r="D50" s="51"/>
      <c r="E50" s="51"/>
      <c r="F50" s="51"/>
      <c r="G50" s="5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hidden="1" customHeight="1" x14ac:dyDescent="0.25">
      <c r="A51" s="9" t="s">
        <v>205</v>
      </c>
      <c r="B51" s="26" t="s">
        <v>208</v>
      </c>
      <c r="C51" s="51"/>
      <c r="D51" s="51"/>
      <c r="E51" s="51"/>
      <c r="F51" s="51"/>
      <c r="G51" s="5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hidden="1" customHeight="1" thickBot="1" x14ac:dyDescent="0.3">
      <c r="A52" s="9" t="s">
        <v>206</v>
      </c>
      <c r="B52" s="26" t="s">
        <v>209</v>
      </c>
      <c r="C52" s="51"/>
      <c r="D52" s="51"/>
      <c r="E52" s="51"/>
      <c r="F52" s="51"/>
      <c r="G52" s="5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2.5" customHeight="1" x14ac:dyDescent="0.2">
      <c r="A53" s="32" t="s">
        <v>197</v>
      </c>
      <c r="B53" s="204" t="s">
        <v>372</v>
      </c>
      <c r="C53" s="243" t="e">
        <f>SUM(C54+C59)</f>
        <v>#REF!</v>
      </c>
      <c r="D53" s="243">
        <f>SUM(D54+D59)</f>
        <v>999900</v>
      </c>
      <c r="E53" s="243">
        <f>SUM(E54+E59)</f>
        <v>250000</v>
      </c>
      <c r="F53" s="243">
        <f>SUM(F54+F59)</f>
        <v>270000</v>
      </c>
      <c r="G53" s="243">
        <f>SUM(G54+G59)</f>
        <v>260000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customHeight="1" x14ac:dyDescent="0.25">
      <c r="A54" s="32"/>
      <c r="B54" s="30" t="s">
        <v>456</v>
      </c>
      <c r="C54" s="51" t="e">
        <f>SUM(C55)+C58</f>
        <v>#REF!</v>
      </c>
      <c r="D54" s="51">
        <f>SUM(D55)+D58</f>
        <v>999900</v>
      </c>
      <c r="E54" s="51">
        <f>SUM(E55)+E58</f>
        <v>250000</v>
      </c>
      <c r="F54" s="51">
        <f>SUM(F55)+F58</f>
        <v>270000</v>
      </c>
      <c r="G54" s="51">
        <f>SUM(G55)+G58</f>
        <v>260000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 x14ac:dyDescent="0.2">
      <c r="A55" s="9"/>
      <c r="B55" s="39" t="s">
        <v>457</v>
      </c>
      <c r="C55" s="15" t="e">
        <f>SUM(C56:C57)</f>
        <v>#REF!</v>
      </c>
      <c r="D55" s="15">
        <f>SUM(D56:D57)</f>
        <v>999900</v>
      </c>
      <c r="E55" s="15">
        <f>SUM(E56:E57)</f>
        <v>250000</v>
      </c>
      <c r="F55" s="15">
        <f>SUM(F56:F57)</f>
        <v>270000</v>
      </c>
      <c r="G55" s="15">
        <f>SUM(G56:G57)</f>
        <v>260000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 x14ac:dyDescent="0.2">
      <c r="A56" s="9"/>
      <c r="B56" s="39" t="s">
        <v>445</v>
      </c>
      <c r="C56" s="16" t="e">
        <f>SUM('2.működés'!#REF!)</f>
        <v>#REF!</v>
      </c>
      <c r="D56" s="16">
        <f>SUM('1.Bev-kiad.'!C56)</f>
        <v>270035</v>
      </c>
      <c r="E56" s="16">
        <v>180000</v>
      </c>
      <c r="F56" s="16">
        <v>190000</v>
      </c>
      <c r="G56" s="16">
        <v>180000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 x14ac:dyDescent="0.2">
      <c r="A57" s="9"/>
      <c r="B57" s="39" t="s">
        <v>446</v>
      </c>
      <c r="C57" s="16" t="e">
        <f>'3.felh'!#REF!</f>
        <v>#REF!</v>
      </c>
      <c r="D57" s="16">
        <f>SUM('1.Bev-kiad.'!C57)</f>
        <v>729865</v>
      </c>
      <c r="E57" s="16">
        <v>70000</v>
      </c>
      <c r="F57" s="16">
        <v>80000</v>
      </c>
      <c r="G57" s="16">
        <v>80000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 x14ac:dyDescent="0.2">
      <c r="A58" s="9"/>
      <c r="B58" s="39" t="s">
        <v>529</v>
      </c>
      <c r="C58" s="16" t="e">
        <f>'2.működés'!#REF!</f>
        <v>#REF!</v>
      </c>
      <c r="D58" s="16">
        <f>'2.működés'!C105</f>
        <v>0</v>
      </c>
      <c r="E58" s="16">
        <f>'2.működés'!D105</f>
        <v>0</v>
      </c>
      <c r="F58" s="16">
        <f>'2.működés'!E105</f>
        <v>0</v>
      </c>
      <c r="G58" s="16">
        <f>'2.működés'!F105</f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 x14ac:dyDescent="0.25">
      <c r="A59" s="9"/>
      <c r="B59" s="30" t="s">
        <v>454</v>
      </c>
      <c r="C59" s="51" t="e">
        <f>SUM(C60:C61)</f>
        <v>#REF!</v>
      </c>
      <c r="D59" s="51">
        <f>SUM(D60:D61)</f>
        <v>0</v>
      </c>
      <c r="E59" s="51">
        <f>SUM(E60:E61)</f>
        <v>0</v>
      </c>
      <c r="F59" s="51">
        <f>SUM(F60:F61)</f>
        <v>0</v>
      </c>
      <c r="G59" s="51">
        <f>SUM(G60:G61)</f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 x14ac:dyDescent="0.2">
      <c r="A60" s="9"/>
      <c r="B60" s="9" t="s">
        <v>254</v>
      </c>
      <c r="C60" s="17"/>
      <c r="D60" s="17"/>
      <c r="E60" s="17"/>
      <c r="F60" s="17"/>
      <c r="G60" s="1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 thickBot="1" x14ac:dyDescent="0.25">
      <c r="A61" s="14"/>
      <c r="B61" s="194" t="s">
        <v>255</v>
      </c>
      <c r="C61" s="202" t="e">
        <f>'3.felh'!#REF!</f>
        <v>#REF!</v>
      </c>
      <c r="D61" s="202">
        <f>'3.felh'!C33</f>
        <v>0</v>
      </c>
      <c r="E61" s="202"/>
      <c r="F61" s="202"/>
      <c r="G61" s="20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 thickBot="1" x14ac:dyDescent="0.4">
      <c r="A62" s="268"/>
      <c r="B62" s="269" t="s">
        <v>396</v>
      </c>
      <c r="C62" s="212" t="e">
        <f>SUM(C7+C53)</f>
        <v>#REF!</v>
      </c>
      <c r="D62" s="212">
        <f>SUM(D7+D53)</f>
        <v>1898350</v>
      </c>
      <c r="E62" s="212">
        <f>SUM(E7+E53)</f>
        <v>1134000</v>
      </c>
      <c r="F62" s="212">
        <f>SUM(F7+F53)</f>
        <v>1157000</v>
      </c>
      <c r="G62" s="212">
        <f>SUM(G7+G53)</f>
        <v>1153000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0.25" customHeight="1" x14ac:dyDescent="0.25">
      <c r="A63" s="170" t="s">
        <v>374</v>
      </c>
      <c r="B63" s="287" t="s">
        <v>362</v>
      </c>
      <c r="C63" s="225" t="e">
        <f>SUM(C64+C69)</f>
        <v>#REF!</v>
      </c>
      <c r="D63" s="225">
        <f>SUM(D64+D69)</f>
        <v>1863198</v>
      </c>
      <c r="E63" s="225">
        <f>SUM(E64+E69)</f>
        <v>1099844</v>
      </c>
      <c r="F63" s="225">
        <f>SUM(F64+F69)</f>
        <v>1122844</v>
      </c>
      <c r="G63" s="225">
        <f>SUM(G64+G69)</f>
        <v>1118844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8" customHeight="1" x14ac:dyDescent="0.25">
      <c r="A64" s="18" t="s">
        <v>210</v>
      </c>
      <c r="B64" s="229" t="s">
        <v>8</v>
      </c>
      <c r="C64" s="226" t="e">
        <f>SUM(C65:C67)</f>
        <v>#REF!</v>
      </c>
      <c r="D64" s="226">
        <f>SUM(D65:D67)</f>
        <v>1000160</v>
      </c>
      <c r="E64" s="226">
        <f>SUM(E65:E67)</f>
        <v>863800</v>
      </c>
      <c r="F64" s="226">
        <f>SUM(F65:F67)</f>
        <v>895800</v>
      </c>
      <c r="G64" s="226">
        <f>SUM(G65:G67)</f>
        <v>906800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">
      <c r="A65" s="9"/>
      <c r="B65" s="29" t="s">
        <v>9</v>
      </c>
      <c r="C65" s="96" t="e">
        <f>SUM('8.Önk.'!#REF!)</f>
        <v>#REF!</v>
      </c>
      <c r="D65" s="96">
        <f>SUM('1.Bev-kiad.'!C65)</f>
        <v>744247</v>
      </c>
      <c r="E65" s="96">
        <v>600000</v>
      </c>
      <c r="F65" s="96">
        <v>610000</v>
      </c>
      <c r="G65" s="96">
        <v>620000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customHeight="1" thickBot="1" x14ac:dyDescent="0.25">
      <c r="A66" s="9"/>
      <c r="B66" s="25" t="s">
        <v>493</v>
      </c>
      <c r="C66" s="152" t="e">
        <f>SUM('9.Hivatal'!#REF!)</f>
        <v>#REF!</v>
      </c>
      <c r="D66" s="152">
        <f>SUM('1.Bev-kiad.'!C66)</f>
        <v>225950</v>
      </c>
      <c r="E66" s="152">
        <v>225000</v>
      </c>
      <c r="F66" s="152">
        <v>230000</v>
      </c>
      <c r="G66" s="152">
        <v>235000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s="89" customFormat="1" ht="13.5" customHeight="1" thickBot="1" x14ac:dyDescent="0.25">
      <c r="A67" s="25"/>
      <c r="B67" s="260" t="s">
        <v>213</v>
      </c>
      <c r="C67" s="363" t="e">
        <f>SUM('2.működés'!#REF!)</f>
        <v>#REF!</v>
      </c>
      <c r="D67" s="710">
        <f>SUM('1.Bev-kiad.'!C67)</f>
        <v>29963</v>
      </c>
      <c r="E67" s="710">
        <v>38800</v>
      </c>
      <c r="F67" s="710">
        <v>55800</v>
      </c>
      <c r="G67" s="710">
        <v>51800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</row>
    <row r="68" spans="1:21" s="89" customFormat="1" ht="12.75" hidden="1" customHeight="1" x14ac:dyDescent="0.2">
      <c r="A68" s="25"/>
      <c r="B68" s="25" t="s">
        <v>455</v>
      </c>
      <c r="C68" s="336"/>
      <c r="D68" s="336"/>
      <c r="E68" s="336"/>
      <c r="F68" s="336"/>
      <c r="G68" s="336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</row>
    <row r="69" spans="1:21" s="89" customFormat="1" ht="18" customHeight="1" x14ac:dyDescent="0.25">
      <c r="A69" s="29" t="s">
        <v>211</v>
      </c>
      <c r="B69" s="229" t="s">
        <v>233</v>
      </c>
      <c r="C69" s="44" t="e">
        <f>SUM(C70:C72)</f>
        <v>#REF!</v>
      </c>
      <c r="D69" s="44">
        <f>SUM(D70:D72)</f>
        <v>863038</v>
      </c>
      <c r="E69" s="44">
        <f>SUM(E70:E72)</f>
        <v>236044</v>
      </c>
      <c r="F69" s="44">
        <f>SUM(F70:F72)</f>
        <v>227044</v>
      </c>
      <c r="G69" s="44">
        <f>SUM(G70:G72)</f>
        <v>212044</v>
      </c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</row>
    <row r="70" spans="1:21" s="232" customFormat="1" ht="13.5" customHeight="1" x14ac:dyDescent="0.2">
      <c r="A70" s="25"/>
      <c r="B70" s="25" t="s">
        <v>355</v>
      </c>
      <c r="C70" s="16" t="e">
        <f>SUM('3.felh'!#REF!)</f>
        <v>#REF!</v>
      </c>
      <c r="D70" s="16">
        <f>SUM('1.Bev-kiad.'!C70)</f>
        <v>221251</v>
      </c>
      <c r="E70" s="16">
        <v>100000</v>
      </c>
      <c r="F70" s="16">
        <v>100000</v>
      </c>
      <c r="G70" s="16">
        <v>102000</v>
      </c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</row>
    <row r="71" spans="1:21" s="232" customFormat="1" ht="13.5" customHeight="1" x14ac:dyDescent="0.2">
      <c r="A71" s="25"/>
      <c r="B71" s="25" t="s">
        <v>356</v>
      </c>
      <c r="C71" s="16" t="e">
        <f>SUM('3.felh'!#REF!)</f>
        <v>#REF!</v>
      </c>
      <c r="D71" s="16">
        <f>SUM('1.Bev-kiad.'!C71)</f>
        <v>587652</v>
      </c>
      <c r="E71" s="16">
        <v>120000</v>
      </c>
      <c r="F71" s="16">
        <v>97000</v>
      </c>
      <c r="G71" s="16">
        <v>80000</v>
      </c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</row>
    <row r="72" spans="1:21" s="232" customFormat="1" ht="13.5" customHeight="1" x14ac:dyDescent="0.2">
      <c r="A72" s="25"/>
      <c r="B72" s="25" t="s">
        <v>357</v>
      </c>
      <c r="C72" s="16" t="e">
        <f>SUM(C73:C74)</f>
        <v>#REF!</v>
      </c>
      <c r="D72" s="16">
        <f>SUM(D73:D74)</f>
        <v>54135</v>
      </c>
      <c r="E72" s="16">
        <f>SUM(E73:E74)</f>
        <v>16044</v>
      </c>
      <c r="F72" s="16">
        <f>SUM(F73:F74)</f>
        <v>30044</v>
      </c>
      <c r="G72" s="16">
        <f>SUM(G73:G74)</f>
        <v>30044</v>
      </c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</row>
    <row r="73" spans="1:21" s="232" customFormat="1" ht="13.5" customHeight="1" thickBot="1" x14ac:dyDescent="0.25">
      <c r="A73" s="25"/>
      <c r="B73" s="25" t="s">
        <v>368</v>
      </c>
      <c r="C73" s="202" t="e">
        <f>SUM('3.felh'!#REF!)</f>
        <v>#REF!</v>
      </c>
      <c r="D73" s="202">
        <f>SUM('3.felh'!C74)</f>
        <v>0</v>
      </c>
      <c r="E73" s="202"/>
      <c r="F73" s="202"/>
      <c r="G73" s="202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</row>
    <row r="74" spans="1:21" s="232" customFormat="1" ht="13.5" customHeight="1" thickBot="1" x14ac:dyDescent="0.25">
      <c r="A74" s="25"/>
      <c r="B74" s="25" t="s">
        <v>369</v>
      </c>
      <c r="C74" s="363" t="e">
        <f>SUM('3.felh'!#REF!)</f>
        <v>#REF!</v>
      </c>
      <c r="D74" s="16">
        <f>SUM('1.Bev-kiad.'!C74)</f>
        <v>54135</v>
      </c>
      <c r="E74" s="16">
        <f>(30000+44-14000)</f>
        <v>16044</v>
      </c>
      <c r="F74" s="16">
        <v>30044</v>
      </c>
      <c r="G74" s="16">
        <v>30044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</row>
    <row r="75" spans="1:21" s="59" customFormat="1" ht="22.5" customHeight="1" x14ac:dyDescent="0.25">
      <c r="A75" s="18" t="s">
        <v>212</v>
      </c>
      <c r="B75" s="204" t="s">
        <v>373</v>
      </c>
      <c r="C75" s="227" t="e">
        <f>SUM(C76+C80+C81)</f>
        <v>#REF!</v>
      </c>
      <c r="D75" s="227">
        <f>SUM(D76+D80+D81)</f>
        <v>35152</v>
      </c>
      <c r="E75" s="227">
        <f>SUM(E76+E80+E81)</f>
        <v>34156</v>
      </c>
      <c r="F75" s="227">
        <f>SUM(F76+F80+F81)</f>
        <v>34156</v>
      </c>
      <c r="G75" s="227">
        <f>SUM(G76+G80+G81)</f>
        <v>34156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s="59" customFormat="1" ht="15" customHeight="1" x14ac:dyDescent="0.25">
      <c r="A76" s="18"/>
      <c r="B76" s="224" t="s">
        <v>401</v>
      </c>
      <c r="C76" s="187" t="e">
        <f>SUM(C77)</f>
        <v>#REF!</v>
      </c>
      <c r="D76" s="187">
        <f>SUM(D77:D79)</f>
        <v>35152</v>
      </c>
      <c r="E76" s="187">
        <f>SUM(E77:E79)</f>
        <v>34156</v>
      </c>
      <c r="F76" s="187">
        <f>SUM(F77:F79)</f>
        <v>34156</v>
      </c>
      <c r="G76" s="187">
        <f>SUM(G77:G79)</f>
        <v>34156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s="59" customFormat="1" ht="12.75" customHeight="1" x14ac:dyDescent="0.2">
      <c r="A77" s="18" t="s">
        <v>408</v>
      </c>
      <c r="B77" s="9" t="s">
        <v>429</v>
      </c>
      <c r="C77" s="16" t="e">
        <f>SUM('2.működés'!#REF!)</f>
        <v>#REF!</v>
      </c>
      <c r="D77" s="16">
        <f>SUM('1.Bev-kiad.'!C77)</f>
        <v>14996</v>
      </c>
      <c r="E77" s="16">
        <v>14000</v>
      </c>
      <c r="F77" s="16">
        <v>14000</v>
      </c>
      <c r="G77" s="16">
        <v>14000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s="59" customFormat="1" ht="15.75" hidden="1" x14ac:dyDescent="0.25">
      <c r="A78" s="18"/>
      <c r="B78" s="278" t="s">
        <v>402</v>
      </c>
      <c r="C78" s="52"/>
      <c r="D78" s="52"/>
      <c r="E78" s="52"/>
      <c r="F78" s="52"/>
      <c r="G78" s="5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s="59" customFormat="1" ht="12.75" customHeight="1" x14ac:dyDescent="0.25">
      <c r="A79" s="18"/>
      <c r="B79" s="278" t="s">
        <v>970</v>
      </c>
      <c r="C79" s="52"/>
      <c r="D79" s="17">
        <f>SUM('3.felh'!D80)</f>
        <v>20156</v>
      </c>
      <c r="E79" s="16">
        <v>20156</v>
      </c>
      <c r="F79" s="16">
        <v>20156</v>
      </c>
      <c r="G79" s="16">
        <v>20156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s="59" customFormat="1" ht="15" customHeight="1" x14ac:dyDescent="0.25">
      <c r="A80" s="18"/>
      <c r="B80" s="224" t="s">
        <v>403</v>
      </c>
      <c r="C80" s="52"/>
      <c r="D80" s="52"/>
      <c r="E80" s="52"/>
      <c r="F80" s="52"/>
      <c r="G80" s="5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s="59" customFormat="1" ht="15" customHeight="1" thickBot="1" x14ac:dyDescent="0.3">
      <c r="A81" s="28"/>
      <c r="B81" s="221" t="s">
        <v>404</v>
      </c>
      <c r="C81" s="203"/>
      <c r="D81" s="203"/>
      <c r="E81" s="203"/>
      <c r="F81" s="203"/>
      <c r="G81" s="20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1.75" customHeight="1" thickBot="1" x14ac:dyDescent="0.4">
      <c r="A82" s="332"/>
      <c r="B82" s="269" t="s">
        <v>55</v>
      </c>
      <c r="C82" s="212" t="e">
        <f>SUM(C63+C75)</f>
        <v>#REF!</v>
      </c>
      <c r="D82" s="212">
        <f>SUM(D63+D75)</f>
        <v>1898350</v>
      </c>
      <c r="E82" s="212">
        <f>SUM(E63+E75)</f>
        <v>1134000</v>
      </c>
      <c r="F82" s="212">
        <f>SUM(F63+F75)</f>
        <v>1157000</v>
      </c>
      <c r="G82" s="212">
        <f>SUM(G63+G75)</f>
        <v>1153000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4.25" hidden="1" customHeight="1" x14ac:dyDescent="0.2">
      <c r="C83" s="8" t="e">
        <f>SUM(C62-C82)</f>
        <v>#REF!</v>
      </c>
      <c r="D83" s="8">
        <f>SUM(D62-D82)</f>
        <v>0</v>
      </c>
      <c r="E83" s="8"/>
      <c r="F83" s="8"/>
      <c r="G83" s="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hidden="1" customHeight="1" x14ac:dyDescent="0.2">
      <c r="B84" s="2" t="s">
        <v>504</v>
      </c>
      <c r="C84" s="8" t="e">
        <f>SUM(C67+C74)</f>
        <v>#REF!</v>
      </c>
      <c r="D84" s="8">
        <f>SUM(D67+D74)</f>
        <v>84098</v>
      </c>
      <c r="E84" s="8"/>
      <c r="F84" s="8"/>
      <c r="G84" s="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 x14ac:dyDescent="0.2">
      <c r="C85" s="8"/>
      <c r="D85" s="8">
        <f>SUM(D62-D82)</f>
        <v>0</v>
      </c>
      <c r="E85" s="8">
        <f>SUM(E62-E82)</f>
        <v>0</v>
      </c>
      <c r="F85" s="8">
        <f>SUM(F62-F82)</f>
        <v>0</v>
      </c>
      <c r="G85" s="8">
        <f>SUM(G62-G82)</f>
        <v>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2:21" ht="15.7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2:21" ht="15.7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2:21" ht="15.7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2:21" ht="15.7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2:21" ht="15.7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2:21" ht="15.7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2:21" ht="15.7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2:21" ht="15.7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2:21" ht="15.7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2:21" ht="15.7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2:21" ht="15.7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2:21" ht="15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2:21" ht="15.7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2:21" ht="15.7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2:21" ht="15.7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2:21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2:21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2:21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2:21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2:21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2:21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2:21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2:21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2:21" ht="15.7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2:21" ht="15.75" customHeight="1" x14ac:dyDescent="0.2">
      <c r="B168" s="2"/>
      <c r="C168" s="37"/>
      <c r="D168" s="37"/>
      <c r="E168" s="37"/>
      <c r="F168" s="37"/>
      <c r="G168" s="3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2:21" ht="15.75" customHeight="1" x14ac:dyDescent="0.2">
      <c r="B169" s="2"/>
      <c r="C169" s="37"/>
      <c r="D169" s="37"/>
      <c r="E169" s="37"/>
      <c r="F169" s="37"/>
      <c r="G169" s="3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2:21" ht="15.75" customHeight="1" x14ac:dyDescent="0.2">
      <c r="B170" s="2"/>
      <c r="C170" s="37"/>
      <c r="D170" s="37"/>
      <c r="E170" s="37"/>
      <c r="F170" s="37"/>
      <c r="G170" s="3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2:21" ht="15.75" customHeight="1" x14ac:dyDescent="0.2">
      <c r="B171" s="2"/>
      <c r="C171" s="37"/>
      <c r="D171" s="37"/>
      <c r="E171" s="37"/>
      <c r="F171" s="37"/>
      <c r="G171" s="3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2:21" ht="15.75" customHeight="1" x14ac:dyDescent="0.2">
      <c r="B172" s="2"/>
      <c r="C172" s="37"/>
      <c r="D172" s="37"/>
      <c r="E172" s="37"/>
      <c r="F172" s="37"/>
      <c r="G172" s="3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2:21" ht="15.75" customHeight="1" x14ac:dyDescent="0.2">
      <c r="B173" s="2"/>
      <c r="C173" s="37"/>
      <c r="D173" s="37"/>
      <c r="E173" s="37"/>
      <c r="F173" s="37"/>
      <c r="G173" s="3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2:21" ht="15.75" customHeight="1" x14ac:dyDescent="0.2">
      <c r="B174" s="2"/>
      <c r="C174" s="37"/>
      <c r="D174" s="37"/>
      <c r="E174" s="37"/>
      <c r="F174" s="37"/>
      <c r="G174" s="3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2:21" ht="15.75" customHeight="1" x14ac:dyDescent="0.2">
      <c r="B175" s="2"/>
      <c r="C175" s="37"/>
      <c r="D175" s="37"/>
      <c r="E175" s="37"/>
      <c r="F175" s="37"/>
      <c r="G175" s="3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2:21" ht="15.75" customHeight="1" x14ac:dyDescent="0.2">
      <c r="B176" s="2"/>
      <c r="C176" s="37"/>
      <c r="D176" s="37"/>
      <c r="E176" s="37"/>
      <c r="F176" s="37"/>
      <c r="G176" s="3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2:21" ht="15.75" customHeight="1" x14ac:dyDescent="0.2">
      <c r="B177" s="2"/>
      <c r="C177" s="37"/>
      <c r="D177" s="37"/>
      <c r="E177" s="37"/>
      <c r="F177" s="37"/>
      <c r="G177" s="3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2:21" ht="15.75" customHeight="1" x14ac:dyDescent="0.2">
      <c r="B178" s="2"/>
      <c r="C178" s="37"/>
      <c r="D178" s="37"/>
      <c r="E178" s="37"/>
      <c r="F178" s="37"/>
      <c r="G178" s="3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2:21" ht="15.75" customHeight="1" x14ac:dyDescent="0.2">
      <c r="B179" s="2"/>
      <c r="C179" s="37"/>
      <c r="D179" s="37"/>
      <c r="E179" s="37"/>
      <c r="F179" s="37"/>
      <c r="G179" s="3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2:21" ht="15.75" customHeight="1" x14ac:dyDescent="0.2">
      <c r="B180" s="2"/>
      <c r="C180" s="37"/>
      <c r="D180" s="37"/>
      <c r="E180" s="37"/>
      <c r="F180" s="37"/>
      <c r="G180" s="3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2:21" ht="15.75" customHeight="1" x14ac:dyDescent="0.2">
      <c r="B181" s="2"/>
      <c r="C181" s="37"/>
      <c r="D181" s="37"/>
      <c r="E181" s="37"/>
      <c r="F181" s="37"/>
      <c r="G181" s="3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2:21" ht="15.75" customHeight="1" x14ac:dyDescent="0.2">
      <c r="B182" s="2"/>
      <c r="C182" s="37"/>
      <c r="D182" s="37"/>
      <c r="E182" s="37"/>
      <c r="F182" s="37"/>
      <c r="G182" s="3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2:21" ht="15.75" customHeight="1" x14ac:dyDescent="0.2">
      <c r="B183" s="2"/>
      <c r="C183" s="37"/>
      <c r="D183" s="37"/>
      <c r="E183" s="37"/>
      <c r="F183" s="37"/>
      <c r="G183" s="3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2:21" ht="15.75" customHeight="1" x14ac:dyDescent="0.2">
      <c r="B184" s="2"/>
      <c r="C184" s="37"/>
      <c r="D184" s="37"/>
      <c r="E184" s="37"/>
      <c r="F184" s="37"/>
      <c r="G184" s="3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2:21" ht="15.75" customHeight="1" x14ac:dyDescent="0.2">
      <c r="B185" s="2"/>
      <c r="C185" s="37"/>
      <c r="D185" s="37"/>
      <c r="E185" s="37"/>
      <c r="F185" s="37"/>
      <c r="G185" s="3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2:21" ht="15.75" customHeight="1" x14ac:dyDescent="0.2">
      <c r="B186" s="2"/>
      <c r="C186" s="37"/>
      <c r="D186" s="37"/>
      <c r="E186" s="37"/>
      <c r="F186" s="37"/>
      <c r="G186" s="3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2:21" ht="15.75" customHeight="1" x14ac:dyDescent="0.2">
      <c r="B187" s="2"/>
      <c r="C187" s="37"/>
      <c r="D187" s="37"/>
      <c r="E187" s="37"/>
      <c r="F187" s="37"/>
      <c r="G187" s="3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2:21" ht="15.75" customHeight="1" x14ac:dyDescent="0.2">
      <c r="B188" s="2"/>
      <c r="C188" s="37"/>
      <c r="D188" s="37"/>
      <c r="E188" s="37"/>
      <c r="F188" s="37"/>
      <c r="G188" s="3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2:21" ht="15.75" customHeight="1" x14ac:dyDescent="0.2">
      <c r="B189" s="2"/>
      <c r="C189" s="37"/>
      <c r="D189" s="37"/>
      <c r="E189" s="37"/>
      <c r="F189" s="37"/>
      <c r="G189" s="3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2:21" ht="15.75" customHeight="1" x14ac:dyDescent="0.2">
      <c r="B190" s="2"/>
      <c r="C190" s="37"/>
      <c r="D190" s="37"/>
      <c r="E190" s="37"/>
      <c r="F190" s="37"/>
      <c r="G190" s="3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2:21" ht="15.75" customHeight="1" x14ac:dyDescent="0.2">
      <c r="B191" s="2"/>
      <c r="C191" s="37"/>
      <c r="D191" s="37"/>
      <c r="E191" s="37"/>
      <c r="F191" s="37"/>
      <c r="G191" s="3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2:21" ht="15.75" customHeight="1" x14ac:dyDescent="0.2">
      <c r="B192" s="2"/>
      <c r="C192" s="37"/>
      <c r="D192" s="37"/>
      <c r="E192" s="37"/>
      <c r="F192" s="37"/>
      <c r="G192" s="3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2:21" ht="15.75" customHeight="1" x14ac:dyDescent="0.2">
      <c r="B193" s="2"/>
      <c r="C193" s="37"/>
      <c r="D193" s="37"/>
      <c r="E193" s="37"/>
      <c r="F193" s="37"/>
      <c r="G193" s="3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2:21" ht="15.75" customHeight="1" x14ac:dyDescent="0.2">
      <c r="B194" s="2"/>
      <c r="C194" s="37"/>
      <c r="D194" s="37"/>
      <c r="E194" s="37"/>
      <c r="F194" s="37"/>
      <c r="G194" s="3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2:21" ht="15.75" customHeight="1" x14ac:dyDescent="0.2">
      <c r="B195" s="2"/>
      <c r="C195" s="37"/>
      <c r="D195" s="37"/>
      <c r="E195" s="37"/>
      <c r="F195" s="37"/>
      <c r="G195" s="3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2:21" ht="15.75" customHeight="1" x14ac:dyDescent="0.2">
      <c r="B196" s="2"/>
      <c r="C196" s="37"/>
      <c r="D196" s="37"/>
      <c r="E196" s="37"/>
      <c r="F196" s="37"/>
      <c r="G196" s="3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2:21" ht="15.75" customHeight="1" x14ac:dyDescent="0.2">
      <c r="B197" s="2"/>
      <c r="C197" s="37"/>
      <c r="D197" s="37"/>
      <c r="E197" s="37"/>
      <c r="F197" s="37"/>
      <c r="G197" s="3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2:21" ht="15.75" customHeight="1" x14ac:dyDescent="0.2">
      <c r="B198" s="2"/>
      <c r="C198" s="37"/>
      <c r="D198" s="37"/>
      <c r="E198" s="37"/>
      <c r="F198" s="37"/>
      <c r="G198" s="3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2:21" ht="15.75" customHeight="1" x14ac:dyDescent="0.2">
      <c r="B199" s="2"/>
      <c r="C199" s="37"/>
      <c r="D199" s="37"/>
      <c r="E199" s="37"/>
      <c r="F199" s="37"/>
      <c r="G199" s="3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2:21" ht="15.75" customHeight="1" x14ac:dyDescent="0.2">
      <c r="B200" s="2"/>
      <c r="C200" s="37"/>
      <c r="D200" s="37"/>
      <c r="E200" s="37"/>
      <c r="F200" s="37"/>
      <c r="G200" s="3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2:21" ht="15.75" customHeight="1" x14ac:dyDescent="0.2">
      <c r="B201" s="2"/>
      <c r="C201" s="37"/>
      <c r="D201" s="37"/>
      <c r="E201" s="37"/>
      <c r="F201" s="37"/>
      <c r="G201" s="3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2:21" ht="15.75" customHeight="1" x14ac:dyDescent="0.2">
      <c r="B202" s="2"/>
      <c r="C202" s="37"/>
      <c r="D202" s="37"/>
      <c r="E202" s="37"/>
      <c r="F202" s="37"/>
      <c r="G202" s="3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2:21" ht="15.75" customHeight="1" x14ac:dyDescent="0.2">
      <c r="B203" s="2"/>
      <c r="C203" s="37"/>
      <c r="D203" s="37"/>
      <c r="E203" s="37"/>
      <c r="F203" s="37"/>
      <c r="G203" s="3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2:21" ht="15.75" customHeight="1" x14ac:dyDescent="0.2">
      <c r="B204" s="2"/>
      <c r="C204" s="37"/>
      <c r="D204" s="37"/>
      <c r="E204" s="37"/>
      <c r="F204" s="37"/>
      <c r="G204" s="3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2:21" ht="15.75" customHeight="1" x14ac:dyDescent="0.2">
      <c r="B205" s="2"/>
      <c r="C205" s="37"/>
      <c r="D205" s="37"/>
      <c r="E205" s="37"/>
      <c r="F205" s="37"/>
      <c r="G205" s="3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2:21" ht="15.75" customHeight="1" x14ac:dyDescent="0.2">
      <c r="B206" s="2"/>
      <c r="C206" s="37"/>
      <c r="D206" s="37"/>
      <c r="E206" s="37"/>
      <c r="F206" s="37"/>
      <c r="G206" s="3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2:21" ht="15.75" customHeight="1" x14ac:dyDescent="0.2">
      <c r="B207" s="2"/>
      <c r="C207" s="37"/>
      <c r="D207" s="37"/>
      <c r="E207" s="37"/>
      <c r="F207" s="37"/>
      <c r="G207" s="3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2:21" ht="15.75" customHeight="1" x14ac:dyDescent="0.2">
      <c r="B208" s="2"/>
      <c r="C208" s="37"/>
      <c r="D208" s="37"/>
      <c r="E208" s="37"/>
      <c r="F208" s="37"/>
      <c r="G208" s="3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2:21" ht="15.75" customHeight="1" x14ac:dyDescent="0.2">
      <c r="B209" s="2"/>
      <c r="C209" s="37"/>
      <c r="D209" s="37"/>
      <c r="E209" s="37"/>
      <c r="F209" s="37"/>
      <c r="G209" s="3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2:21" ht="15.75" customHeight="1" x14ac:dyDescent="0.2">
      <c r="B210" s="2"/>
      <c r="C210" s="37"/>
      <c r="D210" s="37"/>
      <c r="E210" s="37"/>
      <c r="F210" s="37"/>
      <c r="G210" s="3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2:21" ht="15.75" customHeight="1" x14ac:dyDescent="0.2">
      <c r="B211" s="2"/>
      <c r="C211" s="37"/>
      <c r="D211" s="37"/>
      <c r="E211" s="37"/>
      <c r="F211" s="37"/>
      <c r="G211" s="3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2:21" ht="15.75" customHeight="1" x14ac:dyDescent="0.2">
      <c r="B212" s="2"/>
      <c r="C212" s="37"/>
      <c r="D212" s="37"/>
      <c r="E212" s="37"/>
      <c r="F212" s="37"/>
      <c r="G212" s="3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2:21" ht="15.75" customHeight="1" x14ac:dyDescent="0.2">
      <c r="B213" s="2"/>
      <c r="C213" s="37"/>
      <c r="D213" s="37"/>
      <c r="E213" s="37"/>
      <c r="F213" s="37"/>
      <c r="G213" s="3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2:21" ht="15.75" customHeight="1" x14ac:dyDescent="0.2">
      <c r="B214" s="2"/>
      <c r="C214" s="37"/>
      <c r="D214" s="37"/>
      <c r="E214" s="37"/>
      <c r="F214" s="37"/>
      <c r="G214" s="3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2:21" ht="15.75" customHeight="1" x14ac:dyDescent="0.2">
      <c r="B215" s="2"/>
      <c r="C215" s="37"/>
      <c r="D215" s="37"/>
      <c r="E215" s="37"/>
      <c r="F215" s="37"/>
      <c r="G215" s="3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2:21" ht="15.75" customHeight="1" x14ac:dyDescent="0.2">
      <c r="B216" s="2"/>
      <c r="C216" s="37"/>
      <c r="D216" s="37"/>
      <c r="E216" s="37"/>
      <c r="F216" s="37"/>
      <c r="G216" s="3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2:21" ht="15.75" customHeight="1" x14ac:dyDescent="0.2">
      <c r="B217" s="2"/>
      <c r="C217" s="37"/>
      <c r="D217" s="37"/>
      <c r="E217" s="37"/>
      <c r="F217" s="37"/>
      <c r="G217" s="3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2:21" ht="15.75" customHeight="1" x14ac:dyDescent="0.2">
      <c r="B218" s="2"/>
      <c r="C218" s="37"/>
      <c r="D218" s="37"/>
      <c r="E218" s="37"/>
      <c r="F218" s="37"/>
      <c r="G218" s="3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2:21" ht="15.75" customHeight="1" x14ac:dyDescent="0.2">
      <c r="B219" s="2"/>
      <c r="C219" s="37"/>
      <c r="D219" s="37"/>
      <c r="E219" s="37"/>
      <c r="F219" s="37"/>
      <c r="G219" s="3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2:21" ht="15.75" customHeight="1" x14ac:dyDescent="0.2">
      <c r="B220" s="2"/>
      <c r="C220" s="37"/>
      <c r="D220" s="37"/>
      <c r="E220" s="37"/>
      <c r="F220" s="37"/>
      <c r="G220" s="3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2:21" ht="15.75" customHeight="1" x14ac:dyDescent="0.2">
      <c r="B221" s="2"/>
      <c r="C221" s="37"/>
      <c r="D221" s="37"/>
      <c r="E221" s="37"/>
      <c r="F221" s="37"/>
      <c r="G221" s="3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2:21" ht="15.75" customHeight="1" x14ac:dyDescent="0.2">
      <c r="B222" s="2"/>
      <c r="C222" s="37"/>
      <c r="D222" s="37"/>
      <c r="E222" s="37"/>
      <c r="F222" s="37"/>
      <c r="G222" s="3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2:21" ht="15.75" customHeight="1" x14ac:dyDescent="0.2">
      <c r="B223" s="2"/>
      <c r="C223" s="37"/>
      <c r="D223" s="37"/>
      <c r="E223" s="37"/>
      <c r="F223" s="37"/>
      <c r="G223" s="3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2:21" ht="15.75" customHeight="1" x14ac:dyDescent="0.2">
      <c r="B224" s="2"/>
      <c r="C224" s="37"/>
      <c r="D224" s="37"/>
      <c r="E224" s="37"/>
      <c r="F224" s="37"/>
      <c r="G224" s="3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2:21" ht="15.75" customHeight="1" x14ac:dyDescent="0.2">
      <c r="B225" s="2"/>
      <c r="C225" s="37"/>
      <c r="D225" s="37"/>
      <c r="E225" s="37"/>
      <c r="F225" s="37"/>
      <c r="G225" s="3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2:21" ht="15.75" customHeight="1" x14ac:dyDescent="0.2">
      <c r="B226" s="2"/>
      <c r="C226" s="37"/>
      <c r="D226" s="37"/>
      <c r="E226" s="37"/>
      <c r="F226" s="37"/>
      <c r="G226" s="3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2:21" ht="15.75" customHeight="1" x14ac:dyDescent="0.2">
      <c r="B227" s="2"/>
      <c r="C227" s="37"/>
      <c r="D227" s="37"/>
      <c r="E227" s="37"/>
      <c r="F227" s="37"/>
      <c r="G227" s="3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2:21" ht="15.75" customHeight="1" x14ac:dyDescent="0.2">
      <c r="B228" s="2"/>
      <c r="C228" s="37"/>
      <c r="D228" s="37"/>
      <c r="E228" s="37"/>
      <c r="F228" s="37"/>
      <c r="G228" s="3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2:21" ht="15.75" customHeight="1" x14ac:dyDescent="0.2">
      <c r="B229" s="2"/>
      <c r="C229" s="37"/>
      <c r="D229" s="37"/>
      <c r="E229" s="37"/>
      <c r="F229" s="37"/>
      <c r="G229" s="3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2:21" ht="15.75" customHeight="1" x14ac:dyDescent="0.2">
      <c r="B230" s="2"/>
      <c r="C230" s="37"/>
      <c r="D230" s="37"/>
      <c r="E230" s="37"/>
      <c r="F230" s="37"/>
      <c r="G230" s="3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2:21" ht="15.75" customHeight="1" x14ac:dyDescent="0.2">
      <c r="B231" s="2"/>
      <c r="C231" s="37"/>
      <c r="D231" s="37"/>
      <c r="E231" s="37"/>
      <c r="F231" s="37"/>
      <c r="G231" s="3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2:21" ht="15.75" customHeight="1" x14ac:dyDescent="0.2">
      <c r="B232" s="2"/>
      <c r="C232" s="37"/>
      <c r="D232" s="37"/>
      <c r="E232" s="37"/>
      <c r="F232" s="37"/>
      <c r="G232" s="3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2:21" ht="15.75" customHeight="1" x14ac:dyDescent="0.2">
      <c r="B233" s="2"/>
      <c r="C233" s="37"/>
      <c r="D233" s="37"/>
      <c r="E233" s="37"/>
      <c r="F233" s="37"/>
      <c r="G233" s="3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2:21" ht="15.75" customHeight="1" x14ac:dyDescent="0.2">
      <c r="B234" s="2"/>
      <c r="C234" s="37"/>
      <c r="D234" s="37"/>
      <c r="E234" s="37"/>
      <c r="F234" s="37"/>
      <c r="G234" s="3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2:21" ht="15.75" customHeight="1" x14ac:dyDescent="0.2">
      <c r="B235" s="2"/>
      <c r="C235" s="37"/>
      <c r="D235" s="37"/>
      <c r="E235" s="37"/>
      <c r="F235" s="37"/>
      <c r="G235" s="3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2:21" ht="15.75" customHeight="1" x14ac:dyDescent="0.2">
      <c r="B236" s="2"/>
      <c r="C236" s="37"/>
      <c r="D236" s="37"/>
      <c r="E236" s="37"/>
      <c r="F236" s="37"/>
      <c r="G236" s="3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2:21" ht="15.75" customHeight="1" x14ac:dyDescent="0.2">
      <c r="B237" s="2"/>
      <c r="C237" s="37"/>
      <c r="D237" s="37"/>
      <c r="E237" s="37"/>
      <c r="F237" s="37"/>
      <c r="G237" s="3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2:21" ht="15.75" customHeight="1" x14ac:dyDescent="0.2">
      <c r="B238" s="2"/>
      <c r="C238" s="37"/>
      <c r="D238" s="37"/>
      <c r="E238" s="37"/>
      <c r="F238" s="37"/>
      <c r="G238" s="3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2:21" ht="15.75" customHeight="1" x14ac:dyDescent="0.2">
      <c r="B239" s="2"/>
      <c r="C239" s="37"/>
      <c r="D239" s="37"/>
      <c r="E239" s="37"/>
      <c r="F239" s="37"/>
      <c r="G239" s="3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2:21" ht="15.75" customHeight="1" x14ac:dyDescent="0.2">
      <c r="B240" s="2"/>
      <c r="C240" s="37"/>
      <c r="D240" s="37"/>
      <c r="E240" s="37"/>
      <c r="F240" s="37"/>
      <c r="G240" s="3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 ht="15.75" customHeight="1" x14ac:dyDescent="0.2">
      <c r="B241" s="2"/>
      <c r="C241" s="37"/>
      <c r="D241" s="37"/>
      <c r="E241" s="37"/>
      <c r="F241" s="37"/>
      <c r="G241" s="3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 ht="15.75" customHeight="1" x14ac:dyDescent="0.2">
      <c r="B242" s="2"/>
      <c r="C242" s="37"/>
      <c r="D242" s="37"/>
      <c r="E242" s="37"/>
      <c r="F242" s="37"/>
      <c r="G242" s="3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 ht="15.75" customHeight="1" x14ac:dyDescent="0.2">
      <c r="B243" s="2"/>
      <c r="C243" s="37"/>
      <c r="D243" s="37"/>
      <c r="E243" s="37"/>
      <c r="F243" s="37"/>
      <c r="G243" s="3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 ht="15.75" customHeight="1" x14ac:dyDescent="0.2">
      <c r="B244" s="2"/>
      <c r="C244" s="37"/>
      <c r="D244" s="37"/>
      <c r="E244" s="37"/>
      <c r="F244" s="37"/>
      <c r="G244" s="3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 ht="15.75" customHeight="1" x14ac:dyDescent="0.2">
      <c r="B245" s="2"/>
      <c r="C245" s="37"/>
      <c r="D245" s="37"/>
      <c r="E245" s="37"/>
      <c r="F245" s="37"/>
      <c r="G245" s="3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 ht="15.75" customHeight="1" x14ac:dyDescent="0.2">
      <c r="B246" s="2"/>
      <c r="C246" s="37"/>
      <c r="D246" s="37"/>
      <c r="E246" s="37"/>
      <c r="F246" s="37"/>
      <c r="G246" s="3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 ht="15.75" customHeight="1" x14ac:dyDescent="0.2">
      <c r="B247" s="2"/>
      <c r="C247" s="37"/>
      <c r="D247" s="37"/>
      <c r="E247" s="37"/>
      <c r="F247" s="37"/>
      <c r="G247" s="3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 ht="15.75" customHeight="1" x14ac:dyDescent="0.2">
      <c r="B248" s="2"/>
      <c r="C248" s="37"/>
      <c r="D248" s="37"/>
      <c r="E248" s="37"/>
      <c r="F248" s="37"/>
      <c r="G248" s="3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 ht="15.75" customHeight="1" x14ac:dyDescent="0.2">
      <c r="B249" s="2"/>
      <c r="C249" s="37"/>
      <c r="D249" s="37"/>
      <c r="E249" s="37"/>
      <c r="F249" s="37"/>
      <c r="G249" s="3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2:21" ht="15.75" customHeight="1" x14ac:dyDescent="0.2">
      <c r="B250" s="2"/>
      <c r="C250" s="37"/>
      <c r="D250" s="37"/>
      <c r="E250" s="37"/>
      <c r="F250" s="37"/>
      <c r="G250" s="3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2:21" ht="15.75" customHeight="1" x14ac:dyDescent="0.2">
      <c r="B251" s="2"/>
      <c r="C251" s="37"/>
      <c r="D251" s="37"/>
      <c r="E251" s="37"/>
      <c r="F251" s="37"/>
      <c r="G251" s="3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2:21" ht="15.75" customHeight="1" x14ac:dyDescent="0.2">
      <c r="B252" s="2"/>
      <c r="C252" s="37"/>
      <c r="D252" s="37"/>
      <c r="E252" s="37"/>
      <c r="F252" s="37"/>
      <c r="G252" s="3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2:21" ht="15.75" customHeight="1" x14ac:dyDescent="0.2">
      <c r="B253" s="2"/>
      <c r="C253" s="37"/>
      <c r="D253" s="37"/>
      <c r="E253" s="37"/>
      <c r="F253" s="37"/>
      <c r="G253" s="3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2:21" ht="15.75" customHeight="1" x14ac:dyDescent="0.2">
      <c r="B254" s="2"/>
      <c r="C254" s="37"/>
      <c r="D254" s="37"/>
      <c r="E254" s="37"/>
      <c r="F254" s="37"/>
      <c r="G254" s="3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2:21" ht="15.75" customHeight="1" x14ac:dyDescent="0.2">
      <c r="B255" s="2"/>
      <c r="C255" s="37"/>
      <c r="D255" s="37"/>
      <c r="E255" s="37"/>
      <c r="F255" s="37"/>
      <c r="G255" s="3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2:21" ht="15.75" customHeight="1" x14ac:dyDescent="0.2">
      <c r="B256" s="2"/>
      <c r="C256" s="37"/>
      <c r="D256" s="37"/>
      <c r="E256" s="37"/>
      <c r="F256" s="37"/>
      <c r="G256" s="3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2:21" ht="15.75" customHeight="1" x14ac:dyDescent="0.2">
      <c r="B257" s="2"/>
      <c r="C257" s="37"/>
      <c r="D257" s="37"/>
      <c r="E257" s="37"/>
      <c r="F257" s="37"/>
      <c r="G257" s="3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2:21" ht="15.75" customHeight="1" x14ac:dyDescent="0.2">
      <c r="B258" s="2"/>
      <c r="C258" s="37"/>
      <c r="D258" s="37"/>
      <c r="E258" s="37"/>
      <c r="F258" s="37"/>
      <c r="G258" s="3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2:21" ht="15.75" customHeight="1" x14ac:dyDescent="0.2">
      <c r="B259" s="2"/>
      <c r="C259" s="37"/>
      <c r="D259" s="37"/>
      <c r="E259" s="37"/>
      <c r="F259" s="37"/>
      <c r="G259" s="3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2:21" ht="15.75" customHeight="1" x14ac:dyDescent="0.2">
      <c r="B260" s="2"/>
      <c r="C260" s="37"/>
      <c r="D260" s="37"/>
      <c r="E260" s="37"/>
      <c r="F260" s="37"/>
      <c r="G260" s="3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2:21" ht="15.75" customHeight="1" x14ac:dyDescent="0.2">
      <c r="B261" s="2"/>
      <c r="C261" s="37"/>
      <c r="D261" s="37"/>
      <c r="E261" s="37"/>
      <c r="F261" s="37"/>
      <c r="G261" s="3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2:21" ht="15.75" customHeight="1" x14ac:dyDescent="0.2">
      <c r="B262" s="2"/>
      <c r="C262" s="37"/>
      <c r="D262" s="37"/>
      <c r="E262" s="37"/>
      <c r="F262" s="37"/>
      <c r="G262" s="3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2:21" ht="15.75" customHeight="1" x14ac:dyDescent="0.2">
      <c r="B263" s="2"/>
      <c r="C263" s="37"/>
      <c r="D263" s="37"/>
      <c r="E263" s="37"/>
      <c r="F263" s="37"/>
      <c r="G263" s="3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2:21" ht="15.75" customHeight="1" x14ac:dyDescent="0.2">
      <c r="B264" s="2"/>
      <c r="C264" s="37"/>
      <c r="D264" s="37"/>
      <c r="E264" s="37"/>
      <c r="F264" s="37"/>
      <c r="G264" s="3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2:21" ht="15.75" customHeight="1" x14ac:dyDescent="0.2">
      <c r="B265" s="2"/>
      <c r="C265" s="37"/>
      <c r="D265" s="37"/>
      <c r="E265" s="37"/>
      <c r="F265" s="37"/>
      <c r="G265" s="3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2:21" ht="15.75" customHeight="1" x14ac:dyDescent="0.2">
      <c r="B266" s="2"/>
      <c r="C266" s="37"/>
      <c r="D266" s="37"/>
      <c r="E266" s="37"/>
      <c r="F266" s="37"/>
      <c r="G266" s="3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2:21" ht="15.75" customHeight="1" x14ac:dyDescent="0.2">
      <c r="B267" s="2"/>
      <c r="C267" s="37"/>
      <c r="D267" s="37"/>
      <c r="E267" s="37"/>
      <c r="F267" s="37"/>
      <c r="G267" s="3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2:21" ht="15.75" customHeight="1" x14ac:dyDescent="0.2">
      <c r="B268" s="2"/>
      <c r="C268" s="37"/>
      <c r="D268" s="37"/>
      <c r="E268" s="37"/>
      <c r="F268" s="37"/>
      <c r="G268" s="3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2:21" ht="15.75" customHeight="1" x14ac:dyDescent="0.2">
      <c r="B269" s="2"/>
      <c r="C269" s="37"/>
      <c r="D269" s="37"/>
      <c r="E269" s="37"/>
      <c r="F269" s="37"/>
      <c r="G269" s="3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2:21" ht="15.75" customHeight="1" x14ac:dyDescent="0.2">
      <c r="B270" s="2"/>
      <c r="C270" s="37"/>
      <c r="D270" s="37"/>
      <c r="E270" s="37"/>
      <c r="F270" s="37"/>
      <c r="G270" s="3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2:21" ht="15.75" customHeight="1" x14ac:dyDescent="0.2">
      <c r="B271" s="2"/>
      <c r="C271" s="37"/>
      <c r="D271" s="37"/>
      <c r="E271" s="37"/>
      <c r="F271" s="37"/>
      <c r="G271" s="3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2:21" ht="15.75" customHeight="1" x14ac:dyDescent="0.2">
      <c r="B272" s="2"/>
      <c r="C272" s="37"/>
      <c r="D272" s="37"/>
      <c r="E272" s="37"/>
      <c r="F272" s="37"/>
      <c r="G272" s="3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2:21" ht="15.75" customHeight="1" x14ac:dyDescent="0.2">
      <c r="B273" s="2"/>
      <c r="C273" s="37"/>
      <c r="D273" s="37"/>
      <c r="E273" s="37"/>
      <c r="F273" s="37"/>
      <c r="G273" s="3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2:21" ht="15.75" customHeight="1" x14ac:dyDescent="0.2">
      <c r="B274" s="2"/>
      <c r="C274" s="37"/>
      <c r="D274" s="37"/>
      <c r="E274" s="37"/>
      <c r="F274" s="37"/>
      <c r="G274" s="3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2:21" ht="15.75" customHeight="1" x14ac:dyDescent="0.2">
      <c r="B275" s="2"/>
      <c r="C275" s="37"/>
      <c r="D275" s="37"/>
      <c r="E275" s="37"/>
      <c r="F275" s="37"/>
      <c r="G275" s="3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2:21" ht="15.75" customHeight="1" x14ac:dyDescent="0.2">
      <c r="B276" s="2"/>
      <c r="C276" s="37"/>
      <c r="D276" s="37"/>
      <c r="E276" s="37"/>
      <c r="F276" s="37"/>
      <c r="G276" s="3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2:21" ht="15.75" customHeight="1" x14ac:dyDescent="0.2">
      <c r="B277" s="2"/>
      <c r="C277" s="37"/>
      <c r="D277" s="37"/>
      <c r="E277" s="37"/>
      <c r="F277" s="37"/>
      <c r="G277" s="3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2:21" ht="15.75" customHeight="1" x14ac:dyDescent="0.2">
      <c r="B278" s="2"/>
      <c r="C278" s="37"/>
      <c r="D278" s="37"/>
      <c r="E278" s="37"/>
      <c r="F278" s="37"/>
      <c r="G278" s="3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2:21" ht="15.75" customHeight="1" x14ac:dyDescent="0.2">
      <c r="B279" s="2"/>
      <c r="C279" s="37"/>
      <c r="D279" s="37"/>
      <c r="E279" s="37"/>
      <c r="F279" s="37"/>
      <c r="G279" s="3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2:21" ht="15.75" customHeight="1" x14ac:dyDescent="0.2">
      <c r="B280" s="2"/>
      <c r="C280" s="37"/>
      <c r="D280" s="37"/>
      <c r="E280" s="37"/>
      <c r="F280" s="37"/>
      <c r="G280" s="3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2:21" ht="15.75" customHeight="1" x14ac:dyDescent="0.2">
      <c r="B281" s="2"/>
      <c r="C281" s="37"/>
      <c r="D281" s="37"/>
      <c r="E281" s="37"/>
      <c r="F281" s="37"/>
      <c r="G281" s="3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2:21" ht="15.75" customHeight="1" x14ac:dyDescent="0.2">
      <c r="B282" s="2"/>
      <c r="C282" s="37"/>
      <c r="D282" s="37"/>
      <c r="E282" s="37"/>
      <c r="F282" s="37"/>
      <c r="G282" s="3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2:21" ht="15.75" customHeight="1" x14ac:dyDescent="0.2">
      <c r="B283" s="2"/>
      <c r="C283" s="37"/>
      <c r="D283" s="37"/>
      <c r="E283" s="37"/>
      <c r="F283" s="37"/>
      <c r="G283" s="3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2:21" ht="15.75" customHeight="1" x14ac:dyDescent="0.2">
      <c r="B284" s="2"/>
      <c r="C284" s="37"/>
      <c r="D284" s="37"/>
      <c r="E284" s="37"/>
      <c r="F284" s="37"/>
      <c r="G284" s="3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2:21" ht="15.75" customHeight="1" x14ac:dyDescent="0.2">
      <c r="B285" s="2"/>
      <c r="C285" s="37"/>
      <c r="D285" s="37"/>
      <c r="E285" s="37"/>
      <c r="F285" s="37"/>
      <c r="G285" s="3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2:21" ht="15.75" customHeight="1" x14ac:dyDescent="0.2">
      <c r="B286" s="2"/>
      <c r="C286" s="37"/>
      <c r="D286" s="37"/>
      <c r="E286" s="37"/>
      <c r="F286" s="37"/>
      <c r="G286" s="3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2:21" ht="15.75" customHeight="1" x14ac:dyDescent="0.2">
      <c r="B287" s="2"/>
      <c r="C287" s="37"/>
      <c r="D287" s="37"/>
      <c r="E287" s="37"/>
      <c r="F287" s="37"/>
      <c r="G287" s="3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2:21" ht="15.75" customHeight="1" x14ac:dyDescent="0.2">
      <c r="B288" s="2"/>
      <c r="C288" s="37"/>
      <c r="D288" s="37"/>
      <c r="E288" s="37"/>
      <c r="F288" s="37"/>
      <c r="G288" s="3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2:21" ht="15.75" customHeight="1" x14ac:dyDescent="0.2">
      <c r="B289" s="2"/>
      <c r="C289" s="37"/>
      <c r="D289" s="37"/>
      <c r="E289" s="37"/>
      <c r="F289" s="37"/>
      <c r="G289" s="3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2:21" ht="15.75" customHeight="1" x14ac:dyDescent="0.2">
      <c r="B290" s="2"/>
      <c r="C290" s="37"/>
      <c r="D290" s="37"/>
      <c r="E290" s="37"/>
      <c r="F290" s="37"/>
      <c r="G290" s="3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2:21" ht="15.75" customHeight="1" x14ac:dyDescent="0.2">
      <c r="B291" s="2"/>
      <c r="C291" s="37"/>
      <c r="D291" s="37"/>
      <c r="E291" s="37"/>
      <c r="F291" s="37"/>
      <c r="G291" s="3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2:21" ht="15.75" customHeight="1" x14ac:dyDescent="0.2">
      <c r="B292" s="2"/>
      <c r="C292" s="37"/>
      <c r="D292" s="37"/>
      <c r="E292" s="37"/>
      <c r="F292" s="37"/>
      <c r="G292" s="3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2:21" ht="15.75" customHeight="1" x14ac:dyDescent="0.2">
      <c r="B293" s="2"/>
      <c r="C293" s="37"/>
      <c r="D293" s="37"/>
      <c r="E293" s="37"/>
      <c r="F293" s="37"/>
      <c r="G293" s="3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2:21" ht="15.75" customHeight="1" x14ac:dyDescent="0.2">
      <c r="B294" s="2"/>
      <c r="C294" s="37"/>
      <c r="D294" s="37"/>
      <c r="E294" s="37"/>
      <c r="F294" s="37"/>
      <c r="G294" s="3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2:21" ht="15.75" customHeight="1" x14ac:dyDescent="0.2">
      <c r="B295" s="2"/>
      <c r="C295" s="37"/>
      <c r="D295" s="37"/>
      <c r="E295" s="37"/>
      <c r="F295" s="37"/>
      <c r="G295" s="3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2:21" ht="15.75" customHeight="1" x14ac:dyDescent="0.2">
      <c r="B296" s="2"/>
      <c r="C296" s="37"/>
      <c r="D296" s="37"/>
      <c r="E296" s="37"/>
      <c r="F296" s="37"/>
      <c r="G296" s="3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2:21" ht="15.75" customHeight="1" x14ac:dyDescent="0.2">
      <c r="B297" s="2"/>
      <c r="C297" s="37"/>
      <c r="D297" s="37"/>
      <c r="E297" s="37"/>
      <c r="F297" s="37"/>
      <c r="G297" s="3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2:21" ht="15.75" customHeight="1" x14ac:dyDescent="0.2">
      <c r="B298" s="2"/>
      <c r="C298" s="37"/>
      <c r="D298" s="37"/>
      <c r="E298" s="37"/>
      <c r="F298" s="37"/>
      <c r="G298" s="3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2:21" ht="15.75" customHeight="1" x14ac:dyDescent="0.2">
      <c r="B299" s="2"/>
      <c r="C299" s="37"/>
      <c r="D299" s="37"/>
      <c r="E299" s="37"/>
      <c r="F299" s="37"/>
      <c r="G299" s="3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2:21" ht="15.75" customHeight="1" x14ac:dyDescent="0.2">
      <c r="B300" s="2"/>
      <c r="C300" s="37"/>
      <c r="D300" s="37"/>
      <c r="E300" s="37"/>
      <c r="F300" s="37"/>
      <c r="G300" s="3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2:21" ht="15.75" customHeight="1" x14ac:dyDescent="0.2">
      <c r="B301" s="2"/>
      <c r="C301" s="37"/>
      <c r="D301" s="37"/>
      <c r="E301" s="37"/>
      <c r="F301" s="37"/>
      <c r="G301" s="3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2:21" ht="15.75" customHeight="1" x14ac:dyDescent="0.2">
      <c r="B302" s="2"/>
      <c r="C302" s="37"/>
      <c r="D302" s="37"/>
      <c r="E302" s="37"/>
      <c r="F302" s="37"/>
      <c r="G302" s="3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2:21" ht="15.75" customHeight="1" x14ac:dyDescent="0.2">
      <c r="B303" s="2"/>
      <c r="C303" s="37"/>
      <c r="D303" s="37"/>
      <c r="E303" s="37"/>
      <c r="F303" s="37"/>
      <c r="G303" s="3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2:21" ht="15.75" customHeight="1" x14ac:dyDescent="0.2">
      <c r="B304" s="2"/>
      <c r="C304" s="37"/>
      <c r="D304" s="37"/>
      <c r="E304" s="37"/>
      <c r="F304" s="37"/>
      <c r="G304" s="3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2:21" ht="15.75" customHeight="1" x14ac:dyDescent="0.2">
      <c r="B305" s="2"/>
      <c r="C305" s="37"/>
      <c r="D305" s="37"/>
      <c r="E305" s="37"/>
      <c r="F305" s="37"/>
      <c r="G305" s="3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2:21" ht="15.75" customHeight="1" x14ac:dyDescent="0.2">
      <c r="B306" s="2"/>
      <c r="C306" s="37"/>
      <c r="D306" s="37"/>
      <c r="E306" s="37"/>
      <c r="F306" s="37"/>
      <c r="G306" s="3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2:21" ht="15.75" customHeight="1" x14ac:dyDescent="0.2">
      <c r="B307" s="2"/>
      <c r="C307" s="37"/>
      <c r="D307" s="37"/>
      <c r="E307" s="37"/>
      <c r="F307" s="37"/>
      <c r="G307" s="3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2:21" ht="15.75" customHeight="1" x14ac:dyDescent="0.2">
      <c r="B308" s="2"/>
      <c r="C308" s="37"/>
      <c r="D308" s="37"/>
      <c r="E308" s="37"/>
      <c r="F308" s="37"/>
      <c r="G308" s="3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2:21" ht="15.75" customHeight="1" x14ac:dyDescent="0.2">
      <c r="B309" s="2"/>
      <c r="C309" s="37"/>
      <c r="D309" s="37"/>
      <c r="E309" s="37"/>
      <c r="F309" s="37"/>
      <c r="G309" s="3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2:21" ht="15.75" customHeight="1" x14ac:dyDescent="0.2">
      <c r="B310" s="2"/>
      <c r="C310" s="37"/>
      <c r="D310" s="37"/>
      <c r="E310" s="37"/>
      <c r="F310" s="37"/>
      <c r="G310" s="3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2:21" ht="15.75" customHeight="1" x14ac:dyDescent="0.2">
      <c r="B311" s="2"/>
      <c r="C311" s="37"/>
      <c r="D311" s="37"/>
      <c r="E311" s="37"/>
      <c r="F311" s="37"/>
      <c r="G311" s="3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2:21" ht="15.75" customHeight="1" x14ac:dyDescent="0.2">
      <c r="B312" s="2"/>
      <c r="C312" s="37"/>
      <c r="D312" s="37"/>
      <c r="E312" s="37"/>
      <c r="F312" s="37"/>
      <c r="G312" s="3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2:21" ht="15.75" customHeight="1" x14ac:dyDescent="0.2">
      <c r="B313" s="2"/>
      <c r="C313" s="37"/>
      <c r="D313" s="37"/>
      <c r="E313" s="37"/>
      <c r="F313" s="37"/>
      <c r="G313" s="3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2:21" ht="15.75" customHeight="1" x14ac:dyDescent="0.2">
      <c r="B314" s="2"/>
      <c r="C314" s="37"/>
      <c r="D314" s="37"/>
      <c r="E314" s="37"/>
      <c r="F314" s="37"/>
      <c r="G314" s="3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2:21" ht="15.75" customHeight="1" x14ac:dyDescent="0.2">
      <c r="B315" s="2"/>
      <c r="C315" s="37"/>
      <c r="D315" s="37"/>
      <c r="E315" s="37"/>
      <c r="F315" s="37"/>
      <c r="G315" s="3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2:21" ht="15.75" customHeight="1" x14ac:dyDescent="0.2">
      <c r="B316" s="2"/>
      <c r="C316" s="37"/>
      <c r="D316" s="37"/>
      <c r="E316" s="37"/>
      <c r="F316" s="37"/>
      <c r="G316" s="3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2:21" ht="15.75" customHeight="1" x14ac:dyDescent="0.2">
      <c r="B317" s="2"/>
      <c r="C317" s="37"/>
      <c r="D317" s="37"/>
      <c r="E317" s="37"/>
      <c r="F317" s="37"/>
      <c r="G317" s="3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2:21" ht="15.75" customHeight="1" x14ac:dyDescent="0.2">
      <c r="B318" s="2"/>
      <c r="C318" s="37"/>
      <c r="D318" s="37"/>
      <c r="E318" s="37"/>
      <c r="F318" s="37"/>
      <c r="G318" s="3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2:21" ht="15.75" customHeight="1" x14ac:dyDescent="0.2">
      <c r="B319" s="2"/>
      <c r="C319" s="37"/>
      <c r="D319" s="37"/>
      <c r="E319" s="37"/>
      <c r="F319" s="37"/>
      <c r="G319" s="3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2:21" ht="15.75" customHeight="1" x14ac:dyDescent="0.2">
      <c r="B320" s="2"/>
      <c r="C320" s="37"/>
      <c r="D320" s="37"/>
      <c r="E320" s="37"/>
      <c r="F320" s="37"/>
      <c r="G320" s="3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2:21" ht="15.75" customHeight="1" x14ac:dyDescent="0.2">
      <c r="B321" s="2"/>
      <c r="C321" s="37"/>
      <c r="D321" s="37"/>
      <c r="E321" s="37"/>
      <c r="F321" s="37"/>
      <c r="G321" s="3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2:21" ht="15.75" customHeight="1" x14ac:dyDescent="0.2">
      <c r="B322" s="2"/>
      <c r="C322" s="37"/>
      <c r="D322" s="37"/>
      <c r="E322" s="37"/>
      <c r="F322" s="37"/>
      <c r="G322" s="3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2:21" ht="15.75" customHeight="1" x14ac:dyDescent="0.2">
      <c r="B323" s="2"/>
      <c r="C323" s="37"/>
      <c r="D323" s="37"/>
      <c r="E323" s="37"/>
      <c r="F323" s="37"/>
      <c r="G323" s="3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2:21" ht="15.75" customHeight="1" x14ac:dyDescent="0.2">
      <c r="B324" s="2"/>
      <c r="C324" s="37"/>
      <c r="D324" s="37"/>
      <c r="E324" s="37"/>
      <c r="F324" s="37"/>
      <c r="G324" s="3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2:21" ht="15.75" customHeight="1" x14ac:dyDescent="0.2">
      <c r="B325" s="2"/>
      <c r="C325" s="37"/>
      <c r="D325" s="37"/>
      <c r="E325" s="37"/>
      <c r="F325" s="37"/>
      <c r="G325" s="3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2:21" ht="15.75" customHeight="1" x14ac:dyDescent="0.2">
      <c r="B326" s="2"/>
      <c r="C326" s="37"/>
      <c r="D326" s="37"/>
      <c r="E326" s="37"/>
      <c r="F326" s="37"/>
      <c r="G326" s="3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2:21" ht="15.75" customHeight="1" x14ac:dyDescent="0.2">
      <c r="B327" s="2"/>
      <c r="C327" s="37"/>
      <c r="D327" s="37"/>
      <c r="E327" s="37"/>
      <c r="F327" s="37"/>
      <c r="G327" s="3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2:21" ht="15.75" customHeight="1" x14ac:dyDescent="0.2">
      <c r="B328" s="2"/>
      <c r="C328" s="37"/>
      <c r="D328" s="37"/>
      <c r="E328" s="37"/>
      <c r="F328" s="37"/>
      <c r="G328" s="3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2:21" ht="15.75" customHeight="1" x14ac:dyDescent="0.2">
      <c r="B329" s="2"/>
      <c r="C329" s="37"/>
      <c r="D329" s="37"/>
      <c r="E329" s="37"/>
      <c r="F329" s="37"/>
      <c r="G329" s="3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2:21" ht="15.75" customHeight="1" x14ac:dyDescent="0.2">
      <c r="B330" s="2"/>
      <c r="C330" s="37"/>
      <c r="D330" s="37"/>
      <c r="E330" s="37"/>
      <c r="F330" s="37"/>
      <c r="G330" s="3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2:21" ht="15.75" customHeight="1" x14ac:dyDescent="0.2">
      <c r="B331" s="2"/>
      <c r="C331" s="37"/>
      <c r="D331" s="37"/>
      <c r="E331" s="37"/>
      <c r="F331" s="37"/>
      <c r="G331" s="3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2:21" ht="15.75" customHeight="1" x14ac:dyDescent="0.2">
      <c r="B332" s="2"/>
      <c r="C332" s="37"/>
      <c r="D332" s="37"/>
      <c r="E332" s="37"/>
      <c r="F332" s="37"/>
      <c r="G332" s="3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2:21" ht="15.75" customHeight="1" x14ac:dyDescent="0.2">
      <c r="B333" s="2"/>
      <c r="C333" s="37"/>
      <c r="D333" s="37"/>
      <c r="E333" s="37"/>
      <c r="F333" s="37"/>
      <c r="G333" s="3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2:21" ht="15.75" customHeight="1" x14ac:dyDescent="0.2">
      <c r="B334" s="2"/>
      <c r="C334" s="37"/>
      <c r="D334" s="37"/>
      <c r="E334" s="37"/>
      <c r="F334" s="37"/>
      <c r="G334" s="3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2:21" ht="15.75" customHeight="1" x14ac:dyDescent="0.2">
      <c r="B335" s="2"/>
      <c r="C335" s="37"/>
      <c r="D335" s="37"/>
      <c r="E335" s="37"/>
      <c r="F335" s="37"/>
      <c r="G335" s="3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2:21" ht="15.75" customHeight="1" x14ac:dyDescent="0.2">
      <c r="B336" s="2"/>
      <c r="C336" s="37"/>
      <c r="D336" s="37"/>
      <c r="E336" s="37"/>
      <c r="F336" s="37"/>
      <c r="G336" s="3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2:21" ht="15.75" customHeight="1" x14ac:dyDescent="0.2">
      <c r="B337" s="2"/>
      <c r="C337" s="37"/>
      <c r="D337" s="37"/>
      <c r="E337" s="37"/>
      <c r="F337" s="37"/>
      <c r="G337" s="3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2:21" ht="15.75" customHeight="1" x14ac:dyDescent="0.2">
      <c r="B338" s="2"/>
      <c r="C338" s="37"/>
      <c r="D338" s="37"/>
      <c r="E338" s="37"/>
      <c r="F338" s="37"/>
      <c r="G338" s="3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2:21" ht="15.75" customHeight="1" x14ac:dyDescent="0.2">
      <c r="B339" s="2"/>
      <c r="C339" s="37"/>
      <c r="D339" s="37"/>
      <c r="E339" s="37"/>
      <c r="F339" s="37"/>
      <c r="G339" s="3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2:21" ht="15.75" customHeight="1" x14ac:dyDescent="0.2">
      <c r="B340" s="2"/>
      <c r="C340" s="37"/>
      <c r="D340" s="37"/>
      <c r="E340" s="37"/>
      <c r="F340" s="37"/>
      <c r="G340" s="3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2:21" ht="15.75" customHeight="1" x14ac:dyDescent="0.2">
      <c r="B341" s="2"/>
      <c r="C341" s="37"/>
      <c r="D341" s="37"/>
      <c r="E341" s="37"/>
      <c r="F341" s="37"/>
      <c r="G341" s="3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2:21" ht="15.75" customHeight="1" x14ac:dyDescent="0.2">
      <c r="B342" s="2"/>
      <c r="C342" s="37"/>
      <c r="D342" s="37"/>
      <c r="E342" s="37"/>
      <c r="F342" s="37"/>
      <c r="G342" s="3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2:21" ht="15.75" customHeight="1" x14ac:dyDescent="0.2">
      <c r="B343" s="2"/>
      <c r="C343" s="37"/>
      <c r="D343" s="37"/>
      <c r="E343" s="37"/>
      <c r="F343" s="37"/>
      <c r="G343" s="3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2:21" ht="15.75" customHeight="1" x14ac:dyDescent="0.2">
      <c r="B344" s="2"/>
      <c r="C344" s="37"/>
      <c r="D344" s="37"/>
      <c r="E344" s="37"/>
      <c r="F344" s="37"/>
      <c r="G344" s="3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2:21" ht="15.75" customHeight="1" x14ac:dyDescent="0.2">
      <c r="B345" s="2"/>
      <c r="C345" s="37"/>
      <c r="D345" s="37"/>
      <c r="E345" s="37"/>
      <c r="F345" s="37"/>
      <c r="G345" s="3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2:21" ht="15.75" customHeight="1" x14ac:dyDescent="0.2">
      <c r="B346" s="2"/>
      <c r="C346" s="37"/>
      <c r="D346" s="37"/>
      <c r="E346" s="37"/>
      <c r="F346" s="37"/>
      <c r="G346" s="3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2:21" ht="15.75" customHeight="1" x14ac:dyDescent="0.2">
      <c r="B347" s="2"/>
      <c r="C347" s="37"/>
      <c r="D347" s="37"/>
      <c r="E347" s="37"/>
      <c r="F347" s="37"/>
      <c r="G347" s="3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2:21" ht="15.75" customHeight="1" x14ac:dyDescent="0.2">
      <c r="B348" s="2"/>
      <c r="C348" s="37"/>
      <c r="D348" s="37"/>
      <c r="E348" s="37"/>
      <c r="F348" s="37"/>
      <c r="G348" s="3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2:21" ht="15.75" customHeight="1" x14ac:dyDescent="0.2">
      <c r="B349" s="2"/>
      <c r="C349" s="37"/>
      <c r="D349" s="37"/>
      <c r="E349" s="37"/>
      <c r="F349" s="37"/>
      <c r="G349" s="3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2:21" ht="15.75" customHeight="1" x14ac:dyDescent="0.2">
      <c r="B350" s="2"/>
      <c r="C350" s="37"/>
      <c r="D350" s="37"/>
      <c r="E350" s="37"/>
      <c r="F350" s="37"/>
      <c r="G350" s="3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2:21" ht="15.75" customHeight="1" x14ac:dyDescent="0.2">
      <c r="B351" s="2"/>
      <c r="C351" s="37"/>
      <c r="D351" s="37"/>
      <c r="E351" s="37"/>
      <c r="F351" s="37"/>
      <c r="G351" s="3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2:21" ht="15.75" customHeight="1" x14ac:dyDescent="0.2">
      <c r="B352" s="2"/>
      <c r="C352" s="37"/>
      <c r="D352" s="37"/>
      <c r="E352" s="37"/>
      <c r="F352" s="37"/>
      <c r="G352" s="3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2:21" ht="15.75" customHeight="1" x14ac:dyDescent="0.2">
      <c r="B353" s="2"/>
      <c r="C353" s="37"/>
      <c r="D353" s="37"/>
      <c r="E353" s="37"/>
      <c r="F353" s="37"/>
      <c r="G353" s="3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2:21" ht="15.75" customHeight="1" x14ac:dyDescent="0.2">
      <c r="B354" s="2"/>
      <c r="C354" s="37"/>
      <c r="D354" s="37"/>
      <c r="E354" s="37"/>
      <c r="F354" s="37"/>
      <c r="G354" s="3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2:21" ht="15.75" customHeight="1" x14ac:dyDescent="0.2">
      <c r="B355" s="2"/>
      <c r="C355" s="37"/>
      <c r="D355" s="37"/>
      <c r="E355" s="37"/>
      <c r="F355" s="37"/>
      <c r="G355" s="3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2:21" ht="15.75" customHeight="1" x14ac:dyDescent="0.2">
      <c r="B356" s="2"/>
      <c r="C356" s="37"/>
      <c r="D356" s="37"/>
      <c r="E356" s="37"/>
      <c r="F356" s="37"/>
      <c r="G356" s="3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2:21" ht="15.75" customHeight="1" x14ac:dyDescent="0.2">
      <c r="B357" s="2"/>
      <c r="C357" s="37"/>
      <c r="D357" s="37"/>
      <c r="E357" s="37"/>
      <c r="F357" s="37"/>
      <c r="G357" s="3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2:21" ht="15.75" customHeight="1" x14ac:dyDescent="0.2">
      <c r="B358" s="2"/>
      <c r="C358" s="37"/>
      <c r="D358" s="37"/>
      <c r="E358" s="37"/>
      <c r="F358" s="37"/>
      <c r="G358" s="3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2:21" ht="15.75" customHeight="1" x14ac:dyDescent="0.2">
      <c r="B359" s="2"/>
      <c r="C359" s="37"/>
      <c r="D359" s="37"/>
      <c r="E359" s="37"/>
      <c r="F359" s="37"/>
      <c r="G359" s="3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2:21" ht="15.75" customHeight="1" x14ac:dyDescent="0.2">
      <c r="B360" s="2"/>
      <c r="C360" s="37"/>
      <c r="D360" s="37"/>
      <c r="E360" s="37"/>
      <c r="F360" s="37"/>
      <c r="G360" s="3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2:21" ht="15.75" customHeight="1" x14ac:dyDescent="0.2">
      <c r="B361" s="2"/>
      <c r="C361" s="37"/>
      <c r="D361" s="37"/>
      <c r="E361" s="37"/>
      <c r="F361" s="37"/>
      <c r="G361" s="3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2:21" ht="15.75" customHeight="1" x14ac:dyDescent="0.2">
      <c r="B362" s="2"/>
      <c r="C362" s="37"/>
      <c r="D362" s="37"/>
      <c r="E362" s="37"/>
      <c r="F362" s="37"/>
      <c r="G362" s="3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2:21" ht="15.75" customHeight="1" x14ac:dyDescent="0.2">
      <c r="B363" s="2"/>
      <c r="C363" s="37"/>
      <c r="D363" s="37"/>
      <c r="E363" s="37"/>
      <c r="F363" s="37"/>
      <c r="G363" s="3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2:21" ht="15.75" customHeight="1" x14ac:dyDescent="0.2">
      <c r="B364" s="2"/>
      <c r="C364" s="37"/>
      <c r="D364" s="37"/>
      <c r="E364" s="37"/>
      <c r="F364" s="37"/>
      <c r="G364" s="3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2:21" ht="15.75" customHeight="1" x14ac:dyDescent="0.2">
      <c r="B365" s="2"/>
      <c r="C365" s="37"/>
      <c r="D365" s="37"/>
      <c r="E365" s="37"/>
      <c r="F365" s="37"/>
      <c r="G365" s="3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2:21" ht="15.75" customHeight="1" x14ac:dyDescent="0.2">
      <c r="B366" s="2"/>
      <c r="C366" s="37"/>
      <c r="D366" s="37"/>
      <c r="E366" s="37"/>
      <c r="F366" s="37"/>
      <c r="G366" s="3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2:21" ht="15.75" customHeight="1" x14ac:dyDescent="0.2">
      <c r="B367" s="2"/>
      <c r="C367" s="37"/>
      <c r="D367" s="37"/>
      <c r="E367" s="37"/>
      <c r="F367" s="37"/>
      <c r="G367" s="3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2:21" ht="15.75" customHeight="1" x14ac:dyDescent="0.2">
      <c r="B368" s="2"/>
      <c r="C368" s="37"/>
      <c r="D368" s="37"/>
      <c r="E368" s="37"/>
      <c r="F368" s="37"/>
      <c r="G368" s="3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2:21" ht="15.75" customHeight="1" x14ac:dyDescent="0.2">
      <c r="B369" s="2"/>
      <c r="C369" s="37"/>
      <c r="D369" s="37"/>
      <c r="E369" s="37"/>
      <c r="F369" s="37"/>
      <c r="G369" s="3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2:21" ht="15.75" customHeight="1" x14ac:dyDescent="0.2">
      <c r="B370" s="2"/>
      <c r="C370" s="37"/>
      <c r="D370" s="37"/>
      <c r="E370" s="37"/>
      <c r="F370" s="37"/>
      <c r="G370" s="3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2:21" ht="15.75" customHeight="1" x14ac:dyDescent="0.2">
      <c r="B371" s="2"/>
      <c r="C371" s="37"/>
      <c r="D371" s="37"/>
      <c r="E371" s="37"/>
      <c r="F371" s="37"/>
      <c r="G371" s="3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2:21" ht="15.75" customHeight="1" x14ac:dyDescent="0.2">
      <c r="B372" s="2"/>
      <c r="C372" s="37"/>
      <c r="D372" s="37"/>
      <c r="E372" s="37"/>
      <c r="F372" s="37"/>
      <c r="G372" s="3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2:21" ht="15.75" customHeight="1" x14ac:dyDescent="0.2">
      <c r="B373" s="2"/>
      <c r="C373" s="37"/>
      <c r="D373" s="37"/>
      <c r="E373" s="37"/>
      <c r="F373" s="37"/>
      <c r="G373" s="3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2:21" ht="15.75" customHeight="1" x14ac:dyDescent="0.2">
      <c r="B374" s="2"/>
      <c r="C374" s="37"/>
      <c r="D374" s="37"/>
      <c r="E374" s="37"/>
      <c r="F374" s="37"/>
      <c r="G374" s="3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2:21" ht="15.75" customHeight="1" x14ac:dyDescent="0.2">
      <c r="B375" s="2"/>
      <c r="C375" s="37"/>
      <c r="D375" s="37"/>
      <c r="E375" s="37"/>
      <c r="F375" s="37"/>
      <c r="G375" s="3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2:21" ht="15.75" customHeight="1" x14ac:dyDescent="0.2">
      <c r="B376" s="2"/>
      <c r="C376" s="37"/>
      <c r="D376" s="37"/>
      <c r="E376" s="37"/>
      <c r="F376" s="37"/>
      <c r="G376" s="3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2:21" ht="15.75" customHeight="1" x14ac:dyDescent="0.2">
      <c r="B377" s="2"/>
      <c r="C377" s="37"/>
      <c r="D377" s="37"/>
      <c r="E377" s="37"/>
      <c r="F377" s="37"/>
      <c r="G377" s="3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2:21" ht="15.75" customHeight="1" x14ac:dyDescent="0.2">
      <c r="B378" s="2"/>
      <c r="C378" s="37"/>
      <c r="D378" s="37"/>
      <c r="E378" s="37"/>
      <c r="F378" s="37"/>
      <c r="G378" s="3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2:21" ht="15.75" customHeight="1" x14ac:dyDescent="0.2">
      <c r="B379" s="2"/>
      <c r="C379" s="37"/>
      <c r="D379" s="37"/>
      <c r="E379" s="37"/>
      <c r="F379" s="37"/>
      <c r="G379" s="3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2:21" ht="15.75" customHeight="1" x14ac:dyDescent="0.2">
      <c r="B380" s="2"/>
      <c r="C380" s="37"/>
      <c r="D380" s="37"/>
      <c r="E380" s="37"/>
      <c r="F380" s="37"/>
      <c r="G380" s="3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2:21" ht="15.75" customHeight="1" x14ac:dyDescent="0.2">
      <c r="B381" s="2"/>
      <c r="C381" s="37"/>
      <c r="D381" s="37"/>
      <c r="E381" s="37"/>
      <c r="F381" s="37"/>
      <c r="G381" s="3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2:21" ht="15.75" customHeight="1" x14ac:dyDescent="0.2">
      <c r="B382" s="2"/>
      <c r="C382" s="37"/>
      <c r="D382" s="37"/>
      <c r="E382" s="37"/>
      <c r="F382" s="37"/>
      <c r="G382" s="3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2:21" ht="15.75" customHeight="1" x14ac:dyDescent="0.2">
      <c r="B383" s="2"/>
      <c r="C383" s="37"/>
      <c r="D383" s="37"/>
      <c r="E383" s="37"/>
      <c r="F383" s="37"/>
      <c r="G383" s="3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2:21" ht="15.75" customHeight="1" x14ac:dyDescent="0.2">
      <c r="B384" s="2"/>
      <c r="C384" s="37"/>
      <c r="D384" s="37"/>
      <c r="E384" s="37"/>
      <c r="F384" s="37"/>
      <c r="G384" s="3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2:21" ht="15.75" customHeight="1" x14ac:dyDescent="0.2">
      <c r="B385" s="2"/>
      <c r="C385" s="37"/>
      <c r="D385" s="37"/>
      <c r="E385" s="37"/>
      <c r="F385" s="37"/>
      <c r="G385" s="3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2:21" ht="15.75" customHeight="1" x14ac:dyDescent="0.2">
      <c r="B386" s="2"/>
      <c r="C386" s="37"/>
      <c r="D386" s="37"/>
      <c r="E386" s="37"/>
      <c r="F386" s="37"/>
      <c r="G386" s="3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2:21" ht="15.75" customHeight="1" x14ac:dyDescent="0.2">
      <c r="B387" s="2"/>
      <c r="C387" s="37"/>
      <c r="D387" s="37"/>
      <c r="E387" s="37"/>
      <c r="F387" s="37"/>
      <c r="G387" s="3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2:21" ht="15.75" customHeight="1" x14ac:dyDescent="0.2">
      <c r="B388" s="2"/>
      <c r="C388" s="37"/>
      <c r="D388" s="37"/>
      <c r="E388" s="37"/>
      <c r="F388" s="37"/>
      <c r="G388" s="3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2:21" ht="15.75" customHeight="1" x14ac:dyDescent="0.2">
      <c r="B389" s="2"/>
      <c r="C389" s="37"/>
      <c r="D389" s="37"/>
      <c r="E389" s="37"/>
      <c r="F389" s="37"/>
      <c r="G389" s="3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2:21" ht="15.75" customHeight="1" x14ac:dyDescent="0.2">
      <c r="B390" s="2"/>
      <c r="C390" s="37"/>
      <c r="D390" s="37"/>
      <c r="E390" s="37"/>
      <c r="F390" s="37"/>
      <c r="G390" s="3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2:21" ht="15.75" customHeight="1" x14ac:dyDescent="0.2">
      <c r="B391" s="2"/>
      <c r="C391" s="37"/>
      <c r="D391" s="37"/>
      <c r="E391" s="37"/>
      <c r="F391" s="37"/>
      <c r="G391" s="3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2:21" ht="15.75" customHeight="1" x14ac:dyDescent="0.2">
      <c r="B392" s="2"/>
      <c r="C392" s="37"/>
      <c r="D392" s="37"/>
      <c r="E392" s="37"/>
      <c r="F392" s="37"/>
      <c r="G392" s="3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2:21" ht="15.75" customHeight="1" x14ac:dyDescent="0.2">
      <c r="B393" s="2"/>
      <c r="C393" s="37"/>
      <c r="D393" s="37"/>
      <c r="E393" s="37"/>
      <c r="F393" s="37"/>
      <c r="G393" s="3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2:21" ht="15.75" customHeight="1" x14ac:dyDescent="0.2">
      <c r="B394" s="2"/>
      <c r="C394" s="37"/>
      <c r="D394" s="37"/>
      <c r="E394" s="37"/>
      <c r="F394" s="37"/>
      <c r="G394" s="3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2:21" ht="15.75" customHeight="1" x14ac:dyDescent="0.2">
      <c r="B395" s="2"/>
      <c r="C395" s="37"/>
      <c r="D395" s="37"/>
      <c r="E395" s="37"/>
      <c r="F395" s="37"/>
      <c r="G395" s="3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2:21" ht="15.75" customHeight="1" x14ac:dyDescent="0.2">
      <c r="B396" s="2"/>
      <c r="C396" s="37"/>
      <c r="D396" s="37"/>
      <c r="E396" s="37"/>
      <c r="F396" s="37"/>
      <c r="G396" s="3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2:21" ht="15.75" customHeight="1" x14ac:dyDescent="0.2">
      <c r="B397" s="2"/>
      <c r="C397" s="37"/>
      <c r="D397" s="37"/>
      <c r="E397" s="37"/>
      <c r="F397" s="37"/>
      <c r="G397" s="3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2:21" ht="15.75" customHeight="1" x14ac:dyDescent="0.2">
      <c r="B398" s="2"/>
      <c r="C398" s="37"/>
      <c r="D398" s="37"/>
      <c r="E398" s="37"/>
      <c r="F398" s="37"/>
      <c r="G398" s="3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2:21" ht="15.75" customHeight="1" x14ac:dyDescent="0.2">
      <c r="B399" s="2"/>
      <c r="C399" s="37"/>
      <c r="D399" s="37"/>
      <c r="E399" s="37"/>
      <c r="F399" s="37"/>
      <c r="G399" s="3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2:21" ht="15.75" customHeight="1" x14ac:dyDescent="0.2">
      <c r="B400" s="2"/>
      <c r="C400" s="37"/>
      <c r="D400" s="37"/>
      <c r="E400" s="37"/>
      <c r="F400" s="37"/>
      <c r="G400" s="3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2:21" ht="15.75" customHeight="1" x14ac:dyDescent="0.2">
      <c r="B401" s="2"/>
      <c r="C401" s="37"/>
      <c r="D401" s="37"/>
      <c r="E401" s="37"/>
      <c r="F401" s="37"/>
      <c r="G401" s="3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2:21" ht="15.75" customHeight="1" x14ac:dyDescent="0.2">
      <c r="B402" s="2"/>
      <c r="C402" s="37"/>
      <c r="D402" s="37"/>
      <c r="E402" s="37"/>
      <c r="F402" s="37"/>
      <c r="G402" s="3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2:21" ht="15.75" customHeight="1" x14ac:dyDescent="0.2">
      <c r="B403" s="2"/>
      <c r="C403" s="37"/>
      <c r="D403" s="37"/>
      <c r="E403" s="37"/>
      <c r="F403" s="37"/>
      <c r="G403" s="3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2:21" ht="15.75" customHeight="1" x14ac:dyDescent="0.2">
      <c r="B404" s="2"/>
      <c r="C404" s="37"/>
      <c r="D404" s="37"/>
      <c r="E404" s="37"/>
      <c r="F404" s="37"/>
      <c r="G404" s="3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2:21" ht="15.75" customHeight="1" x14ac:dyDescent="0.2">
      <c r="B405" s="2"/>
      <c r="C405" s="37"/>
      <c r="D405" s="37"/>
      <c r="E405" s="37"/>
      <c r="F405" s="37"/>
      <c r="G405" s="3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2:21" ht="15.75" customHeight="1" x14ac:dyDescent="0.2">
      <c r="B406" s="2"/>
      <c r="C406" s="37"/>
      <c r="D406" s="37"/>
      <c r="E406" s="37"/>
      <c r="F406" s="37"/>
      <c r="G406" s="3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2:21" ht="15.75" customHeight="1" x14ac:dyDescent="0.2">
      <c r="B407" s="2"/>
      <c r="C407" s="37"/>
      <c r="D407" s="37"/>
      <c r="E407" s="37"/>
      <c r="F407" s="37"/>
      <c r="G407" s="3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2:21" ht="15.75" customHeight="1" x14ac:dyDescent="0.2">
      <c r="B408" s="2"/>
      <c r="C408" s="37"/>
      <c r="D408" s="37"/>
      <c r="E408" s="37"/>
      <c r="F408" s="37"/>
      <c r="G408" s="3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2:21" ht="15.75" customHeight="1" x14ac:dyDescent="0.2">
      <c r="B409" s="2"/>
      <c r="C409" s="37"/>
      <c r="D409" s="37"/>
      <c r="E409" s="37"/>
      <c r="F409" s="37"/>
      <c r="G409" s="3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2:21" ht="15.75" customHeight="1" x14ac:dyDescent="0.2">
      <c r="B410" s="2"/>
      <c r="C410" s="37"/>
      <c r="D410" s="37"/>
      <c r="E410" s="37"/>
      <c r="F410" s="37"/>
      <c r="G410" s="3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2:21" ht="15.75" customHeight="1" x14ac:dyDescent="0.2">
      <c r="B411" s="2"/>
      <c r="C411" s="37"/>
      <c r="D411" s="37"/>
      <c r="E411" s="37"/>
      <c r="F411" s="37"/>
      <c r="G411" s="3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2:21" ht="15.75" customHeight="1" x14ac:dyDescent="0.2">
      <c r="B412" s="2"/>
      <c r="C412" s="37"/>
      <c r="D412" s="37"/>
      <c r="E412" s="37"/>
      <c r="F412" s="37"/>
      <c r="G412" s="3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2:21" ht="15.75" customHeight="1" x14ac:dyDescent="0.2">
      <c r="B413" s="2"/>
      <c r="C413" s="37"/>
      <c r="D413" s="37"/>
      <c r="E413" s="37"/>
      <c r="F413" s="37"/>
      <c r="G413" s="3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2:21" ht="15.75" customHeight="1" x14ac:dyDescent="0.2">
      <c r="B414" s="2"/>
      <c r="C414" s="37"/>
      <c r="D414" s="37"/>
      <c r="E414" s="37"/>
      <c r="F414" s="37"/>
      <c r="G414" s="3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2:21" ht="15.75" customHeight="1" x14ac:dyDescent="0.2">
      <c r="B415" s="2"/>
      <c r="C415" s="37"/>
      <c r="D415" s="37"/>
      <c r="E415" s="37"/>
      <c r="F415" s="37"/>
      <c r="G415" s="3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2:21" ht="15.75" customHeight="1" x14ac:dyDescent="0.2">
      <c r="B416" s="2"/>
      <c r="C416" s="37"/>
      <c r="D416" s="37"/>
      <c r="E416" s="37"/>
      <c r="F416" s="37"/>
      <c r="G416" s="3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2:21" ht="15.75" customHeight="1" x14ac:dyDescent="0.2">
      <c r="B417" s="2"/>
      <c r="C417" s="37"/>
      <c r="D417" s="37"/>
      <c r="E417" s="37"/>
      <c r="F417" s="37"/>
      <c r="G417" s="3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2:21" ht="15.75" customHeight="1" x14ac:dyDescent="0.2">
      <c r="B418" s="2"/>
      <c r="C418" s="37"/>
      <c r="D418" s="37"/>
      <c r="E418" s="37"/>
      <c r="F418" s="37"/>
      <c r="G418" s="3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2:21" ht="15.75" customHeight="1" x14ac:dyDescent="0.2">
      <c r="B419" s="2"/>
      <c r="C419" s="37"/>
      <c r="D419" s="37"/>
      <c r="E419" s="37"/>
      <c r="F419" s="37"/>
      <c r="G419" s="3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2:21" ht="15.75" customHeight="1" x14ac:dyDescent="0.2">
      <c r="B420" s="2"/>
      <c r="C420" s="37"/>
      <c r="D420" s="37"/>
      <c r="E420" s="37"/>
      <c r="F420" s="37"/>
      <c r="G420" s="3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2:21" ht="15.75" customHeight="1" x14ac:dyDescent="0.2">
      <c r="B421" s="2"/>
      <c r="C421" s="37"/>
      <c r="D421" s="37"/>
      <c r="E421" s="37"/>
      <c r="F421" s="37"/>
      <c r="G421" s="3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2:21" ht="15.75" customHeight="1" x14ac:dyDescent="0.2">
      <c r="B422" s="2"/>
      <c r="C422" s="37"/>
      <c r="D422" s="37"/>
      <c r="E422" s="37"/>
      <c r="F422" s="37"/>
      <c r="G422" s="3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2:21" ht="15.75" customHeight="1" x14ac:dyDescent="0.2">
      <c r="B423" s="2"/>
      <c r="C423" s="37"/>
      <c r="D423" s="37"/>
      <c r="E423" s="37"/>
      <c r="F423" s="37"/>
      <c r="G423" s="3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2:21" ht="15.75" customHeight="1" x14ac:dyDescent="0.2">
      <c r="B424" s="2"/>
      <c r="C424" s="37"/>
      <c r="D424" s="37"/>
      <c r="E424" s="37"/>
      <c r="F424" s="37"/>
      <c r="G424" s="3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2:21" ht="15.75" customHeight="1" x14ac:dyDescent="0.2">
      <c r="B425" s="2"/>
      <c r="C425" s="37"/>
      <c r="D425" s="37"/>
      <c r="E425" s="37"/>
      <c r="F425" s="37"/>
      <c r="G425" s="3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2:21" ht="15.75" customHeight="1" x14ac:dyDescent="0.2">
      <c r="B426" s="2"/>
      <c r="C426" s="37"/>
      <c r="D426" s="37"/>
      <c r="E426" s="37"/>
      <c r="F426" s="37"/>
      <c r="G426" s="3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2:21" ht="15.75" customHeight="1" x14ac:dyDescent="0.2">
      <c r="B427" s="2"/>
      <c r="C427" s="37"/>
      <c r="D427" s="37"/>
      <c r="E427" s="37"/>
      <c r="F427" s="37"/>
      <c r="G427" s="3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2:21" ht="15.75" customHeight="1" x14ac:dyDescent="0.2">
      <c r="B428" s="2"/>
      <c r="C428" s="37"/>
      <c r="D428" s="37"/>
      <c r="E428" s="37"/>
      <c r="F428" s="37"/>
      <c r="G428" s="3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2:21" ht="15.75" customHeight="1" x14ac:dyDescent="0.2">
      <c r="B429" s="2"/>
      <c r="C429" s="37"/>
      <c r="D429" s="37"/>
      <c r="E429" s="37"/>
      <c r="F429" s="37"/>
      <c r="G429" s="3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2:21" ht="15.75" customHeight="1" x14ac:dyDescent="0.2">
      <c r="B430" s="2"/>
      <c r="C430" s="37"/>
      <c r="D430" s="37"/>
      <c r="E430" s="37"/>
      <c r="F430" s="37"/>
      <c r="G430" s="3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2:21" ht="15.75" customHeight="1" x14ac:dyDescent="0.2">
      <c r="B431" s="2"/>
      <c r="C431" s="37"/>
      <c r="D431" s="37"/>
      <c r="E431" s="37"/>
      <c r="F431" s="37"/>
      <c r="G431" s="3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2:21" ht="15.75" customHeight="1" x14ac:dyDescent="0.2">
      <c r="B432" s="2"/>
      <c r="C432" s="37"/>
      <c r="D432" s="37"/>
      <c r="E432" s="37"/>
      <c r="F432" s="37"/>
      <c r="G432" s="3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2:21" ht="15.75" customHeight="1" x14ac:dyDescent="0.2">
      <c r="B433" s="2"/>
      <c r="C433" s="37"/>
      <c r="D433" s="37"/>
      <c r="E433" s="37"/>
      <c r="F433" s="37"/>
      <c r="G433" s="3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2:21" ht="15.75" customHeight="1" x14ac:dyDescent="0.2">
      <c r="B434" s="2"/>
      <c r="C434" s="37"/>
      <c r="D434" s="37"/>
      <c r="E434" s="37"/>
      <c r="F434" s="37"/>
      <c r="G434" s="3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2:21" ht="15.75" customHeight="1" x14ac:dyDescent="0.2">
      <c r="B435" s="2"/>
      <c r="C435" s="37"/>
      <c r="D435" s="37"/>
      <c r="E435" s="37"/>
      <c r="F435" s="37"/>
      <c r="G435" s="3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2:21" ht="15.75" customHeight="1" x14ac:dyDescent="0.2">
      <c r="B436" s="2"/>
      <c r="C436" s="37"/>
      <c r="D436" s="37"/>
      <c r="E436" s="37"/>
      <c r="F436" s="37"/>
      <c r="G436" s="3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2:21" ht="15.75" customHeight="1" x14ac:dyDescent="0.2">
      <c r="B437" s="2"/>
      <c r="C437" s="37"/>
      <c r="D437" s="37"/>
      <c r="E437" s="37"/>
      <c r="F437" s="37"/>
      <c r="G437" s="3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2:21" ht="15.75" customHeight="1" x14ac:dyDescent="0.2">
      <c r="B438" s="2"/>
      <c r="C438" s="37"/>
      <c r="D438" s="37"/>
      <c r="E438" s="37"/>
      <c r="F438" s="37"/>
      <c r="G438" s="3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2:21" ht="15.75" customHeight="1" x14ac:dyDescent="0.2">
      <c r="B439" s="2"/>
      <c r="C439" s="37"/>
      <c r="D439" s="37"/>
      <c r="E439" s="37"/>
      <c r="F439" s="37"/>
      <c r="G439" s="3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2:21" ht="15.75" customHeight="1" x14ac:dyDescent="0.2">
      <c r="B440" s="2"/>
      <c r="C440" s="37"/>
      <c r="D440" s="37"/>
      <c r="E440" s="37"/>
      <c r="F440" s="37"/>
      <c r="G440" s="3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2:21" ht="15.75" customHeight="1" x14ac:dyDescent="0.2">
      <c r="B441" s="2"/>
      <c r="C441" s="37"/>
      <c r="D441" s="37"/>
      <c r="E441" s="37"/>
      <c r="F441" s="37"/>
      <c r="G441" s="3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2:21" ht="15.75" customHeight="1" x14ac:dyDescent="0.2">
      <c r="B442" s="2"/>
      <c r="C442" s="37"/>
      <c r="D442" s="37"/>
      <c r="E442" s="37"/>
      <c r="F442" s="37"/>
      <c r="G442" s="3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2:21" ht="15.75" customHeight="1" x14ac:dyDescent="0.2">
      <c r="B443" s="2"/>
      <c r="C443" s="37"/>
      <c r="D443" s="37"/>
      <c r="E443" s="37"/>
      <c r="F443" s="37"/>
      <c r="G443" s="3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2:21" ht="15.75" customHeight="1" x14ac:dyDescent="0.2">
      <c r="B444" s="2"/>
      <c r="C444" s="37"/>
      <c r="D444" s="37"/>
      <c r="E444" s="37"/>
      <c r="F444" s="37"/>
      <c r="G444" s="3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2:21" ht="15.75" customHeight="1" x14ac:dyDescent="0.2">
      <c r="B445" s="2"/>
      <c r="C445" s="37"/>
      <c r="D445" s="37"/>
      <c r="E445" s="37"/>
      <c r="F445" s="37"/>
      <c r="G445" s="3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2:21" ht="15.75" customHeight="1" x14ac:dyDescent="0.2">
      <c r="B446" s="2"/>
      <c r="C446" s="37"/>
      <c r="D446" s="37"/>
      <c r="E446" s="37"/>
      <c r="F446" s="37"/>
      <c r="G446" s="3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2:21" ht="15.75" customHeight="1" x14ac:dyDescent="0.2">
      <c r="B447" s="2"/>
      <c r="C447" s="37"/>
      <c r="D447" s="37"/>
      <c r="E447" s="37"/>
      <c r="F447" s="37"/>
      <c r="G447" s="3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2:21" ht="15.75" customHeight="1" x14ac:dyDescent="0.2">
      <c r="B448" s="2"/>
      <c r="C448" s="37"/>
      <c r="D448" s="37"/>
      <c r="E448" s="37"/>
      <c r="F448" s="37"/>
      <c r="G448" s="3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2:21" ht="15.75" customHeight="1" x14ac:dyDescent="0.2">
      <c r="B449" s="2"/>
      <c r="C449" s="37"/>
      <c r="D449" s="37"/>
      <c r="E449" s="37"/>
      <c r="F449" s="37"/>
      <c r="G449" s="3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2:21" ht="15.75" customHeight="1" x14ac:dyDescent="0.2">
      <c r="B450" s="2"/>
      <c r="C450" s="37"/>
      <c r="D450" s="37"/>
      <c r="E450" s="37"/>
      <c r="F450" s="37"/>
      <c r="G450" s="3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2:21" ht="15.75" customHeight="1" x14ac:dyDescent="0.2">
      <c r="B451" s="2"/>
      <c r="C451" s="37"/>
      <c r="D451" s="37"/>
      <c r="E451" s="37"/>
      <c r="F451" s="37"/>
      <c r="G451" s="3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2:21" ht="15.75" customHeight="1" x14ac:dyDescent="0.2">
      <c r="B452" s="2"/>
      <c r="C452" s="37"/>
      <c r="D452" s="37"/>
      <c r="E452" s="37"/>
      <c r="F452" s="37"/>
      <c r="G452" s="3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2:21" ht="15.75" customHeight="1" x14ac:dyDescent="0.2">
      <c r="B453" s="2"/>
      <c r="C453" s="37"/>
      <c r="D453" s="37"/>
      <c r="E453" s="37"/>
      <c r="F453" s="37"/>
      <c r="G453" s="3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2:21" ht="15.75" customHeight="1" x14ac:dyDescent="0.2">
      <c r="B454" s="2"/>
      <c r="C454" s="37"/>
      <c r="D454" s="37"/>
      <c r="E454" s="37"/>
      <c r="F454" s="37"/>
      <c r="G454" s="3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2:21" ht="15.75" customHeight="1" x14ac:dyDescent="0.2">
      <c r="B455" s="2"/>
      <c r="C455" s="37"/>
      <c r="D455" s="37"/>
      <c r="E455" s="37"/>
      <c r="F455" s="37"/>
      <c r="G455" s="3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2:21" ht="15.75" customHeight="1" x14ac:dyDescent="0.2">
      <c r="B456" s="2"/>
      <c r="C456" s="37"/>
      <c r="D456" s="37"/>
      <c r="E456" s="37"/>
      <c r="F456" s="37"/>
      <c r="G456" s="3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2:21" ht="15.75" customHeight="1" x14ac:dyDescent="0.2">
      <c r="B457" s="2"/>
      <c r="C457" s="37"/>
      <c r="D457" s="37"/>
      <c r="E457" s="37"/>
      <c r="F457" s="37"/>
      <c r="G457" s="3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2:21" ht="15.75" customHeight="1" x14ac:dyDescent="0.2">
      <c r="B458" s="2"/>
      <c r="C458" s="37"/>
      <c r="D458" s="37"/>
      <c r="E458" s="37"/>
      <c r="F458" s="37"/>
      <c r="G458" s="3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2:21" ht="15.75" customHeight="1" x14ac:dyDescent="0.2">
      <c r="B459" s="2"/>
      <c r="C459" s="37"/>
      <c r="D459" s="37"/>
      <c r="E459" s="37"/>
      <c r="F459" s="37"/>
      <c r="G459" s="3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2:21" ht="15.75" customHeight="1" x14ac:dyDescent="0.2">
      <c r="B460" s="2"/>
      <c r="C460" s="37"/>
      <c r="D460" s="37"/>
      <c r="E460" s="37"/>
      <c r="F460" s="37"/>
      <c r="G460" s="3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2:21" ht="15.75" customHeight="1" x14ac:dyDescent="0.2">
      <c r="B461" s="2"/>
      <c r="C461" s="37"/>
      <c r="D461" s="37"/>
      <c r="E461" s="37"/>
      <c r="F461" s="37"/>
      <c r="G461" s="3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2:21" ht="15.75" customHeight="1" x14ac:dyDescent="0.2">
      <c r="B462" s="2"/>
      <c r="C462" s="37"/>
      <c r="D462" s="37"/>
      <c r="E462" s="37"/>
      <c r="F462" s="37"/>
      <c r="G462" s="3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2:21" ht="15.75" customHeight="1" x14ac:dyDescent="0.2">
      <c r="B463" s="2"/>
      <c r="C463" s="37"/>
      <c r="D463" s="37"/>
      <c r="E463" s="37"/>
      <c r="F463" s="37"/>
      <c r="G463" s="3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2:21" ht="15.75" customHeight="1" x14ac:dyDescent="0.2">
      <c r="B464" s="2"/>
      <c r="C464" s="37"/>
      <c r="D464" s="37"/>
      <c r="E464" s="37"/>
      <c r="F464" s="37"/>
      <c r="G464" s="3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2:21" ht="15.75" customHeight="1" x14ac:dyDescent="0.2">
      <c r="B465" s="2"/>
      <c r="C465" s="37"/>
      <c r="D465" s="37"/>
      <c r="E465" s="37"/>
      <c r="F465" s="37"/>
      <c r="G465" s="3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2:21" ht="15.75" customHeight="1" x14ac:dyDescent="0.2">
      <c r="B466" s="2"/>
      <c r="C466" s="37"/>
      <c r="D466" s="37"/>
      <c r="E466" s="37"/>
      <c r="F466" s="37"/>
      <c r="G466" s="3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2:21" ht="15.75" customHeight="1" x14ac:dyDescent="0.2">
      <c r="B467" s="2"/>
      <c r="C467" s="37"/>
      <c r="D467" s="37"/>
      <c r="E467" s="37"/>
      <c r="F467" s="37"/>
      <c r="G467" s="3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2:21" ht="15.75" customHeight="1" x14ac:dyDescent="0.2">
      <c r="B468" s="2"/>
      <c r="C468" s="37"/>
      <c r="D468" s="37"/>
      <c r="E468" s="37"/>
      <c r="F468" s="37"/>
      <c r="G468" s="3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2:21" ht="15.75" customHeight="1" x14ac:dyDescent="0.2">
      <c r="B469" s="2"/>
      <c r="C469" s="37"/>
      <c r="D469" s="37"/>
      <c r="E469" s="37"/>
      <c r="F469" s="37"/>
      <c r="G469" s="3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2:21" ht="15.75" customHeight="1" x14ac:dyDescent="0.2">
      <c r="B470" s="2"/>
      <c r="C470" s="37"/>
      <c r="D470" s="37"/>
      <c r="E470" s="37"/>
      <c r="F470" s="37"/>
      <c r="G470" s="3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2:21" ht="15.75" customHeight="1" x14ac:dyDescent="0.2">
      <c r="B471" s="2"/>
      <c r="C471" s="37"/>
      <c r="D471" s="37"/>
      <c r="E471" s="37"/>
      <c r="F471" s="37"/>
      <c r="G471" s="3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2:21" ht="15.75" customHeight="1" x14ac:dyDescent="0.2">
      <c r="B472" s="2"/>
      <c r="C472" s="37"/>
      <c r="D472" s="37"/>
      <c r="E472" s="37"/>
      <c r="F472" s="37"/>
      <c r="G472" s="3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2:21" ht="15.75" customHeight="1" x14ac:dyDescent="0.2">
      <c r="B473" s="2"/>
      <c r="C473" s="37"/>
      <c r="D473" s="37"/>
      <c r="E473" s="37"/>
      <c r="F473" s="37"/>
      <c r="G473" s="3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2:21" ht="15.75" customHeight="1" x14ac:dyDescent="0.2">
      <c r="B474" s="2"/>
      <c r="C474" s="37"/>
      <c r="D474" s="37"/>
      <c r="E474" s="37"/>
      <c r="F474" s="37"/>
      <c r="G474" s="3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2:21" ht="15.75" customHeight="1" x14ac:dyDescent="0.2">
      <c r="B475" s="2"/>
      <c r="C475" s="37"/>
      <c r="D475" s="37"/>
      <c r="E475" s="37"/>
      <c r="F475" s="37"/>
      <c r="G475" s="3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2:21" ht="15.75" customHeight="1" x14ac:dyDescent="0.2">
      <c r="B476" s="2"/>
      <c r="C476" s="37"/>
      <c r="D476" s="37"/>
      <c r="E476" s="37"/>
      <c r="F476" s="37"/>
      <c r="G476" s="3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2:21" ht="15.75" customHeight="1" x14ac:dyDescent="0.2">
      <c r="B477" s="2"/>
      <c r="C477" s="37"/>
      <c r="D477" s="37"/>
      <c r="E477" s="37"/>
      <c r="F477" s="37"/>
      <c r="G477" s="3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2:21" ht="15.75" customHeight="1" x14ac:dyDescent="0.2">
      <c r="B478" s="2"/>
      <c r="C478" s="37"/>
      <c r="D478" s="37"/>
      <c r="E478" s="37"/>
      <c r="F478" s="37"/>
      <c r="G478" s="3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2:21" ht="15.75" customHeight="1" x14ac:dyDescent="0.2">
      <c r="B479" s="2"/>
      <c r="C479" s="37"/>
      <c r="D479" s="37"/>
      <c r="E479" s="37"/>
      <c r="F479" s="37"/>
      <c r="G479" s="3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2:21" ht="15.75" customHeight="1" x14ac:dyDescent="0.2">
      <c r="B480" s="2"/>
      <c r="C480" s="37"/>
      <c r="D480" s="37"/>
      <c r="E480" s="37"/>
      <c r="F480" s="37"/>
      <c r="G480" s="3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2:21" ht="15.75" customHeight="1" x14ac:dyDescent="0.2">
      <c r="B481" s="2"/>
      <c r="C481" s="37"/>
      <c r="D481" s="37"/>
      <c r="E481" s="37"/>
      <c r="F481" s="37"/>
      <c r="G481" s="3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2:21" ht="15.75" customHeight="1" x14ac:dyDescent="0.2">
      <c r="B482" s="2"/>
      <c r="C482" s="37"/>
      <c r="D482" s="37"/>
      <c r="E482" s="37"/>
      <c r="F482" s="37"/>
      <c r="G482" s="3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2:21" ht="15.75" customHeight="1" x14ac:dyDescent="0.2">
      <c r="B483" s="2"/>
      <c r="C483" s="37"/>
      <c r="D483" s="37"/>
      <c r="E483" s="37"/>
      <c r="F483" s="37"/>
      <c r="G483" s="3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2:21" ht="15.75" customHeight="1" x14ac:dyDescent="0.2">
      <c r="B484" s="2"/>
      <c r="C484" s="37"/>
      <c r="D484" s="37"/>
      <c r="E484" s="37"/>
      <c r="F484" s="37"/>
      <c r="G484" s="3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2:21" ht="15.75" customHeight="1" x14ac:dyDescent="0.2">
      <c r="B485" s="2"/>
      <c r="C485" s="37"/>
      <c r="D485" s="37"/>
      <c r="E485" s="37"/>
      <c r="F485" s="37"/>
      <c r="G485" s="3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2:21" ht="15.75" customHeight="1" x14ac:dyDescent="0.2">
      <c r="B486" s="2"/>
      <c r="C486" s="37"/>
      <c r="D486" s="37"/>
      <c r="E486" s="37"/>
      <c r="F486" s="37"/>
      <c r="G486" s="3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2:21" ht="15.75" customHeight="1" x14ac:dyDescent="0.2">
      <c r="B487" s="2"/>
      <c r="C487" s="37"/>
      <c r="D487" s="37"/>
      <c r="E487" s="37"/>
      <c r="F487" s="37"/>
      <c r="G487" s="3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2:21" ht="15.75" customHeight="1" x14ac:dyDescent="0.2">
      <c r="B488" s="2"/>
      <c r="C488" s="37"/>
      <c r="D488" s="37"/>
      <c r="E488" s="37"/>
      <c r="F488" s="37"/>
      <c r="G488" s="3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2:21" ht="15.75" customHeight="1" x14ac:dyDescent="0.2">
      <c r="B489" s="2"/>
      <c r="C489" s="37"/>
      <c r="D489" s="37"/>
      <c r="E489" s="37"/>
      <c r="F489" s="37"/>
      <c r="G489" s="3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2:21" ht="15.75" customHeight="1" x14ac:dyDescent="0.2">
      <c r="B490" s="2"/>
      <c r="C490" s="37"/>
      <c r="D490" s="37"/>
      <c r="E490" s="37"/>
      <c r="F490" s="37"/>
      <c r="G490" s="3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2:21" ht="15.75" customHeight="1" x14ac:dyDescent="0.2">
      <c r="B491" s="2"/>
      <c r="C491" s="37"/>
      <c r="D491" s="37"/>
      <c r="E491" s="37"/>
      <c r="F491" s="37"/>
      <c r="G491" s="3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2:21" ht="15.75" customHeight="1" x14ac:dyDescent="0.2">
      <c r="B492" s="2"/>
      <c r="C492" s="37"/>
      <c r="D492" s="37"/>
      <c r="E492" s="37"/>
      <c r="F492" s="37"/>
      <c r="G492" s="3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2:21" ht="15.75" customHeight="1" x14ac:dyDescent="0.2">
      <c r="B493" s="2"/>
      <c r="C493" s="37"/>
      <c r="D493" s="37"/>
      <c r="E493" s="37"/>
      <c r="F493" s="37"/>
      <c r="G493" s="3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2:21" ht="15.75" customHeight="1" x14ac:dyDescent="0.2">
      <c r="B494" s="2"/>
      <c r="C494" s="37"/>
      <c r="D494" s="37"/>
      <c r="E494" s="37"/>
      <c r="F494" s="37"/>
      <c r="G494" s="3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2:21" ht="15.75" customHeight="1" x14ac:dyDescent="0.2">
      <c r="B495" s="2"/>
      <c r="C495" s="37"/>
      <c r="D495" s="37"/>
      <c r="E495" s="37"/>
      <c r="F495" s="37"/>
      <c r="G495" s="3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2:21" ht="15.75" customHeight="1" x14ac:dyDescent="0.2">
      <c r="B496" s="2"/>
      <c r="C496" s="37"/>
      <c r="D496" s="37"/>
      <c r="E496" s="37"/>
      <c r="F496" s="37"/>
      <c r="G496" s="3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2:21" ht="15.75" customHeight="1" x14ac:dyDescent="0.2">
      <c r="B497" s="2"/>
      <c r="C497" s="37"/>
      <c r="D497" s="37"/>
      <c r="E497" s="37"/>
      <c r="F497" s="37"/>
      <c r="G497" s="3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2:21" ht="15.75" customHeight="1" x14ac:dyDescent="0.2">
      <c r="B498" s="2"/>
      <c r="C498" s="37"/>
      <c r="D498" s="37"/>
      <c r="E498" s="37"/>
      <c r="F498" s="37"/>
      <c r="G498" s="3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2:21" ht="15.75" customHeight="1" x14ac:dyDescent="0.2">
      <c r="B499" s="2"/>
      <c r="C499" s="37"/>
      <c r="D499" s="37"/>
      <c r="E499" s="37"/>
      <c r="F499" s="37"/>
      <c r="G499" s="3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2:21" ht="15.75" customHeight="1" x14ac:dyDescent="0.2">
      <c r="B500" s="2"/>
      <c r="C500" s="37"/>
      <c r="D500" s="37"/>
      <c r="E500" s="37"/>
      <c r="F500" s="37"/>
      <c r="G500" s="3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2:21" ht="15.75" customHeight="1" x14ac:dyDescent="0.2">
      <c r="B501" s="2"/>
      <c r="C501" s="37"/>
      <c r="D501" s="37"/>
      <c r="E501" s="37"/>
      <c r="F501" s="37"/>
      <c r="G501" s="3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2:21" ht="15.75" customHeight="1" x14ac:dyDescent="0.2">
      <c r="B502" s="2"/>
      <c r="C502" s="37"/>
      <c r="D502" s="37"/>
      <c r="E502" s="37"/>
      <c r="F502" s="37"/>
      <c r="G502" s="3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2:21" ht="15.75" customHeight="1" x14ac:dyDescent="0.2">
      <c r="B503" s="2"/>
      <c r="C503" s="37"/>
      <c r="D503" s="37"/>
      <c r="E503" s="37"/>
      <c r="F503" s="37"/>
      <c r="G503" s="3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2:21" ht="15.75" customHeight="1" x14ac:dyDescent="0.2">
      <c r="B504" s="2"/>
      <c r="C504" s="37"/>
      <c r="D504" s="37"/>
      <c r="E504" s="37"/>
      <c r="F504" s="37"/>
      <c r="G504" s="3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2:21" ht="15.75" customHeight="1" x14ac:dyDescent="0.2">
      <c r="B505" s="2"/>
      <c r="C505" s="37"/>
      <c r="D505" s="37"/>
      <c r="E505" s="37"/>
      <c r="F505" s="37"/>
      <c r="G505" s="3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2:21" ht="15.75" customHeight="1" x14ac:dyDescent="0.2">
      <c r="B506" s="2"/>
      <c r="C506" s="37"/>
      <c r="D506" s="37"/>
      <c r="E506" s="37"/>
      <c r="F506" s="37"/>
      <c r="G506" s="3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2:21" ht="15.75" customHeight="1" x14ac:dyDescent="0.2">
      <c r="B507" s="2"/>
      <c r="C507" s="37"/>
      <c r="D507" s="37"/>
      <c r="E507" s="37"/>
      <c r="F507" s="37"/>
      <c r="G507" s="3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2:21" ht="15.75" customHeight="1" x14ac:dyDescent="0.2">
      <c r="B508" s="2"/>
      <c r="C508" s="37"/>
      <c r="D508" s="37"/>
      <c r="E508" s="37"/>
      <c r="F508" s="37"/>
      <c r="G508" s="3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2:21" ht="15.75" customHeight="1" x14ac:dyDescent="0.2">
      <c r="B509" s="2"/>
      <c r="C509" s="37"/>
      <c r="D509" s="37"/>
      <c r="E509" s="37"/>
      <c r="F509" s="37"/>
      <c r="G509" s="3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2:21" ht="15.75" customHeight="1" x14ac:dyDescent="0.2">
      <c r="B510" s="2"/>
      <c r="C510" s="37"/>
      <c r="D510" s="37"/>
      <c r="E510" s="37"/>
      <c r="F510" s="37"/>
      <c r="G510" s="3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2:21" ht="15.75" customHeight="1" x14ac:dyDescent="0.2">
      <c r="B511" s="2"/>
      <c r="C511" s="37"/>
      <c r="D511" s="37"/>
      <c r="E511" s="37"/>
      <c r="F511" s="37"/>
      <c r="G511" s="3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2:21" ht="15.75" customHeight="1" x14ac:dyDescent="0.2">
      <c r="B512" s="2"/>
      <c r="C512" s="37"/>
      <c r="D512" s="37"/>
      <c r="E512" s="37"/>
      <c r="F512" s="37"/>
      <c r="G512" s="3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2:21" ht="15.75" customHeight="1" x14ac:dyDescent="0.2">
      <c r="B513" s="2"/>
      <c r="C513" s="37"/>
      <c r="D513" s="37"/>
      <c r="E513" s="37"/>
      <c r="F513" s="37"/>
      <c r="G513" s="3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2:21" ht="15.75" customHeight="1" x14ac:dyDescent="0.2">
      <c r="B514" s="2"/>
      <c r="C514" s="37"/>
      <c r="D514" s="37"/>
      <c r="E514" s="37"/>
      <c r="F514" s="37"/>
      <c r="G514" s="3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2:21" ht="15.75" customHeight="1" x14ac:dyDescent="0.2">
      <c r="B515" s="2"/>
      <c r="C515" s="37"/>
      <c r="D515" s="37"/>
      <c r="E515" s="37"/>
      <c r="F515" s="37"/>
      <c r="G515" s="3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2:21" ht="15.75" customHeight="1" x14ac:dyDescent="0.2">
      <c r="B516" s="2"/>
      <c r="C516" s="37"/>
      <c r="D516" s="37"/>
      <c r="E516" s="37"/>
      <c r="F516" s="37"/>
      <c r="G516" s="3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2:21" ht="15.75" customHeight="1" x14ac:dyDescent="0.2">
      <c r="B517" s="2"/>
      <c r="C517" s="37"/>
      <c r="D517" s="37"/>
      <c r="E517" s="37"/>
      <c r="F517" s="37"/>
      <c r="G517" s="3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2:21" ht="15.75" customHeight="1" x14ac:dyDescent="0.2">
      <c r="B518" s="2"/>
      <c r="C518" s="37"/>
      <c r="D518" s="37"/>
      <c r="E518" s="37"/>
      <c r="F518" s="37"/>
      <c r="G518" s="3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2:21" ht="15.75" customHeight="1" x14ac:dyDescent="0.2">
      <c r="B519" s="2"/>
      <c r="C519" s="37"/>
      <c r="D519" s="37"/>
      <c r="E519" s="37"/>
      <c r="F519" s="37"/>
      <c r="G519" s="3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2:21" ht="15.75" customHeight="1" x14ac:dyDescent="0.2">
      <c r="B520" s="2"/>
      <c r="C520" s="37"/>
      <c r="D520" s="37"/>
      <c r="E520" s="37"/>
      <c r="F520" s="37"/>
      <c r="G520" s="3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2:21" ht="15.75" customHeight="1" x14ac:dyDescent="0.2">
      <c r="B521" s="2"/>
      <c r="C521" s="37"/>
      <c r="D521" s="37"/>
      <c r="E521" s="37"/>
      <c r="F521" s="37"/>
      <c r="G521" s="3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2:21" ht="15.75" customHeight="1" x14ac:dyDescent="0.2">
      <c r="B522" s="2"/>
      <c r="C522" s="37"/>
      <c r="D522" s="37"/>
      <c r="E522" s="37"/>
      <c r="F522" s="37"/>
      <c r="G522" s="3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2:21" ht="15.75" customHeight="1" x14ac:dyDescent="0.2">
      <c r="B523" s="2"/>
      <c r="C523" s="37"/>
      <c r="D523" s="37"/>
      <c r="E523" s="37"/>
      <c r="F523" s="37"/>
      <c r="G523" s="3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2:21" ht="15.75" customHeight="1" x14ac:dyDescent="0.2">
      <c r="B524" s="2"/>
      <c r="C524" s="37"/>
      <c r="D524" s="37"/>
      <c r="E524" s="37"/>
      <c r="F524" s="37"/>
      <c r="G524" s="3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2:21" ht="15.75" customHeight="1" x14ac:dyDescent="0.2">
      <c r="B525" s="2"/>
      <c r="C525" s="37"/>
      <c r="D525" s="37"/>
      <c r="E525" s="37"/>
      <c r="F525" s="37"/>
      <c r="G525" s="3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2:21" ht="15.75" customHeight="1" x14ac:dyDescent="0.2">
      <c r="B526" s="2"/>
      <c r="C526" s="37"/>
      <c r="D526" s="37"/>
      <c r="E526" s="37"/>
      <c r="F526" s="37"/>
      <c r="G526" s="3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2:21" ht="15.75" customHeight="1" x14ac:dyDescent="0.2">
      <c r="B527" s="2"/>
      <c r="C527" s="37"/>
      <c r="D527" s="37"/>
      <c r="E527" s="37"/>
      <c r="F527" s="37"/>
      <c r="G527" s="3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2:21" ht="15.75" customHeight="1" x14ac:dyDescent="0.2">
      <c r="B528" s="2"/>
      <c r="C528" s="37"/>
      <c r="D528" s="37"/>
      <c r="E528" s="37"/>
      <c r="F528" s="37"/>
      <c r="G528" s="3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2:21" ht="15.75" customHeight="1" x14ac:dyDescent="0.2">
      <c r="B529" s="2"/>
      <c r="C529" s="37"/>
      <c r="D529" s="37"/>
      <c r="E529" s="37"/>
      <c r="F529" s="37"/>
      <c r="G529" s="3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2:21" ht="15.75" customHeight="1" x14ac:dyDescent="0.2">
      <c r="B530" s="2"/>
      <c r="C530" s="37"/>
      <c r="D530" s="37"/>
      <c r="E530" s="37"/>
      <c r="F530" s="37"/>
      <c r="G530" s="3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2:21" ht="15.75" customHeight="1" x14ac:dyDescent="0.2">
      <c r="B531" s="2"/>
      <c r="C531" s="37"/>
      <c r="D531" s="37"/>
      <c r="E531" s="37"/>
      <c r="F531" s="37"/>
      <c r="G531" s="3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2:21" ht="15.75" customHeight="1" x14ac:dyDescent="0.2">
      <c r="B532" s="2"/>
      <c r="C532" s="37"/>
      <c r="D532" s="37"/>
      <c r="E532" s="37"/>
      <c r="F532" s="37"/>
      <c r="G532" s="3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2:21" ht="15.75" customHeight="1" x14ac:dyDescent="0.2">
      <c r="B533" s="2"/>
      <c r="C533" s="37"/>
      <c r="D533" s="37"/>
      <c r="E533" s="37"/>
      <c r="F533" s="37"/>
      <c r="G533" s="3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2:21" ht="15.75" customHeight="1" x14ac:dyDescent="0.2">
      <c r="B534" s="2"/>
      <c r="C534" s="37"/>
      <c r="D534" s="37"/>
      <c r="E534" s="37"/>
      <c r="F534" s="37"/>
      <c r="G534" s="3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2:21" ht="15.75" customHeight="1" x14ac:dyDescent="0.2">
      <c r="B535" s="2"/>
      <c r="C535" s="37"/>
      <c r="D535" s="37"/>
      <c r="E535" s="37"/>
      <c r="F535" s="37"/>
      <c r="G535" s="3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2:21" ht="15.75" customHeight="1" x14ac:dyDescent="0.2">
      <c r="B536" s="2"/>
      <c r="C536" s="37"/>
      <c r="D536" s="37"/>
      <c r="E536" s="37"/>
      <c r="F536" s="37"/>
      <c r="G536" s="3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2:21" ht="15.75" customHeight="1" x14ac:dyDescent="0.2">
      <c r="B537" s="2"/>
      <c r="C537" s="37"/>
      <c r="D537" s="37"/>
      <c r="E537" s="37"/>
      <c r="F537" s="37"/>
      <c r="G537" s="3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2:21" ht="15.75" customHeight="1" x14ac:dyDescent="0.2">
      <c r="B538" s="2"/>
      <c r="C538" s="37"/>
      <c r="D538" s="37"/>
      <c r="E538" s="37"/>
      <c r="F538" s="37"/>
      <c r="G538" s="3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2:21" ht="15.75" customHeight="1" x14ac:dyDescent="0.2">
      <c r="B539" s="2"/>
      <c r="C539" s="37"/>
      <c r="D539" s="37"/>
      <c r="E539" s="37"/>
      <c r="F539" s="37"/>
      <c r="G539" s="3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2:21" ht="15.75" customHeight="1" x14ac:dyDescent="0.2">
      <c r="B540" s="2"/>
      <c r="C540" s="37"/>
      <c r="D540" s="37"/>
      <c r="E540" s="37"/>
      <c r="F540" s="37"/>
      <c r="G540" s="3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2:21" ht="15.75" customHeight="1" x14ac:dyDescent="0.2">
      <c r="B541" s="2"/>
      <c r="C541" s="37"/>
      <c r="D541" s="37"/>
      <c r="E541" s="37"/>
      <c r="F541" s="37"/>
      <c r="G541" s="3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2:21" ht="15.75" customHeight="1" x14ac:dyDescent="0.2">
      <c r="B542" s="2"/>
      <c r="C542" s="37"/>
      <c r="D542" s="37"/>
      <c r="E542" s="37"/>
      <c r="F542" s="37"/>
      <c r="G542" s="3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2:21" ht="15.75" customHeight="1" x14ac:dyDescent="0.2">
      <c r="B543" s="2"/>
      <c r="C543" s="37"/>
      <c r="D543" s="37"/>
      <c r="E543" s="37"/>
      <c r="F543" s="37"/>
      <c r="G543" s="3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2:21" ht="15.75" customHeight="1" x14ac:dyDescent="0.2">
      <c r="B544" s="2"/>
      <c r="C544" s="37"/>
      <c r="D544" s="37"/>
      <c r="E544" s="37"/>
      <c r="F544" s="37"/>
      <c r="G544" s="3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2:21" ht="15.75" customHeight="1" x14ac:dyDescent="0.2">
      <c r="B545" s="2"/>
      <c r="C545" s="37"/>
      <c r="D545" s="37"/>
      <c r="E545" s="37"/>
      <c r="F545" s="37"/>
      <c r="G545" s="3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2:21" ht="15.75" customHeight="1" x14ac:dyDescent="0.2">
      <c r="B546" s="2"/>
      <c r="C546" s="37"/>
      <c r="D546" s="37"/>
      <c r="E546" s="37"/>
      <c r="F546" s="37"/>
      <c r="G546" s="3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2:21" ht="15.75" customHeight="1" x14ac:dyDescent="0.2">
      <c r="B547" s="2"/>
      <c r="C547" s="37"/>
      <c r="D547" s="37"/>
      <c r="E547" s="37"/>
      <c r="F547" s="37"/>
      <c r="G547" s="3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2:21" ht="15.75" customHeight="1" x14ac:dyDescent="0.2">
      <c r="B548" s="2"/>
      <c r="C548" s="37"/>
      <c r="D548" s="37"/>
      <c r="E548" s="37"/>
      <c r="F548" s="37"/>
      <c r="G548" s="3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2:21" ht="15.75" customHeight="1" x14ac:dyDescent="0.2">
      <c r="B549" s="2"/>
      <c r="C549" s="37"/>
      <c r="D549" s="37"/>
      <c r="E549" s="37"/>
      <c r="F549" s="37"/>
      <c r="G549" s="3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2:21" ht="15.75" customHeight="1" x14ac:dyDescent="0.2">
      <c r="B550" s="2"/>
      <c r="C550" s="37"/>
      <c r="D550" s="37"/>
      <c r="E550" s="37"/>
      <c r="F550" s="37"/>
      <c r="G550" s="3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2:21" ht="15.75" customHeight="1" x14ac:dyDescent="0.2">
      <c r="B551" s="2"/>
      <c r="C551" s="37"/>
      <c r="D551" s="37"/>
      <c r="E551" s="37"/>
      <c r="F551" s="37"/>
      <c r="G551" s="3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2:21" ht="15.75" customHeight="1" x14ac:dyDescent="0.2">
      <c r="B552" s="2"/>
      <c r="C552" s="37"/>
      <c r="D552" s="37"/>
      <c r="E552" s="37"/>
      <c r="F552" s="37"/>
      <c r="G552" s="3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2:21" ht="15.75" customHeight="1" x14ac:dyDescent="0.2">
      <c r="B553" s="2"/>
      <c r="C553" s="37"/>
      <c r="D553" s="37"/>
      <c r="E553" s="37"/>
      <c r="F553" s="37"/>
      <c r="G553" s="3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2:21" ht="15.75" customHeight="1" x14ac:dyDescent="0.2">
      <c r="B554" s="2"/>
      <c r="C554" s="37"/>
      <c r="D554" s="37"/>
      <c r="E554" s="37"/>
      <c r="F554" s="37"/>
      <c r="G554" s="3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2:21" ht="15.75" customHeight="1" x14ac:dyDescent="0.2">
      <c r="B555" s="2"/>
      <c r="C555" s="37"/>
      <c r="D555" s="37"/>
      <c r="E555" s="37"/>
      <c r="F555" s="37"/>
      <c r="G555" s="3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2:21" ht="15.75" customHeight="1" x14ac:dyDescent="0.2">
      <c r="B556" s="2"/>
      <c r="C556" s="37"/>
      <c r="D556" s="37"/>
      <c r="E556" s="37"/>
      <c r="F556" s="37"/>
      <c r="G556" s="3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2:21" ht="15.75" customHeight="1" x14ac:dyDescent="0.2">
      <c r="B557" s="2"/>
      <c r="C557" s="37"/>
      <c r="D557" s="37"/>
      <c r="E557" s="37"/>
      <c r="F557" s="37"/>
      <c r="G557" s="3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2:21" ht="15.75" customHeight="1" x14ac:dyDescent="0.2">
      <c r="B558" s="2"/>
      <c r="C558" s="37"/>
      <c r="D558" s="37"/>
      <c r="E558" s="37"/>
      <c r="F558" s="37"/>
      <c r="G558" s="3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2:21" ht="15.75" customHeight="1" x14ac:dyDescent="0.2">
      <c r="B559" s="2"/>
      <c r="C559" s="37"/>
      <c r="D559" s="37"/>
      <c r="E559" s="37"/>
      <c r="F559" s="37"/>
      <c r="G559" s="3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2:21" ht="15.75" customHeight="1" x14ac:dyDescent="0.2">
      <c r="B560" s="2"/>
      <c r="C560" s="37"/>
      <c r="D560" s="37"/>
      <c r="E560" s="37"/>
      <c r="F560" s="37"/>
      <c r="G560" s="3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2:21" ht="15.75" customHeight="1" x14ac:dyDescent="0.2">
      <c r="B561" s="2"/>
      <c r="C561" s="37"/>
      <c r="D561" s="37"/>
      <c r="E561" s="37"/>
      <c r="F561" s="37"/>
      <c r="G561" s="3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2:21" ht="15.75" customHeight="1" x14ac:dyDescent="0.2">
      <c r="B562" s="2"/>
      <c r="C562" s="37"/>
      <c r="D562" s="37"/>
      <c r="E562" s="37"/>
      <c r="F562" s="37"/>
      <c r="G562" s="3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2:21" ht="15.75" customHeight="1" x14ac:dyDescent="0.2">
      <c r="B563" s="2"/>
      <c r="C563" s="37"/>
      <c r="D563" s="37"/>
      <c r="E563" s="37"/>
      <c r="F563" s="37"/>
      <c r="G563" s="3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2:21" ht="15.75" customHeight="1" x14ac:dyDescent="0.2">
      <c r="B564" s="2"/>
      <c r="C564" s="37"/>
      <c r="D564" s="37"/>
      <c r="E564" s="37"/>
      <c r="F564" s="37"/>
      <c r="G564" s="3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2:21" ht="15.75" customHeight="1" x14ac:dyDescent="0.2">
      <c r="B565" s="2"/>
      <c r="C565" s="37"/>
      <c r="D565" s="37"/>
      <c r="E565" s="37"/>
      <c r="F565" s="37"/>
      <c r="G565" s="3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2:21" ht="15.75" customHeight="1" x14ac:dyDescent="0.2">
      <c r="B566" s="2"/>
      <c r="C566" s="37"/>
      <c r="D566" s="37"/>
      <c r="E566" s="37"/>
      <c r="F566" s="37"/>
      <c r="G566" s="3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2:21" ht="15.75" customHeight="1" x14ac:dyDescent="0.2">
      <c r="B567" s="2"/>
      <c r="C567" s="37"/>
      <c r="D567" s="37"/>
      <c r="E567" s="37"/>
      <c r="F567" s="37"/>
      <c r="G567" s="3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2:21" ht="15.75" customHeight="1" x14ac:dyDescent="0.2">
      <c r="B568" s="2"/>
      <c r="C568" s="37"/>
      <c r="D568" s="37"/>
      <c r="E568" s="37"/>
      <c r="F568" s="37"/>
      <c r="G568" s="3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2:21" ht="15.75" customHeight="1" x14ac:dyDescent="0.2">
      <c r="B569" s="2"/>
      <c r="C569" s="37"/>
      <c r="D569" s="37"/>
      <c r="E569" s="37"/>
      <c r="F569" s="37"/>
      <c r="G569" s="3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2:21" ht="15.75" customHeight="1" x14ac:dyDescent="0.2">
      <c r="B570" s="2"/>
      <c r="C570" s="37"/>
      <c r="D570" s="37"/>
      <c r="E570" s="37"/>
      <c r="F570" s="37"/>
      <c r="G570" s="3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2:21" ht="15.75" customHeight="1" x14ac:dyDescent="0.2">
      <c r="B571" s="2"/>
      <c r="C571" s="37"/>
      <c r="D571" s="37"/>
      <c r="E571" s="37"/>
      <c r="F571" s="37"/>
      <c r="G571" s="3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2:21" ht="15.75" customHeight="1" x14ac:dyDescent="0.2">
      <c r="B572" s="2"/>
      <c r="C572" s="37"/>
      <c r="D572" s="37"/>
      <c r="E572" s="37"/>
      <c r="F572" s="37"/>
      <c r="G572" s="3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2:21" ht="15.75" customHeight="1" x14ac:dyDescent="0.2">
      <c r="B573" s="2"/>
      <c r="C573" s="37"/>
      <c r="D573" s="37"/>
      <c r="E573" s="37"/>
      <c r="F573" s="37"/>
      <c r="G573" s="3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2:21" ht="15.75" customHeight="1" x14ac:dyDescent="0.2">
      <c r="B574" s="2"/>
      <c r="C574" s="37"/>
      <c r="D574" s="37"/>
      <c r="E574" s="37"/>
      <c r="F574" s="37"/>
      <c r="G574" s="3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2:21" ht="15.75" customHeight="1" x14ac:dyDescent="0.2">
      <c r="B575" s="2"/>
      <c r="C575" s="37"/>
      <c r="D575" s="37"/>
      <c r="E575" s="37"/>
      <c r="F575" s="37"/>
      <c r="G575" s="3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2:21" ht="15.75" customHeight="1" x14ac:dyDescent="0.2">
      <c r="B576" s="2"/>
      <c r="C576" s="37"/>
      <c r="D576" s="37"/>
      <c r="E576" s="37"/>
      <c r="F576" s="37"/>
      <c r="G576" s="3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2:21" ht="15.75" customHeight="1" x14ac:dyDescent="0.2">
      <c r="B577" s="2"/>
      <c r="C577" s="37"/>
      <c r="D577" s="37"/>
      <c r="E577" s="37"/>
      <c r="F577" s="37"/>
      <c r="G577" s="3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2:21" ht="15.75" customHeight="1" x14ac:dyDescent="0.2">
      <c r="B578" s="2"/>
      <c r="C578" s="37"/>
      <c r="D578" s="37"/>
      <c r="E578" s="37"/>
      <c r="F578" s="37"/>
      <c r="G578" s="3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2:21" ht="15.75" customHeight="1" x14ac:dyDescent="0.2">
      <c r="B579" s="2"/>
      <c r="C579" s="37"/>
      <c r="D579" s="37"/>
      <c r="E579" s="37"/>
      <c r="F579" s="37"/>
      <c r="G579" s="3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2:21" ht="15.75" customHeight="1" x14ac:dyDescent="0.2">
      <c r="B580" s="2"/>
      <c r="C580" s="37"/>
      <c r="D580" s="37"/>
      <c r="E580" s="37"/>
      <c r="F580" s="37"/>
      <c r="G580" s="3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2:21" ht="15.75" customHeight="1" x14ac:dyDescent="0.2">
      <c r="B581" s="2"/>
      <c r="C581" s="37"/>
      <c r="D581" s="37"/>
      <c r="E581" s="37"/>
      <c r="F581" s="37"/>
      <c r="G581" s="3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2:21" ht="15.75" customHeight="1" x14ac:dyDescent="0.2">
      <c r="B582" s="2"/>
      <c r="C582" s="37"/>
      <c r="D582" s="37"/>
      <c r="E582" s="37"/>
      <c r="F582" s="37"/>
      <c r="G582" s="3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2:21" ht="15.75" customHeight="1" x14ac:dyDescent="0.2">
      <c r="B583" s="2"/>
      <c r="C583" s="37"/>
      <c r="D583" s="37"/>
      <c r="E583" s="37"/>
      <c r="F583" s="37"/>
      <c r="G583" s="3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2:21" ht="15.75" customHeight="1" x14ac:dyDescent="0.2">
      <c r="B584" s="2"/>
      <c r="C584" s="37"/>
      <c r="D584" s="37"/>
      <c r="E584" s="37"/>
      <c r="F584" s="37"/>
      <c r="G584" s="3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2:21" ht="15.75" customHeight="1" x14ac:dyDescent="0.2">
      <c r="B585" s="2"/>
      <c r="C585" s="37"/>
      <c r="D585" s="37"/>
      <c r="E585" s="37"/>
      <c r="F585" s="37"/>
      <c r="G585" s="3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2:21" ht="15.75" customHeight="1" x14ac:dyDescent="0.2">
      <c r="B586" s="2"/>
      <c r="C586" s="37"/>
      <c r="D586" s="37"/>
      <c r="E586" s="37"/>
      <c r="F586" s="37"/>
      <c r="G586" s="3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2:21" ht="15.75" customHeight="1" x14ac:dyDescent="0.2">
      <c r="B587" s="2"/>
      <c r="C587" s="37"/>
      <c r="D587" s="37"/>
      <c r="E587" s="37"/>
      <c r="F587" s="37"/>
      <c r="G587" s="3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2:21" ht="15.75" customHeight="1" x14ac:dyDescent="0.2">
      <c r="B588" s="2"/>
      <c r="C588" s="37"/>
      <c r="D588" s="37"/>
      <c r="E588" s="37"/>
      <c r="F588" s="37"/>
      <c r="G588" s="3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2:21" ht="15.75" customHeight="1" x14ac:dyDescent="0.2">
      <c r="B589" s="2"/>
      <c r="C589" s="37"/>
      <c r="D589" s="37"/>
      <c r="E589" s="37"/>
      <c r="F589" s="37"/>
      <c r="G589" s="3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2:21" ht="15.75" customHeight="1" x14ac:dyDescent="0.2">
      <c r="B590" s="2"/>
      <c r="C590" s="37"/>
      <c r="D590" s="37"/>
      <c r="E590" s="37"/>
      <c r="F590" s="37"/>
      <c r="G590" s="3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2:21" ht="15.75" customHeight="1" x14ac:dyDescent="0.2">
      <c r="B591" s="2"/>
      <c r="C591" s="37"/>
      <c r="D591" s="37"/>
      <c r="E591" s="37"/>
      <c r="F591" s="37"/>
      <c r="G591" s="3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2:21" ht="15.75" customHeight="1" x14ac:dyDescent="0.2">
      <c r="B592" s="2"/>
      <c r="C592" s="37"/>
      <c r="D592" s="37"/>
      <c r="E592" s="37"/>
      <c r="F592" s="37"/>
      <c r="G592" s="3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2:21" ht="15.75" customHeight="1" x14ac:dyDescent="0.2">
      <c r="B593" s="2"/>
      <c r="C593" s="37"/>
      <c r="D593" s="37"/>
      <c r="E593" s="37"/>
      <c r="F593" s="37"/>
      <c r="G593" s="3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2:21" ht="15.75" customHeight="1" x14ac:dyDescent="0.2">
      <c r="B594" s="2"/>
      <c r="C594" s="37"/>
      <c r="D594" s="37"/>
      <c r="E594" s="37"/>
      <c r="F594" s="37"/>
      <c r="G594" s="3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2:21" ht="15.75" customHeight="1" x14ac:dyDescent="0.2">
      <c r="B595" s="2"/>
      <c r="C595" s="37"/>
      <c r="D595" s="37"/>
      <c r="E595" s="37"/>
      <c r="F595" s="37"/>
      <c r="G595" s="3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2:21" ht="15.75" customHeight="1" x14ac:dyDescent="0.2">
      <c r="B596" s="2"/>
      <c r="C596" s="37"/>
      <c r="D596" s="37"/>
      <c r="E596" s="37"/>
      <c r="F596" s="37"/>
      <c r="G596" s="3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2:21" ht="15.75" customHeight="1" x14ac:dyDescent="0.2">
      <c r="B597" s="2"/>
      <c r="C597" s="37"/>
      <c r="D597" s="37"/>
      <c r="E597" s="37"/>
      <c r="F597" s="37"/>
      <c r="G597" s="3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2:21" ht="15.75" customHeight="1" x14ac:dyDescent="0.2">
      <c r="B598" s="2"/>
      <c r="C598" s="37"/>
      <c r="D598" s="37"/>
      <c r="E598" s="37"/>
      <c r="F598" s="37"/>
      <c r="G598" s="3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2:21" ht="15.75" customHeight="1" x14ac:dyDescent="0.2">
      <c r="B599" s="2"/>
      <c r="C599" s="37"/>
      <c r="D599" s="37"/>
      <c r="E599" s="37"/>
      <c r="F599" s="37"/>
      <c r="G599" s="3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2:21" ht="15.75" customHeight="1" x14ac:dyDescent="0.2">
      <c r="B600" s="2"/>
      <c r="C600" s="37"/>
      <c r="D600" s="37"/>
      <c r="E600" s="37"/>
      <c r="F600" s="37"/>
      <c r="G600" s="3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2:21" ht="15.75" customHeight="1" x14ac:dyDescent="0.2">
      <c r="B601" s="2"/>
      <c r="C601" s="37"/>
      <c r="D601" s="37"/>
      <c r="E601" s="37"/>
      <c r="F601" s="37"/>
      <c r="G601" s="3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2:21" ht="15.75" customHeight="1" x14ac:dyDescent="0.2">
      <c r="B602" s="2"/>
      <c r="C602" s="37"/>
      <c r="D602" s="37"/>
      <c r="E602" s="37"/>
      <c r="F602" s="37"/>
      <c r="G602" s="3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2:21" ht="15.75" customHeight="1" x14ac:dyDescent="0.2">
      <c r="B603" s="2"/>
      <c r="C603" s="37"/>
      <c r="D603" s="37"/>
      <c r="E603" s="37"/>
      <c r="F603" s="37"/>
      <c r="G603" s="3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2:21" ht="15.75" customHeight="1" x14ac:dyDescent="0.2">
      <c r="B604" s="2"/>
      <c r="C604" s="37"/>
      <c r="D604" s="37"/>
      <c r="E604" s="37"/>
      <c r="F604" s="37"/>
      <c r="G604" s="3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2:21" ht="15.75" customHeight="1" x14ac:dyDescent="0.2">
      <c r="B605" s="2"/>
      <c r="C605" s="37"/>
      <c r="D605" s="37"/>
      <c r="E605" s="37"/>
      <c r="F605" s="37"/>
      <c r="G605" s="3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2:21" ht="15.75" customHeight="1" x14ac:dyDescent="0.2">
      <c r="B606" s="2"/>
      <c r="C606" s="37"/>
      <c r="D606" s="37"/>
      <c r="E606" s="37"/>
      <c r="F606" s="37"/>
      <c r="G606" s="3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2:21" ht="15.75" customHeight="1" x14ac:dyDescent="0.2">
      <c r="B607" s="2"/>
      <c r="C607" s="37"/>
      <c r="D607" s="37"/>
      <c r="E607" s="37"/>
      <c r="F607" s="37"/>
      <c r="G607" s="3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2:21" ht="15.75" customHeight="1" x14ac:dyDescent="0.2">
      <c r="B608" s="2"/>
      <c r="C608" s="37"/>
      <c r="D608" s="37"/>
      <c r="E608" s="37"/>
      <c r="F608" s="37"/>
      <c r="G608" s="3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2:21" ht="15.75" customHeight="1" x14ac:dyDescent="0.2">
      <c r="B609" s="2"/>
      <c r="C609" s="37"/>
      <c r="D609" s="37"/>
      <c r="E609" s="37"/>
      <c r="F609" s="37"/>
      <c r="G609" s="3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2:21" ht="15.75" customHeight="1" x14ac:dyDescent="0.2">
      <c r="B610" s="2"/>
      <c r="C610" s="37"/>
      <c r="D610" s="37"/>
      <c r="E610" s="37"/>
      <c r="F610" s="37"/>
      <c r="G610" s="3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2:21" ht="15.75" customHeight="1" x14ac:dyDescent="0.2">
      <c r="B611" s="2"/>
      <c r="C611" s="37"/>
      <c r="D611" s="37"/>
      <c r="E611" s="37"/>
      <c r="F611" s="37"/>
      <c r="G611" s="3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2:21" ht="15.75" customHeight="1" x14ac:dyDescent="0.2">
      <c r="B612" s="2"/>
      <c r="C612" s="37"/>
      <c r="D612" s="37"/>
      <c r="E612" s="37"/>
      <c r="F612" s="37"/>
      <c r="G612" s="3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2:21" ht="15.75" customHeight="1" x14ac:dyDescent="0.2">
      <c r="B613" s="2"/>
      <c r="C613" s="37"/>
      <c r="D613" s="37"/>
      <c r="E613" s="37"/>
      <c r="F613" s="37"/>
      <c r="G613" s="3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2:21" ht="15.75" customHeight="1" x14ac:dyDescent="0.2">
      <c r="B614" s="2"/>
      <c r="C614" s="37"/>
      <c r="D614" s="37"/>
      <c r="E614" s="37"/>
      <c r="F614" s="37"/>
      <c r="G614" s="3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2:21" ht="15.75" customHeight="1" x14ac:dyDescent="0.2">
      <c r="B615" s="2"/>
      <c r="C615" s="37"/>
      <c r="D615" s="37"/>
      <c r="E615" s="37"/>
      <c r="F615" s="37"/>
      <c r="G615" s="3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2:21" ht="15.75" customHeight="1" x14ac:dyDescent="0.2">
      <c r="B616" s="2"/>
      <c r="C616" s="37"/>
      <c r="D616" s="37"/>
      <c r="E616" s="37"/>
      <c r="F616" s="37"/>
      <c r="G616" s="3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2:21" ht="15.75" customHeight="1" x14ac:dyDescent="0.2">
      <c r="B617" s="2"/>
      <c r="C617" s="37"/>
      <c r="D617" s="37"/>
      <c r="E617" s="37"/>
      <c r="F617" s="37"/>
      <c r="G617" s="3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2:21" ht="15.75" customHeight="1" x14ac:dyDescent="0.2">
      <c r="B618" s="2"/>
      <c r="C618" s="37"/>
      <c r="D618" s="37"/>
      <c r="E618" s="37"/>
      <c r="F618" s="37"/>
      <c r="G618" s="3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2:21" ht="15.75" customHeight="1" x14ac:dyDescent="0.2">
      <c r="B619" s="2"/>
      <c r="C619" s="37"/>
      <c r="D619" s="37"/>
      <c r="E619" s="37"/>
      <c r="F619" s="37"/>
      <c r="G619" s="3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2:21" ht="15.75" customHeight="1" x14ac:dyDescent="0.2">
      <c r="B620" s="2"/>
      <c r="C620" s="37"/>
      <c r="D620" s="37"/>
      <c r="E620" s="37"/>
      <c r="F620" s="37"/>
      <c r="G620" s="3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2:21" ht="15.75" customHeight="1" x14ac:dyDescent="0.2">
      <c r="B621" s="2"/>
      <c r="C621" s="37"/>
      <c r="D621" s="37"/>
      <c r="E621" s="37"/>
      <c r="F621" s="37"/>
      <c r="G621" s="3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2:21" ht="15.75" customHeight="1" x14ac:dyDescent="0.2">
      <c r="B622" s="2"/>
      <c r="C622" s="37"/>
      <c r="D622" s="37"/>
      <c r="E622" s="37"/>
      <c r="F622" s="37"/>
      <c r="G622" s="3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2:21" ht="15.75" customHeight="1" x14ac:dyDescent="0.2">
      <c r="B623" s="2"/>
      <c r="C623" s="37"/>
      <c r="D623" s="37"/>
      <c r="E623" s="37"/>
      <c r="F623" s="37"/>
      <c r="G623" s="3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2:21" ht="15.75" customHeight="1" x14ac:dyDescent="0.2">
      <c r="B624" s="2"/>
      <c r="C624" s="37"/>
      <c r="D624" s="37"/>
      <c r="E624" s="37"/>
      <c r="F624" s="37"/>
      <c r="G624" s="3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2:21" ht="15.75" customHeight="1" x14ac:dyDescent="0.2">
      <c r="B625" s="2"/>
      <c r="C625" s="37"/>
      <c r="D625" s="37"/>
      <c r="E625" s="37"/>
      <c r="F625" s="37"/>
      <c r="G625" s="3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2:21" ht="15.75" customHeight="1" x14ac:dyDescent="0.2">
      <c r="B626" s="2"/>
      <c r="C626" s="37"/>
      <c r="D626" s="37"/>
      <c r="E626" s="37"/>
      <c r="F626" s="37"/>
      <c r="G626" s="3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2:21" ht="15.75" customHeight="1" x14ac:dyDescent="0.2">
      <c r="B627" s="2"/>
      <c r="C627" s="37"/>
      <c r="D627" s="37"/>
      <c r="E627" s="37"/>
      <c r="F627" s="37"/>
      <c r="G627" s="3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2:21" ht="15.75" customHeight="1" x14ac:dyDescent="0.2">
      <c r="B628" s="2"/>
      <c r="C628" s="37"/>
      <c r="D628" s="37"/>
      <c r="E628" s="37"/>
      <c r="F628" s="37"/>
      <c r="G628" s="3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2:21" ht="15.75" customHeight="1" x14ac:dyDescent="0.2">
      <c r="B629" s="2"/>
      <c r="C629" s="37"/>
      <c r="D629" s="37"/>
      <c r="E629" s="37"/>
      <c r="F629" s="37"/>
      <c r="G629" s="3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2:21" ht="15.75" customHeight="1" x14ac:dyDescent="0.2">
      <c r="B630" s="2"/>
      <c r="C630" s="37"/>
      <c r="D630" s="37"/>
      <c r="E630" s="37"/>
      <c r="F630" s="37"/>
      <c r="G630" s="3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2:21" ht="15.75" customHeight="1" x14ac:dyDescent="0.2">
      <c r="B631" s="2"/>
      <c r="C631" s="37"/>
      <c r="D631" s="37"/>
      <c r="E631" s="37"/>
      <c r="F631" s="37"/>
      <c r="G631" s="3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2:21" ht="15.75" customHeight="1" x14ac:dyDescent="0.2">
      <c r="B632" s="2"/>
      <c r="C632" s="37"/>
      <c r="D632" s="37"/>
      <c r="E632" s="37"/>
      <c r="F632" s="37"/>
      <c r="G632" s="3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2:21" ht="15.75" customHeight="1" x14ac:dyDescent="0.2">
      <c r="B633" s="2"/>
      <c r="C633" s="37"/>
      <c r="D633" s="37"/>
      <c r="E633" s="37"/>
      <c r="F633" s="37"/>
      <c r="G633" s="3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2:21" ht="15.75" customHeight="1" x14ac:dyDescent="0.2">
      <c r="B634" s="2"/>
      <c r="C634" s="37"/>
      <c r="D634" s="37"/>
      <c r="E634" s="37"/>
      <c r="F634" s="37"/>
      <c r="G634" s="3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2:21" ht="15.75" customHeight="1" x14ac:dyDescent="0.2">
      <c r="B635" s="2"/>
      <c r="C635" s="37"/>
      <c r="D635" s="37"/>
      <c r="E635" s="37"/>
      <c r="F635" s="37"/>
      <c r="G635" s="3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2:21" ht="15.75" customHeight="1" x14ac:dyDescent="0.2">
      <c r="B636" s="2"/>
      <c r="C636" s="37"/>
      <c r="D636" s="37"/>
      <c r="E636" s="37"/>
      <c r="F636" s="37"/>
      <c r="G636" s="3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2:21" ht="15.75" customHeight="1" x14ac:dyDescent="0.2">
      <c r="B637" s="2"/>
      <c r="C637" s="37"/>
      <c r="D637" s="37"/>
      <c r="E637" s="37"/>
      <c r="F637" s="37"/>
      <c r="G637" s="3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2:21" ht="15.75" customHeight="1" x14ac:dyDescent="0.2">
      <c r="B638" s="2"/>
      <c r="C638" s="37"/>
      <c r="D638" s="37"/>
      <c r="E638" s="37"/>
      <c r="F638" s="37"/>
      <c r="G638" s="3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2:21" ht="15.75" customHeight="1" x14ac:dyDescent="0.2">
      <c r="B639" s="2"/>
      <c r="C639" s="37"/>
      <c r="D639" s="37"/>
      <c r="E639" s="37"/>
      <c r="F639" s="37"/>
      <c r="G639" s="3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2:21" ht="15.75" customHeight="1" x14ac:dyDescent="0.2">
      <c r="B640" s="2"/>
      <c r="C640" s="37"/>
      <c r="D640" s="37"/>
      <c r="E640" s="37"/>
      <c r="F640" s="37"/>
      <c r="G640" s="3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</sheetData>
  <mergeCells count="2">
    <mergeCell ref="A3:G3"/>
    <mergeCell ref="A4:G4"/>
  </mergeCells>
  <pageMargins left="0.26" right="0.16" top="0.15748031496062992" bottom="0.15748031496062992" header="0.15748031496062992" footer="0.15748031496062992"/>
  <pageSetup paperSize="9" scale="7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72"/>
  <sheetViews>
    <sheetView zoomScaleNormal="100" workbookViewId="0">
      <selection activeCell="J20" sqref="J20"/>
    </sheetView>
  </sheetViews>
  <sheetFormatPr defaultRowHeight="12.75" x14ac:dyDescent="0.2"/>
  <cols>
    <col min="1" max="1" width="21.85546875" customWidth="1"/>
    <col min="2" max="2" width="13.42578125" customWidth="1"/>
    <col min="3" max="3" width="10.5703125" customWidth="1"/>
    <col min="4" max="4" width="9.140625" customWidth="1"/>
    <col min="5" max="5" width="10.7109375" customWidth="1"/>
    <col min="6" max="6" width="7" customWidth="1"/>
    <col min="7" max="7" width="11.85546875" customWidth="1"/>
    <col min="8" max="8" width="10.140625" customWidth="1"/>
    <col min="9" max="9" width="9.140625" customWidth="1"/>
    <col min="10" max="10" width="10" style="115" customWidth="1"/>
    <col min="11" max="11" width="10.5703125" style="115" customWidth="1"/>
    <col min="12" max="12" width="10.85546875" style="115" customWidth="1"/>
    <col min="13" max="13" width="10.7109375" style="115" customWidth="1"/>
    <col min="14" max="14" width="12.28515625" style="115" customWidth="1"/>
    <col min="15" max="15" width="11" style="115" customWidth="1"/>
    <col min="16" max="18" width="12.7109375" customWidth="1"/>
    <col min="19" max="19" width="10.28515625" customWidth="1"/>
  </cols>
  <sheetData>
    <row r="1" spans="1:19" x14ac:dyDescent="0.2">
      <c r="A1" s="110"/>
      <c r="B1" s="110"/>
      <c r="C1" s="110"/>
      <c r="D1" s="110"/>
      <c r="E1" s="110"/>
      <c r="F1" s="110"/>
      <c r="G1" s="110"/>
      <c r="H1" s="110"/>
      <c r="I1" s="110"/>
      <c r="J1" s="160"/>
      <c r="K1" s="160"/>
      <c r="L1" s="160"/>
      <c r="M1" s="160"/>
      <c r="N1" s="160"/>
      <c r="O1" s="98" t="s">
        <v>1003</v>
      </c>
    </row>
    <row r="2" spans="1:19" x14ac:dyDescent="0.2">
      <c r="A2" s="110"/>
      <c r="B2" s="110"/>
      <c r="C2" s="110"/>
      <c r="D2" s="110"/>
      <c r="E2" s="110"/>
      <c r="F2" s="110"/>
      <c r="G2" s="110"/>
      <c r="H2" s="110"/>
      <c r="I2" s="110"/>
      <c r="J2" s="160"/>
      <c r="K2" s="160"/>
      <c r="L2" s="160"/>
      <c r="M2" s="160"/>
      <c r="N2" s="160"/>
      <c r="O2" s="98">
        <f>'1.Bev-kiad.'!D2</f>
        <v>0</v>
      </c>
    </row>
    <row r="3" spans="1:19" ht="16.5" customHeight="1" x14ac:dyDescent="0.2">
      <c r="A3" s="993" t="s">
        <v>120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</row>
    <row r="4" spans="1:19" ht="30.75" customHeight="1" x14ac:dyDescent="0.2">
      <c r="A4" s="1054" t="s">
        <v>1249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  <c r="M4" s="1003"/>
      <c r="N4" s="1003"/>
      <c r="O4" s="1003"/>
      <c r="P4" s="161"/>
    </row>
    <row r="5" spans="1:19" ht="12" customHeight="1" x14ac:dyDescent="0.2">
      <c r="A5" s="1003"/>
      <c r="B5" s="1003"/>
      <c r="C5" s="1003"/>
      <c r="D5" s="1003"/>
      <c r="E5" s="1003"/>
      <c r="F5" s="1003"/>
      <c r="G5" s="1003"/>
      <c r="H5" s="1003"/>
      <c r="I5" s="1003"/>
      <c r="J5" s="1003"/>
      <c r="K5" s="1003"/>
      <c r="L5" s="1003"/>
      <c r="M5" s="1003"/>
      <c r="N5" s="1003"/>
      <c r="O5" s="1003"/>
    </row>
    <row r="6" spans="1:19" ht="12.95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111"/>
      <c r="K6" s="111"/>
      <c r="L6" s="111"/>
      <c r="M6" s="111"/>
      <c r="N6" s="111"/>
      <c r="O6" s="98" t="s">
        <v>0</v>
      </c>
    </row>
    <row r="7" spans="1:19" ht="43.5" customHeight="1" x14ac:dyDescent="0.2">
      <c r="A7" s="1066" t="s">
        <v>110</v>
      </c>
      <c r="B7" s="1069" t="s">
        <v>111</v>
      </c>
      <c r="C7" s="1069" t="s">
        <v>112</v>
      </c>
      <c r="D7" s="1058" t="s">
        <v>119</v>
      </c>
      <c r="E7" s="1069" t="s">
        <v>113</v>
      </c>
      <c r="F7" s="537"/>
      <c r="G7" s="1058" t="s">
        <v>768</v>
      </c>
      <c r="H7" s="1049" t="s">
        <v>114</v>
      </c>
      <c r="I7" s="1050"/>
      <c r="J7" s="1050"/>
      <c r="K7" s="1051"/>
      <c r="L7" s="1058" t="s">
        <v>936</v>
      </c>
      <c r="M7" s="1061" t="s">
        <v>1250</v>
      </c>
      <c r="N7" s="1061" t="s">
        <v>1251</v>
      </c>
      <c r="O7" s="1055" t="s">
        <v>405</v>
      </c>
    </row>
    <row r="8" spans="1:19" ht="51" customHeight="1" x14ac:dyDescent="0.2">
      <c r="A8" s="1067"/>
      <c r="B8" s="1052"/>
      <c r="C8" s="1052"/>
      <c r="D8" s="1059"/>
      <c r="E8" s="1052"/>
      <c r="F8" s="211" t="s">
        <v>388</v>
      </c>
      <c r="G8" s="1059"/>
      <c r="H8" s="1064" t="s">
        <v>116</v>
      </c>
      <c r="I8" s="1065"/>
      <c r="J8" s="1052" t="s">
        <v>115</v>
      </c>
      <c r="K8" s="1052" t="s">
        <v>389</v>
      </c>
      <c r="L8" s="1059"/>
      <c r="M8" s="1062"/>
      <c r="N8" s="1062"/>
      <c r="O8" s="1056"/>
    </row>
    <row r="9" spans="1:19" ht="41.25" customHeight="1" thickBot="1" x14ac:dyDescent="0.25">
      <c r="A9" s="1068"/>
      <c r="B9" s="1053"/>
      <c r="C9" s="1053"/>
      <c r="D9" s="1060"/>
      <c r="E9" s="1053"/>
      <c r="F9" s="538"/>
      <c r="G9" s="1060"/>
      <c r="H9" s="539" t="s">
        <v>117</v>
      </c>
      <c r="I9" s="539" t="s">
        <v>118</v>
      </c>
      <c r="J9" s="1053"/>
      <c r="K9" s="1053"/>
      <c r="L9" s="1060"/>
      <c r="M9" s="1063"/>
      <c r="N9" s="1063"/>
      <c r="O9" s="1057"/>
    </row>
    <row r="10" spans="1:19" ht="38.25" x14ac:dyDescent="0.2">
      <c r="A10" s="534" t="s">
        <v>519</v>
      </c>
      <c r="B10" s="540" t="s">
        <v>520</v>
      </c>
      <c r="C10" s="93">
        <v>680000</v>
      </c>
      <c r="D10" s="166" t="s">
        <v>521</v>
      </c>
      <c r="E10" s="93">
        <v>680000</v>
      </c>
      <c r="F10" s="93">
        <v>0</v>
      </c>
      <c r="G10" s="93">
        <v>665000</v>
      </c>
      <c r="H10" s="93">
        <v>665000</v>
      </c>
      <c r="I10" s="14">
        <v>0</v>
      </c>
      <c r="J10" s="93">
        <v>0</v>
      </c>
      <c r="K10" s="93">
        <v>665000</v>
      </c>
      <c r="L10" s="93">
        <v>0</v>
      </c>
      <c r="M10" s="684">
        <f>SUM('10.Többéves, adósság'!C10)</f>
        <v>530984</v>
      </c>
      <c r="N10" s="731" t="s">
        <v>1255</v>
      </c>
      <c r="O10" s="541" t="s">
        <v>69</v>
      </c>
    </row>
    <row r="11" spans="1:19" ht="38.25" customHeight="1" thickBot="1" x14ac:dyDescent="0.25">
      <c r="A11" s="137" t="s">
        <v>972</v>
      </c>
      <c r="B11" s="540" t="s">
        <v>973</v>
      </c>
      <c r="C11" s="93">
        <v>230000</v>
      </c>
      <c r="D11" s="166" t="s">
        <v>521</v>
      </c>
      <c r="E11" s="93">
        <v>230000</v>
      </c>
      <c r="F11" s="93">
        <v>0</v>
      </c>
      <c r="G11" s="93">
        <v>221049</v>
      </c>
      <c r="H11" s="93">
        <v>221049</v>
      </c>
      <c r="I11" s="14">
        <v>0</v>
      </c>
      <c r="J11" s="93">
        <v>0</v>
      </c>
      <c r="K11" s="93">
        <v>221049</v>
      </c>
      <c r="L11" s="93">
        <v>0</v>
      </c>
      <c r="M11" s="684">
        <v>221049</v>
      </c>
      <c r="N11" s="732" t="s">
        <v>69</v>
      </c>
      <c r="O11" s="541" t="s">
        <v>69</v>
      </c>
    </row>
    <row r="12" spans="1:19" ht="19.5" customHeight="1" thickBot="1" x14ac:dyDescent="0.25">
      <c r="A12" s="162" t="s">
        <v>73</v>
      </c>
      <c r="B12" s="163"/>
      <c r="C12" s="164">
        <f>SUM(C10:C11)</f>
        <v>910000</v>
      </c>
      <c r="D12" s="163"/>
      <c r="E12" s="164">
        <f>SUM(E10:E11)</f>
        <v>910000</v>
      </c>
      <c r="F12" s="164">
        <f>SUM(F10:F11)</f>
        <v>0</v>
      </c>
      <c r="G12" s="216">
        <f>SUM(E12:F12)</f>
        <v>910000</v>
      </c>
      <c r="H12" s="164">
        <f>SUM(H10:H11)</f>
        <v>886049</v>
      </c>
      <c r="I12" s="164">
        <f>SUM(I10:I11)</f>
        <v>0</v>
      </c>
      <c r="J12" s="164">
        <f>SUM(J10:J11)</f>
        <v>0</v>
      </c>
      <c r="K12" s="164">
        <f>SUM(K10:K11)</f>
        <v>886049</v>
      </c>
      <c r="L12" s="164"/>
      <c r="M12" s="685">
        <f>SUM(M10:M11)</f>
        <v>752033</v>
      </c>
      <c r="N12" s="685">
        <f>SUM(N10:N11)</f>
        <v>0</v>
      </c>
      <c r="O12" s="165"/>
    </row>
    <row r="13" spans="1:19" ht="12.95" customHeight="1" x14ac:dyDescent="0.2">
      <c r="J13"/>
      <c r="K13" s="45">
        <f>SUM(H12:J12)</f>
        <v>886049</v>
      </c>
      <c r="L13" s="86"/>
      <c r="M13"/>
      <c r="N13"/>
      <c r="O13"/>
      <c r="P13" s="3"/>
      <c r="Q13" s="3"/>
      <c r="R13" s="3"/>
      <c r="S13" s="3"/>
    </row>
    <row r="14" spans="1:19" ht="12.95" customHeight="1" x14ac:dyDescent="0.2">
      <c r="B14" s="86"/>
      <c r="C14" s="86"/>
      <c r="D14" s="86"/>
      <c r="E14" s="86"/>
      <c r="F14" s="86"/>
      <c r="G14" s="86"/>
      <c r="H14" s="86"/>
      <c r="I14" s="86"/>
      <c r="J14" s="114"/>
      <c r="K14" s="114"/>
      <c r="L14" s="114"/>
      <c r="M14" s="114"/>
      <c r="N14" s="114"/>
      <c r="O14" s="114"/>
      <c r="P14" s="3"/>
      <c r="Q14" s="3"/>
      <c r="R14" s="3"/>
      <c r="S14" s="3"/>
    </row>
    <row r="15" spans="1:19" ht="12.95" customHeight="1" x14ac:dyDescent="0.2">
      <c r="B15" s="86"/>
      <c r="C15" s="86"/>
      <c r="D15" s="86"/>
      <c r="E15" s="86"/>
      <c r="F15" s="86"/>
      <c r="G15" s="86"/>
      <c r="H15" s="86"/>
      <c r="I15" s="86"/>
      <c r="J15" s="114"/>
      <c r="K15" s="114"/>
      <c r="L15" s="114"/>
      <c r="M15" s="114"/>
      <c r="N15" s="114"/>
      <c r="O15" s="114"/>
      <c r="P15" s="3"/>
      <c r="Q15" s="3"/>
      <c r="R15" s="3"/>
      <c r="S15" s="3"/>
    </row>
    <row r="16" spans="1:19" ht="12.95" customHeight="1" x14ac:dyDescent="0.2">
      <c r="B16" s="86"/>
      <c r="C16" s="86"/>
      <c r="D16" s="86"/>
      <c r="E16" s="86"/>
      <c r="F16" s="86"/>
      <c r="G16" s="86"/>
      <c r="H16" s="86"/>
      <c r="I16" s="86"/>
      <c r="J16" s="114"/>
      <c r="K16" s="114"/>
      <c r="L16" s="114"/>
      <c r="M16" s="114"/>
      <c r="N16" s="114"/>
      <c r="O16" s="114"/>
      <c r="P16" s="3"/>
      <c r="Q16" s="3"/>
      <c r="R16" s="3"/>
      <c r="S16" s="3"/>
    </row>
    <row r="17" spans="2:19" ht="12.95" customHeight="1" x14ac:dyDescent="0.2">
      <c r="B17" s="86"/>
      <c r="C17" s="86"/>
      <c r="D17" s="86"/>
      <c r="E17" s="86"/>
      <c r="F17" s="86"/>
      <c r="G17" s="86"/>
      <c r="H17" s="86"/>
      <c r="I17" s="86"/>
      <c r="J17" s="114"/>
      <c r="K17" s="114"/>
      <c r="L17" s="114"/>
      <c r="M17" s="114"/>
      <c r="N17" s="114"/>
      <c r="O17" s="114"/>
      <c r="P17" s="3"/>
      <c r="Q17" s="3"/>
      <c r="R17" s="3"/>
      <c r="S17" s="3"/>
    </row>
    <row r="18" spans="2:19" ht="12.95" customHeight="1" x14ac:dyDescent="0.2">
      <c r="B18" s="86"/>
      <c r="C18" s="86"/>
      <c r="D18" s="86"/>
      <c r="E18" s="86"/>
      <c r="F18" s="86"/>
      <c r="G18" s="86"/>
      <c r="H18" s="86"/>
      <c r="I18" s="86"/>
      <c r="J18" s="114"/>
      <c r="K18" s="114"/>
      <c r="L18" s="114"/>
      <c r="M18" s="114"/>
      <c r="N18" s="114"/>
      <c r="O18" s="114"/>
      <c r="P18" s="3"/>
      <c r="Q18" s="3"/>
      <c r="R18" s="3"/>
      <c r="S18" s="3"/>
    </row>
    <row r="19" spans="2:19" ht="12.95" customHeight="1" x14ac:dyDescent="0.2">
      <c r="B19" s="86"/>
      <c r="C19" s="86"/>
      <c r="D19" s="86"/>
      <c r="E19" s="86"/>
      <c r="F19" s="86"/>
      <c r="G19" s="86"/>
      <c r="H19" s="86"/>
      <c r="I19" s="86"/>
      <c r="J19" s="114"/>
      <c r="K19" s="114"/>
      <c r="L19" s="114"/>
      <c r="M19" s="114"/>
      <c r="N19" s="114"/>
      <c r="O19" s="114"/>
      <c r="P19" s="3"/>
      <c r="Q19" s="3"/>
      <c r="R19" s="3"/>
      <c r="S19" s="3"/>
    </row>
    <row r="20" spans="2:19" ht="12.95" customHeight="1" x14ac:dyDescent="0.2">
      <c r="B20" s="86"/>
      <c r="C20" s="86"/>
      <c r="D20" s="86"/>
      <c r="E20" s="86"/>
      <c r="F20" s="86"/>
      <c r="G20" s="86"/>
      <c r="H20" s="86"/>
      <c r="I20" s="86"/>
      <c r="J20" s="114"/>
      <c r="K20" s="114"/>
      <c r="L20" s="114"/>
      <c r="M20" s="114"/>
      <c r="N20" s="114"/>
      <c r="O20" s="114"/>
      <c r="P20" s="3"/>
      <c r="Q20" s="3"/>
      <c r="R20" s="3"/>
      <c r="S20" s="3"/>
    </row>
    <row r="21" spans="2:19" ht="12.95" customHeight="1" x14ac:dyDescent="0.2">
      <c r="B21" s="86"/>
      <c r="C21" s="86"/>
      <c r="D21" s="86"/>
      <c r="E21" s="86"/>
      <c r="F21" s="86"/>
      <c r="G21" s="86"/>
      <c r="H21" s="86"/>
      <c r="I21" s="86"/>
      <c r="J21" s="114"/>
      <c r="K21" s="114"/>
      <c r="L21" s="114"/>
      <c r="M21" s="114"/>
      <c r="N21" s="114"/>
      <c r="O21" s="114"/>
      <c r="P21" s="3"/>
      <c r="Q21" s="3"/>
      <c r="R21" s="3"/>
      <c r="S21" s="3"/>
    </row>
    <row r="22" spans="2:19" ht="12.95" customHeight="1" x14ac:dyDescent="0.2">
      <c r="B22" s="86"/>
      <c r="C22" s="86"/>
      <c r="D22" s="86"/>
      <c r="E22" s="86"/>
      <c r="F22" s="86"/>
      <c r="G22" s="86"/>
      <c r="H22" s="86"/>
      <c r="I22" s="86"/>
      <c r="J22" s="114"/>
      <c r="K22" s="114"/>
      <c r="L22" s="114"/>
      <c r="M22" s="114"/>
      <c r="N22" s="114"/>
      <c r="O22" s="114"/>
      <c r="P22" s="3"/>
      <c r="Q22" s="3"/>
      <c r="R22" s="3"/>
      <c r="S22" s="3"/>
    </row>
    <row r="23" spans="2:19" ht="12.95" customHeight="1" x14ac:dyDescent="0.2">
      <c r="B23" s="86"/>
      <c r="C23" s="86"/>
      <c r="D23" s="86"/>
      <c r="E23" s="86"/>
      <c r="F23" s="86"/>
      <c r="G23" s="86"/>
      <c r="H23" s="86"/>
      <c r="I23" s="86"/>
      <c r="J23" s="114"/>
      <c r="K23" s="114"/>
      <c r="L23" s="114"/>
      <c r="M23" s="114"/>
      <c r="N23" s="114"/>
      <c r="O23" s="114"/>
      <c r="P23" s="3"/>
      <c r="Q23" s="3"/>
      <c r="R23" s="3"/>
      <c r="S23" s="3"/>
    </row>
    <row r="24" spans="2:19" ht="12.95" customHeight="1" x14ac:dyDescent="0.2">
      <c r="B24" s="86"/>
      <c r="C24" s="86"/>
      <c r="D24" s="86"/>
      <c r="E24" s="86"/>
      <c r="F24" s="86"/>
      <c r="G24" s="86"/>
      <c r="H24" s="86"/>
      <c r="I24" s="86"/>
      <c r="J24" s="114"/>
      <c r="K24" s="114"/>
      <c r="L24" s="114"/>
      <c r="M24" s="114"/>
      <c r="N24" s="114"/>
      <c r="O24" s="114"/>
      <c r="P24" s="3"/>
      <c r="Q24" s="3"/>
      <c r="R24" s="3"/>
      <c r="S24" s="3"/>
    </row>
    <row r="25" spans="2:19" ht="12.95" customHeight="1" x14ac:dyDescent="0.2">
      <c r="B25" s="86"/>
      <c r="C25" s="86"/>
      <c r="D25" s="86"/>
      <c r="E25" s="86"/>
      <c r="F25" s="86"/>
      <c r="G25" s="86"/>
      <c r="H25" s="86"/>
      <c r="I25" s="86"/>
      <c r="J25" s="114"/>
      <c r="K25" s="114"/>
      <c r="L25" s="114"/>
      <c r="M25" s="114"/>
      <c r="N25" s="114"/>
      <c r="O25" s="114"/>
      <c r="P25" s="3"/>
      <c r="Q25" s="3"/>
      <c r="R25" s="3"/>
      <c r="S25" s="3"/>
    </row>
    <row r="26" spans="2:19" ht="12.95" customHeight="1" x14ac:dyDescent="0.2">
      <c r="B26" s="86"/>
      <c r="C26" s="86"/>
      <c r="D26" s="86"/>
      <c r="E26" s="86"/>
      <c r="F26" s="86"/>
      <c r="G26" s="86"/>
      <c r="H26" s="86"/>
      <c r="I26" s="86"/>
      <c r="J26" s="114"/>
      <c r="K26" s="114"/>
      <c r="L26" s="114"/>
      <c r="M26" s="114"/>
      <c r="N26" s="114"/>
      <c r="O26" s="114"/>
      <c r="P26" s="3"/>
      <c r="Q26" s="3"/>
      <c r="R26" s="3"/>
      <c r="S26" s="3"/>
    </row>
    <row r="27" spans="2:19" ht="12.95" customHeight="1" x14ac:dyDescent="0.2">
      <c r="B27" s="86"/>
      <c r="C27" s="86"/>
      <c r="D27" s="86"/>
      <c r="E27" s="86"/>
      <c r="F27" s="86"/>
      <c r="G27" s="86"/>
      <c r="H27" s="86"/>
      <c r="I27" s="86"/>
      <c r="J27" s="114"/>
      <c r="K27" s="114"/>
      <c r="L27" s="114"/>
      <c r="M27" s="114"/>
      <c r="N27" s="114"/>
      <c r="O27" s="114"/>
      <c r="P27" s="3"/>
      <c r="Q27" s="3"/>
      <c r="R27" s="3"/>
      <c r="S27" s="3"/>
    </row>
    <row r="28" spans="2:19" ht="12.95" customHeight="1" x14ac:dyDescent="0.2">
      <c r="B28" s="86"/>
      <c r="C28" s="86"/>
      <c r="D28" s="86"/>
      <c r="E28" s="86"/>
      <c r="F28" s="86"/>
      <c r="G28" s="86"/>
      <c r="H28" s="86"/>
      <c r="I28" s="86"/>
      <c r="J28" s="114"/>
      <c r="K28" s="114"/>
      <c r="L28" s="114"/>
      <c r="M28" s="114"/>
      <c r="N28" s="114"/>
      <c r="O28" s="114"/>
      <c r="P28" s="3"/>
      <c r="Q28" s="3"/>
      <c r="R28" s="3"/>
      <c r="S28" s="3"/>
    </row>
    <row r="29" spans="2:19" ht="12.95" customHeight="1" x14ac:dyDescent="0.2">
      <c r="B29" s="86"/>
      <c r="C29" s="86"/>
      <c r="D29" s="86"/>
      <c r="E29" s="86"/>
      <c r="F29" s="86"/>
      <c r="G29" s="86"/>
      <c r="H29" s="86"/>
      <c r="I29" s="86"/>
      <c r="J29" s="114"/>
      <c r="K29" s="114"/>
      <c r="L29" s="114"/>
      <c r="M29" s="114"/>
      <c r="N29" s="114"/>
      <c r="O29" s="114"/>
      <c r="P29" s="3"/>
      <c r="Q29" s="3"/>
      <c r="R29" s="3"/>
      <c r="S29" s="3"/>
    </row>
    <row r="30" spans="2:19" ht="12.95" customHeight="1" x14ac:dyDescent="0.2">
      <c r="B30" s="86"/>
      <c r="C30" s="86"/>
      <c r="D30" s="86"/>
      <c r="E30" s="86"/>
      <c r="F30" s="86"/>
      <c r="G30" s="86"/>
      <c r="H30" s="86"/>
      <c r="I30" s="86"/>
      <c r="J30" s="114"/>
      <c r="K30" s="114"/>
      <c r="L30" s="114"/>
      <c r="M30" s="114"/>
      <c r="N30" s="114"/>
      <c r="O30" s="114"/>
      <c r="P30" s="3"/>
      <c r="Q30" s="3"/>
      <c r="R30" s="3"/>
      <c r="S30" s="3"/>
    </row>
    <row r="31" spans="2:19" ht="12.95" customHeight="1" x14ac:dyDescent="0.2">
      <c r="B31" s="86"/>
      <c r="C31" s="86"/>
      <c r="D31" s="86"/>
      <c r="E31" s="86"/>
      <c r="F31" s="86"/>
      <c r="G31" s="86"/>
      <c r="H31" s="86"/>
      <c r="I31" s="86"/>
      <c r="J31" s="114"/>
      <c r="K31" s="114"/>
      <c r="L31" s="114"/>
      <c r="M31" s="114"/>
      <c r="N31" s="114"/>
      <c r="O31" s="114"/>
      <c r="P31" s="3"/>
      <c r="Q31" s="3"/>
      <c r="R31" s="3"/>
      <c r="S31" s="3"/>
    </row>
    <row r="32" spans="2:19" ht="12.95" customHeight="1" x14ac:dyDescent="0.2">
      <c r="B32" s="86"/>
      <c r="C32" s="86"/>
      <c r="D32" s="86"/>
      <c r="E32" s="86"/>
      <c r="F32" s="86"/>
      <c r="G32" s="86"/>
      <c r="H32" s="86"/>
      <c r="I32" s="86"/>
      <c r="J32" s="114"/>
      <c r="K32" s="114"/>
      <c r="L32" s="114"/>
      <c r="M32" s="114"/>
      <c r="N32" s="114"/>
      <c r="O32" s="114"/>
      <c r="P32" s="3"/>
      <c r="Q32" s="3"/>
      <c r="R32" s="3"/>
      <c r="S32" s="3"/>
    </row>
    <row r="33" spans="2:19" ht="12.95" customHeight="1" x14ac:dyDescent="0.2">
      <c r="B33" s="86"/>
      <c r="C33" s="86"/>
      <c r="D33" s="86"/>
      <c r="E33" s="86"/>
      <c r="F33" s="86"/>
      <c r="G33" s="86"/>
      <c r="H33" s="86"/>
      <c r="I33" s="86"/>
      <c r="J33" s="114"/>
      <c r="K33" s="114"/>
      <c r="L33" s="114"/>
      <c r="M33" s="114"/>
      <c r="N33" s="114"/>
      <c r="O33" s="114"/>
      <c r="P33" s="3"/>
      <c r="Q33" s="3"/>
      <c r="R33" s="3"/>
      <c r="S33" s="3"/>
    </row>
    <row r="34" spans="2:19" ht="12.95" customHeight="1" x14ac:dyDescent="0.2">
      <c r="B34" s="86"/>
      <c r="C34" s="86"/>
      <c r="D34" s="86"/>
      <c r="E34" s="86"/>
      <c r="F34" s="86"/>
      <c r="G34" s="86"/>
      <c r="H34" s="86"/>
      <c r="I34" s="86"/>
      <c r="J34" s="114"/>
      <c r="K34" s="114"/>
      <c r="L34" s="114"/>
      <c r="M34" s="114"/>
      <c r="N34" s="114"/>
      <c r="O34" s="114"/>
      <c r="P34" s="3"/>
      <c r="Q34" s="3"/>
      <c r="R34" s="3"/>
      <c r="S34" s="3"/>
    </row>
    <row r="35" spans="2:19" ht="12.95" customHeight="1" x14ac:dyDescent="0.2">
      <c r="B35" s="86"/>
      <c r="C35" s="86"/>
      <c r="D35" s="86"/>
      <c r="E35" s="86"/>
      <c r="F35" s="86"/>
      <c r="G35" s="86"/>
      <c r="H35" s="86"/>
      <c r="I35" s="86"/>
      <c r="J35" s="114"/>
      <c r="K35" s="114"/>
      <c r="L35" s="114"/>
      <c r="M35" s="114"/>
      <c r="N35" s="114"/>
      <c r="O35" s="114"/>
      <c r="P35" s="3"/>
      <c r="Q35" s="3"/>
      <c r="R35" s="3"/>
      <c r="S35" s="3"/>
    </row>
    <row r="36" spans="2:19" ht="12.95" customHeight="1" x14ac:dyDescent="0.2">
      <c r="B36" s="86"/>
      <c r="C36" s="86"/>
      <c r="D36" s="86"/>
      <c r="E36" s="86"/>
      <c r="F36" s="86"/>
      <c r="G36" s="86"/>
      <c r="H36" s="86"/>
      <c r="I36" s="86"/>
      <c r="J36" s="114"/>
      <c r="K36" s="114"/>
      <c r="L36" s="114"/>
      <c r="M36" s="114"/>
      <c r="N36" s="114"/>
      <c r="O36" s="114"/>
      <c r="P36" s="3"/>
      <c r="Q36" s="3"/>
      <c r="R36" s="3"/>
      <c r="S36" s="3"/>
    </row>
    <row r="37" spans="2:19" ht="12.95" customHeight="1" x14ac:dyDescent="0.2">
      <c r="B37" s="86"/>
      <c r="C37" s="86"/>
      <c r="D37" s="86"/>
      <c r="E37" s="86"/>
      <c r="F37" s="86"/>
      <c r="G37" s="86"/>
      <c r="H37" s="86"/>
      <c r="I37" s="86"/>
      <c r="J37" s="114"/>
      <c r="K37" s="114"/>
      <c r="L37" s="114"/>
      <c r="M37" s="114"/>
      <c r="N37" s="114"/>
      <c r="O37" s="114"/>
      <c r="P37" s="3"/>
      <c r="Q37" s="3"/>
      <c r="R37" s="3"/>
      <c r="S37" s="3"/>
    </row>
    <row r="38" spans="2:19" ht="12.95" customHeight="1" x14ac:dyDescent="0.2">
      <c r="B38" s="86"/>
      <c r="C38" s="86"/>
      <c r="D38" s="86"/>
      <c r="E38" s="86"/>
      <c r="F38" s="86"/>
      <c r="G38" s="86"/>
      <c r="H38" s="86"/>
      <c r="I38" s="86"/>
      <c r="J38" s="114"/>
      <c r="K38" s="114"/>
      <c r="L38" s="114"/>
      <c r="M38" s="114"/>
      <c r="N38" s="114"/>
      <c r="O38" s="114"/>
      <c r="P38" s="3"/>
      <c r="Q38" s="3"/>
      <c r="R38" s="3"/>
      <c r="S38" s="3"/>
    </row>
    <row r="39" spans="2:19" ht="12.95" customHeight="1" x14ac:dyDescent="0.2">
      <c r="B39" s="86"/>
      <c r="C39" s="86"/>
      <c r="D39" s="86"/>
      <c r="E39" s="86"/>
      <c r="F39" s="86"/>
      <c r="G39" s="86"/>
      <c r="H39" s="86"/>
      <c r="I39" s="86"/>
      <c r="J39" s="114"/>
      <c r="K39" s="114"/>
      <c r="L39" s="114"/>
      <c r="M39" s="114"/>
      <c r="N39" s="114"/>
      <c r="O39" s="114"/>
      <c r="P39" s="3"/>
      <c r="Q39" s="3"/>
      <c r="R39" s="3"/>
      <c r="S39" s="3"/>
    </row>
    <row r="40" spans="2:19" ht="12.95" customHeight="1" x14ac:dyDescent="0.2">
      <c r="B40" s="86"/>
      <c r="C40" s="86"/>
      <c r="D40" s="86"/>
      <c r="E40" s="86"/>
      <c r="F40" s="86"/>
      <c r="G40" s="86"/>
      <c r="H40" s="86"/>
      <c r="I40" s="86"/>
      <c r="J40" s="114"/>
      <c r="K40" s="114"/>
      <c r="L40" s="114"/>
      <c r="M40" s="114"/>
      <c r="N40" s="114"/>
      <c r="O40" s="114"/>
      <c r="P40" s="3"/>
      <c r="Q40" s="3"/>
      <c r="R40" s="3"/>
      <c r="S40" s="3"/>
    </row>
    <row r="41" spans="2:19" ht="12.95" customHeight="1" x14ac:dyDescent="0.2">
      <c r="B41" s="86"/>
      <c r="C41" s="86"/>
      <c r="D41" s="86"/>
      <c r="E41" s="86"/>
      <c r="F41" s="86"/>
      <c r="G41" s="86"/>
      <c r="H41" s="86"/>
      <c r="I41" s="86"/>
      <c r="J41" s="114"/>
      <c r="K41" s="114"/>
      <c r="L41" s="114"/>
      <c r="M41" s="114"/>
      <c r="N41" s="114"/>
      <c r="O41" s="114"/>
      <c r="P41" s="3"/>
      <c r="Q41" s="3"/>
      <c r="R41" s="3"/>
      <c r="S41" s="3"/>
    </row>
    <row r="42" spans="2:19" ht="12.95" customHeight="1" x14ac:dyDescent="0.2">
      <c r="B42" s="86"/>
      <c r="C42" s="86"/>
      <c r="D42" s="86"/>
      <c r="E42" s="86"/>
      <c r="F42" s="86"/>
      <c r="G42" s="86"/>
      <c r="H42" s="86"/>
      <c r="I42" s="86"/>
      <c r="J42" s="114"/>
      <c r="K42" s="114"/>
      <c r="L42" s="114"/>
      <c r="M42" s="114"/>
      <c r="N42" s="114"/>
      <c r="O42" s="114"/>
      <c r="P42" s="3"/>
      <c r="Q42" s="3"/>
      <c r="R42" s="3"/>
      <c r="S42" s="3"/>
    </row>
    <row r="43" spans="2:19" ht="12.95" customHeight="1" x14ac:dyDescent="0.2">
      <c r="B43" s="86"/>
      <c r="C43" s="86"/>
      <c r="D43" s="86"/>
      <c r="E43" s="86"/>
      <c r="F43" s="86"/>
      <c r="G43" s="86"/>
      <c r="H43" s="86"/>
      <c r="I43" s="86"/>
      <c r="J43" s="114"/>
      <c r="K43" s="114"/>
      <c r="L43" s="114"/>
      <c r="M43" s="114"/>
      <c r="N43" s="114"/>
      <c r="O43" s="114"/>
      <c r="P43" s="3"/>
      <c r="Q43" s="3"/>
      <c r="R43" s="3"/>
      <c r="S43" s="3"/>
    </row>
    <row r="44" spans="2:19" ht="12.95" customHeight="1" x14ac:dyDescent="0.2">
      <c r="B44" s="86"/>
      <c r="C44" s="86"/>
      <c r="D44" s="86"/>
      <c r="E44" s="86"/>
      <c r="F44" s="86"/>
      <c r="G44" s="86"/>
      <c r="H44" s="86"/>
      <c r="I44" s="86"/>
      <c r="J44" s="114"/>
      <c r="K44" s="114"/>
      <c r="L44" s="114"/>
      <c r="M44" s="114"/>
      <c r="N44" s="114"/>
      <c r="O44" s="114"/>
      <c r="P44" s="3"/>
      <c r="Q44" s="3"/>
      <c r="R44" s="3"/>
      <c r="S44" s="3"/>
    </row>
    <row r="45" spans="2:19" ht="12.95" customHeight="1" x14ac:dyDescent="0.2">
      <c r="B45" s="86"/>
      <c r="C45" s="86"/>
      <c r="D45" s="86"/>
      <c r="E45" s="86"/>
      <c r="F45" s="86"/>
      <c r="G45" s="86"/>
      <c r="H45" s="86"/>
      <c r="I45" s="86"/>
      <c r="J45" s="114"/>
      <c r="K45" s="114"/>
      <c r="L45" s="114"/>
      <c r="M45" s="114"/>
      <c r="N45" s="114"/>
      <c r="O45" s="114"/>
    </row>
    <row r="46" spans="2:19" ht="12.95" customHeight="1" x14ac:dyDescent="0.2">
      <c r="B46" s="86"/>
      <c r="C46" s="86"/>
      <c r="D46" s="86"/>
      <c r="E46" s="86"/>
      <c r="F46" s="86"/>
      <c r="G46" s="86"/>
      <c r="H46" s="86"/>
      <c r="I46" s="86"/>
      <c r="J46" s="114"/>
      <c r="K46" s="114"/>
      <c r="L46" s="114"/>
      <c r="M46" s="114"/>
      <c r="N46" s="114"/>
      <c r="O46" s="114"/>
    </row>
    <row r="47" spans="2:19" ht="12.95" customHeight="1" x14ac:dyDescent="0.2">
      <c r="B47" s="86"/>
      <c r="C47" s="86"/>
      <c r="D47" s="86"/>
      <c r="E47" s="86"/>
      <c r="F47" s="86"/>
      <c r="G47" s="86"/>
      <c r="H47" s="86"/>
      <c r="I47" s="86"/>
      <c r="J47" s="114"/>
      <c r="K47" s="114"/>
      <c r="L47" s="114"/>
      <c r="M47" s="114"/>
      <c r="N47" s="114"/>
      <c r="O47" s="114"/>
    </row>
    <row r="48" spans="2:19" ht="12.95" customHeight="1" x14ac:dyDescent="0.2">
      <c r="B48" s="86"/>
      <c r="C48" s="86"/>
      <c r="D48" s="86"/>
      <c r="E48" s="86"/>
      <c r="F48" s="86"/>
      <c r="G48" s="86"/>
      <c r="H48" s="86"/>
      <c r="I48" s="86"/>
      <c r="J48" s="114"/>
      <c r="K48" s="114"/>
      <c r="L48" s="114"/>
      <c r="M48" s="114"/>
      <c r="N48" s="114"/>
      <c r="O48" s="114"/>
    </row>
    <row r="49" spans="2:15" ht="12.95" customHeight="1" x14ac:dyDescent="0.2">
      <c r="B49" s="86"/>
      <c r="C49" s="86"/>
      <c r="D49" s="86"/>
      <c r="E49" s="86"/>
      <c r="F49" s="86"/>
      <c r="G49" s="86"/>
      <c r="H49" s="86"/>
      <c r="I49" s="86"/>
      <c r="J49" s="114"/>
      <c r="K49" s="114"/>
      <c r="L49" s="114"/>
      <c r="M49" s="114"/>
      <c r="N49" s="114"/>
      <c r="O49" s="114"/>
    </row>
    <row r="50" spans="2:15" ht="12.95" customHeight="1" x14ac:dyDescent="0.2">
      <c r="B50" s="86"/>
      <c r="C50" s="86"/>
      <c r="D50" s="86"/>
      <c r="E50" s="86"/>
      <c r="F50" s="86"/>
      <c r="G50" s="86"/>
      <c r="H50" s="86"/>
      <c r="I50" s="86"/>
      <c r="J50" s="114"/>
      <c r="K50" s="114"/>
      <c r="L50" s="114"/>
      <c r="M50" s="114"/>
      <c r="N50" s="114"/>
      <c r="O50" s="114"/>
    </row>
    <row r="51" spans="2:15" ht="12.95" customHeight="1" x14ac:dyDescent="0.2">
      <c r="B51" s="86"/>
      <c r="C51" s="86"/>
      <c r="D51" s="86"/>
      <c r="E51" s="86"/>
      <c r="F51" s="86"/>
      <c r="G51" s="86"/>
      <c r="H51" s="86"/>
      <c r="I51" s="86"/>
      <c r="J51" s="114"/>
      <c r="K51" s="114"/>
      <c r="L51" s="114"/>
      <c r="M51" s="114"/>
      <c r="N51" s="114"/>
      <c r="O51" s="114"/>
    </row>
    <row r="52" spans="2:15" ht="12.95" customHeight="1" x14ac:dyDescent="0.2">
      <c r="B52" s="86"/>
      <c r="C52" s="86"/>
      <c r="D52" s="86"/>
      <c r="E52" s="86"/>
      <c r="F52" s="86"/>
      <c r="G52" s="86"/>
      <c r="H52" s="86"/>
      <c r="I52" s="86"/>
      <c r="J52" s="114"/>
      <c r="K52" s="114"/>
      <c r="L52" s="114"/>
      <c r="M52" s="114"/>
      <c r="N52" s="114"/>
      <c r="O52" s="114"/>
    </row>
    <row r="53" spans="2:15" ht="12.95" customHeight="1" x14ac:dyDescent="0.2">
      <c r="B53" s="86"/>
      <c r="C53" s="86"/>
      <c r="D53" s="86"/>
      <c r="E53" s="86"/>
      <c r="F53" s="86"/>
      <c r="G53" s="86"/>
      <c r="H53" s="86"/>
      <c r="I53" s="86"/>
      <c r="J53" s="114"/>
      <c r="K53" s="114"/>
      <c r="L53" s="114"/>
      <c r="M53" s="114"/>
      <c r="N53" s="114"/>
      <c r="O53" s="114"/>
    </row>
    <row r="54" spans="2:15" x14ac:dyDescent="0.2">
      <c r="B54" s="86"/>
      <c r="C54" s="86"/>
      <c r="D54" s="86"/>
      <c r="E54" s="86"/>
      <c r="F54" s="86"/>
      <c r="G54" s="86"/>
      <c r="H54" s="86"/>
      <c r="I54" s="86"/>
      <c r="J54" s="114"/>
      <c r="K54" s="114"/>
      <c r="L54" s="114"/>
      <c r="M54" s="114"/>
      <c r="N54" s="114"/>
      <c r="O54" s="114"/>
    </row>
    <row r="55" spans="2:15" x14ac:dyDescent="0.2">
      <c r="B55" s="86"/>
      <c r="C55" s="86"/>
      <c r="D55" s="86"/>
      <c r="E55" s="86"/>
      <c r="F55" s="86"/>
      <c r="G55" s="86"/>
      <c r="H55" s="86"/>
      <c r="I55" s="86"/>
      <c r="J55" s="114"/>
      <c r="K55" s="114"/>
      <c r="L55" s="114"/>
      <c r="M55" s="114"/>
      <c r="N55" s="114"/>
      <c r="O55" s="114"/>
    </row>
    <row r="56" spans="2:15" x14ac:dyDescent="0.2">
      <c r="B56" s="86"/>
      <c r="C56" s="86"/>
      <c r="D56" s="86"/>
      <c r="E56" s="86"/>
      <c r="F56" s="86"/>
      <c r="G56" s="86"/>
      <c r="H56" s="86"/>
      <c r="I56" s="86"/>
      <c r="J56" s="114"/>
      <c r="K56" s="114"/>
      <c r="L56" s="114"/>
      <c r="M56" s="114"/>
      <c r="N56" s="114"/>
      <c r="O56" s="114"/>
    </row>
    <row r="57" spans="2:15" x14ac:dyDescent="0.2">
      <c r="B57" s="86"/>
      <c r="C57" s="86"/>
      <c r="D57" s="86"/>
      <c r="E57" s="86"/>
      <c r="F57" s="86"/>
      <c r="G57" s="86"/>
      <c r="H57" s="86"/>
      <c r="I57" s="86"/>
      <c r="J57" s="114"/>
      <c r="K57" s="114"/>
      <c r="L57" s="114"/>
      <c r="M57" s="114"/>
      <c r="N57" s="114"/>
      <c r="O57" s="114"/>
    </row>
    <row r="58" spans="2:15" x14ac:dyDescent="0.2">
      <c r="B58" s="86"/>
      <c r="C58" s="86"/>
      <c r="D58" s="86"/>
      <c r="E58" s="86"/>
      <c r="F58" s="86"/>
      <c r="G58" s="86"/>
      <c r="H58" s="86"/>
      <c r="I58" s="86"/>
      <c r="J58" s="114"/>
      <c r="K58" s="114"/>
      <c r="L58" s="114"/>
      <c r="M58" s="114"/>
      <c r="N58" s="114"/>
      <c r="O58" s="114"/>
    </row>
    <row r="59" spans="2:15" x14ac:dyDescent="0.2">
      <c r="B59" s="86"/>
      <c r="C59" s="86"/>
      <c r="D59" s="86"/>
      <c r="E59" s="86"/>
      <c r="F59" s="86"/>
      <c r="G59" s="86"/>
      <c r="H59" s="86"/>
      <c r="I59" s="86"/>
      <c r="J59" s="114"/>
      <c r="K59" s="114"/>
      <c r="L59" s="114"/>
      <c r="M59" s="114"/>
      <c r="N59" s="114"/>
      <c r="O59" s="114"/>
    </row>
    <row r="60" spans="2:15" x14ac:dyDescent="0.2">
      <c r="B60" s="86"/>
      <c r="C60" s="86"/>
      <c r="D60" s="86"/>
      <c r="E60" s="86"/>
      <c r="F60" s="86"/>
      <c r="G60" s="86"/>
      <c r="H60" s="86"/>
      <c r="I60" s="86"/>
      <c r="J60" s="114"/>
      <c r="K60" s="114"/>
      <c r="L60" s="114"/>
      <c r="M60" s="114"/>
      <c r="N60" s="114"/>
      <c r="O60" s="114"/>
    </row>
    <row r="61" spans="2:15" x14ac:dyDescent="0.2">
      <c r="B61" s="86"/>
      <c r="C61" s="86"/>
      <c r="D61" s="86"/>
      <c r="E61" s="86"/>
      <c r="F61" s="86"/>
      <c r="G61" s="86"/>
      <c r="H61" s="86"/>
      <c r="I61" s="86"/>
      <c r="J61" s="114"/>
      <c r="K61" s="114"/>
      <c r="L61" s="114"/>
      <c r="M61" s="114"/>
      <c r="N61" s="114"/>
      <c r="O61" s="114"/>
    </row>
    <row r="62" spans="2:15" x14ac:dyDescent="0.2">
      <c r="B62" s="86"/>
      <c r="C62" s="86"/>
      <c r="D62" s="86"/>
      <c r="E62" s="86"/>
      <c r="F62" s="86"/>
      <c r="G62" s="86"/>
      <c r="H62" s="86"/>
      <c r="I62" s="86"/>
      <c r="J62" s="114"/>
      <c r="K62" s="114"/>
      <c r="L62" s="114"/>
      <c r="M62" s="114"/>
      <c r="N62" s="114"/>
      <c r="O62" s="114"/>
    </row>
    <row r="63" spans="2:15" x14ac:dyDescent="0.2">
      <c r="B63" s="86"/>
      <c r="C63" s="86"/>
      <c r="D63" s="86"/>
      <c r="E63" s="86"/>
      <c r="F63" s="86"/>
      <c r="G63" s="86"/>
      <c r="H63" s="86"/>
      <c r="I63" s="86"/>
      <c r="J63" s="114"/>
      <c r="K63" s="114"/>
      <c r="L63" s="114"/>
      <c r="M63" s="114"/>
      <c r="N63" s="114"/>
      <c r="O63" s="114"/>
    </row>
    <row r="64" spans="2:15" x14ac:dyDescent="0.2">
      <c r="B64" s="86"/>
      <c r="C64" s="86"/>
      <c r="D64" s="86"/>
      <c r="E64" s="86"/>
      <c r="F64" s="86"/>
      <c r="G64" s="86"/>
      <c r="H64" s="86"/>
      <c r="I64" s="86"/>
      <c r="J64" s="114"/>
      <c r="K64" s="114"/>
      <c r="L64" s="114"/>
      <c r="M64" s="114"/>
      <c r="N64" s="114"/>
      <c r="O64" s="114"/>
    </row>
    <row r="65" spans="2:15" x14ac:dyDescent="0.2">
      <c r="B65" s="86"/>
      <c r="C65" s="86"/>
      <c r="D65" s="86"/>
      <c r="E65" s="86"/>
      <c r="F65" s="86"/>
      <c r="G65" s="86"/>
      <c r="H65" s="86"/>
      <c r="I65" s="86"/>
      <c r="J65" s="114"/>
      <c r="K65" s="114"/>
      <c r="L65" s="114"/>
      <c r="M65" s="114"/>
      <c r="N65" s="114"/>
      <c r="O65" s="114"/>
    </row>
    <row r="66" spans="2:15" x14ac:dyDescent="0.2">
      <c r="B66" s="86"/>
      <c r="C66" s="86"/>
      <c r="D66" s="86"/>
      <c r="E66" s="86"/>
      <c r="F66" s="86"/>
      <c r="G66" s="86"/>
      <c r="H66" s="86"/>
      <c r="I66" s="86"/>
      <c r="J66" s="114"/>
      <c r="K66" s="114"/>
      <c r="L66" s="114"/>
      <c r="M66" s="114"/>
      <c r="N66" s="114"/>
      <c r="O66" s="114"/>
    </row>
    <row r="67" spans="2:15" x14ac:dyDescent="0.2">
      <c r="B67" s="86"/>
      <c r="C67" s="86"/>
      <c r="D67" s="86"/>
      <c r="E67" s="86"/>
      <c r="F67" s="86"/>
      <c r="G67" s="86"/>
      <c r="H67" s="86"/>
      <c r="I67" s="86"/>
      <c r="J67" s="114"/>
      <c r="K67" s="114"/>
      <c r="L67" s="114"/>
      <c r="M67" s="114"/>
      <c r="N67" s="114"/>
      <c r="O67" s="114"/>
    </row>
    <row r="68" spans="2:15" x14ac:dyDescent="0.2">
      <c r="B68" s="86"/>
      <c r="C68" s="86"/>
      <c r="D68" s="86"/>
      <c r="E68" s="86"/>
      <c r="F68" s="86"/>
      <c r="G68" s="86"/>
      <c r="H68" s="86"/>
      <c r="I68" s="86"/>
      <c r="J68" s="114"/>
      <c r="K68" s="114"/>
      <c r="L68" s="114"/>
      <c r="M68" s="114"/>
      <c r="N68" s="114"/>
      <c r="O68" s="114"/>
    </row>
    <row r="69" spans="2:15" x14ac:dyDescent="0.2">
      <c r="B69" s="86"/>
      <c r="C69" s="86"/>
      <c r="D69" s="86"/>
      <c r="E69" s="86"/>
      <c r="F69" s="86"/>
      <c r="G69" s="86"/>
      <c r="H69" s="86"/>
      <c r="I69" s="86"/>
      <c r="J69" s="114"/>
      <c r="K69" s="114"/>
      <c r="L69" s="114"/>
      <c r="M69" s="114"/>
      <c r="N69" s="114"/>
      <c r="O69" s="114"/>
    </row>
    <row r="70" spans="2:15" x14ac:dyDescent="0.2">
      <c r="B70" s="86"/>
      <c r="C70" s="86"/>
      <c r="D70" s="86"/>
      <c r="E70" s="86"/>
      <c r="F70" s="86"/>
      <c r="G70" s="86"/>
      <c r="H70" s="86"/>
      <c r="I70" s="86"/>
      <c r="J70" s="114"/>
      <c r="K70" s="114"/>
      <c r="L70" s="114"/>
      <c r="M70" s="114"/>
      <c r="N70" s="114"/>
      <c r="O70" s="114"/>
    </row>
    <row r="71" spans="2:15" x14ac:dyDescent="0.2">
      <c r="B71" s="86"/>
      <c r="C71" s="86"/>
      <c r="D71" s="86"/>
      <c r="E71" s="86"/>
      <c r="F71" s="86"/>
      <c r="G71" s="86"/>
      <c r="H71" s="86"/>
      <c r="I71" s="86"/>
      <c r="J71" s="114"/>
      <c r="K71" s="114"/>
      <c r="L71" s="114"/>
      <c r="M71" s="114"/>
      <c r="N71" s="114"/>
      <c r="O71" s="114"/>
    </row>
    <row r="72" spans="2:15" x14ac:dyDescent="0.2">
      <c r="I72" s="86"/>
    </row>
  </sheetData>
  <mergeCells count="17">
    <mergeCell ref="J8:J9"/>
    <mergeCell ref="H7:K7"/>
    <mergeCell ref="K8:K9"/>
    <mergeCell ref="A3:O3"/>
    <mergeCell ref="A5:O5"/>
    <mergeCell ref="A4:O4"/>
    <mergeCell ref="O7:O9"/>
    <mergeCell ref="L7:L9"/>
    <mergeCell ref="N7:N9"/>
    <mergeCell ref="H8:I8"/>
    <mergeCell ref="A7:A9"/>
    <mergeCell ref="B7:B9"/>
    <mergeCell ref="C7:C9"/>
    <mergeCell ref="D7:D9"/>
    <mergeCell ref="M7:M9"/>
    <mergeCell ref="G7:G9"/>
    <mergeCell ref="E7:E9"/>
  </mergeCells>
  <pageMargins left="0.41" right="0.17" top="0.31" bottom="1" header="0.19" footer="0.5"/>
  <pageSetup paperSize="9" scale="8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40"/>
  <sheetViews>
    <sheetView zoomScale="80" zoomScaleNormal="80" zoomScaleSheetLayoutView="84" workbookViewId="0">
      <selection activeCell="N12" sqref="N12"/>
    </sheetView>
  </sheetViews>
  <sheetFormatPr defaultRowHeight="12.75" x14ac:dyDescent="0.2"/>
  <cols>
    <col min="1" max="1" width="14.42578125" style="832" customWidth="1"/>
    <col min="2" max="2" width="12.140625" style="832" customWidth="1"/>
    <col min="3" max="3" width="9.42578125" style="832" customWidth="1"/>
    <col min="4" max="4" width="9.28515625" style="832" customWidth="1"/>
    <col min="5" max="5" width="8.5703125" style="832" customWidth="1"/>
    <col min="6" max="6" width="8.140625" style="832" customWidth="1"/>
    <col min="7" max="7" width="9.5703125" style="832" customWidth="1"/>
    <col min="8" max="8" width="14.140625" style="832" customWidth="1"/>
    <col min="9" max="9" width="8" style="832" customWidth="1"/>
    <col min="10" max="10" width="9.140625" style="832" hidden="1" customWidth="1"/>
    <col min="11" max="11" width="9.140625" style="832" customWidth="1"/>
    <col min="12" max="12" width="12.5703125" style="832" customWidth="1"/>
    <col min="13" max="13" width="9.28515625" style="832" bestFit="1" customWidth="1"/>
    <col min="14" max="14" width="10" style="832" customWidth="1"/>
    <col min="15" max="15" width="12.28515625" style="878" customWidth="1"/>
    <col min="16" max="16" width="11" style="832" customWidth="1"/>
    <col min="17" max="17" width="11.85546875" style="832" customWidth="1"/>
    <col min="18" max="18" width="8" style="831" customWidth="1"/>
    <col min="19" max="19" width="8.42578125" style="832" customWidth="1"/>
    <col min="20" max="20" width="10.140625" style="832" customWidth="1"/>
    <col min="21" max="16384" width="9.140625" style="832"/>
  </cols>
  <sheetData>
    <row r="1" spans="1:22" x14ac:dyDescent="0.2">
      <c r="A1" s="829"/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30"/>
      <c r="P1" s="829"/>
      <c r="Q1" s="829"/>
    </row>
    <row r="2" spans="1:22" x14ac:dyDescent="0.2">
      <c r="A2" s="830" t="s">
        <v>1204</v>
      </c>
      <c r="B2" s="829"/>
      <c r="C2" s="829"/>
      <c r="D2" s="829"/>
      <c r="E2" s="829"/>
      <c r="G2" s="829"/>
      <c r="H2" s="829"/>
      <c r="I2" s="829"/>
      <c r="J2" s="829"/>
      <c r="K2" s="829"/>
      <c r="L2" s="829"/>
      <c r="M2" s="829"/>
      <c r="N2" s="829"/>
      <c r="O2" s="830"/>
      <c r="P2" s="829"/>
      <c r="Q2" s="829"/>
    </row>
    <row r="3" spans="1:22" ht="13.5" thickBot="1" x14ac:dyDescent="0.25">
      <c r="A3" s="830"/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O3" s="830"/>
      <c r="Q3" s="833" t="s">
        <v>442</v>
      </c>
    </row>
    <row r="4" spans="1:22" ht="13.5" thickBot="1" x14ac:dyDescent="0.25">
      <c r="A4" s="1077" t="s">
        <v>1205</v>
      </c>
      <c r="B4" s="1089" t="s">
        <v>1206</v>
      </c>
      <c r="C4" s="1076" t="s">
        <v>1207</v>
      </c>
      <c r="D4" s="1076"/>
      <c r="E4" s="1076"/>
      <c r="F4" s="1076"/>
      <c r="G4" s="1076"/>
      <c r="H4" s="1077" t="s">
        <v>1205</v>
      </c>
      <c r="I4" s="1079" t="s">
        <v>45</v>
      </c>
      <c r="J4" s="1080"/>
      <c r="K4" s="1080"/>
      <c r="L4" s="1080"/>
      <c r="M4" s="1080"/>
      <c r="N4" s="1080"/>
      <c r="O4" s="1081"/>
      <c r="P4" s="1082" t="s">
        <v>443</v>
      </c>
      <c r="Q4" s="1084" t="s">
        <v>1208</v>
      </c>
      <c r="S4" s="1086" t="s">
        <v>1209</v>
      </c>
    </row>
    <row r="5" spans="1:22" s="838" customFormat="1" ht="48.75" thickBot="1" x14ac:dyDescent="0.25">
      <c r="A5" s="1088"/>
      <c r="B5" s="1090"/>
      <c r="C5" s="834" t="s">
        <v>1210</v>
      </c>
      <c r="D5" s="835" t="s">
        <v>1211</v>
      </c>
      <c r="E5" s="835" t="s">
        <v>1212</v>
      </c>
      <c r="F5" s="836" t="s">
        <v>1213</v>
      </c>
      <c r="G5" s="837" t="s">
        <v>1214</v>
      </c>
      <c r="H5" s="1078"/>
      <c r="I5" s="834" t="s">
        <v>1215</v>
      </c>
      <c r="K5" s="835" t="s">
        <v>1216</v>
      </c>
      <c r="L5" s="835" t="s">
        <v>1217</v>
      </c>
      <c r="M5" s="835" t="s">
        <v>1218</v>
      </c>
      <c r="N5" s="836" t="s">
        <v>1219</v>
      </c>
      <c r="O5" s="837" t="s">
        <v>1220</v>
      </c>
      <c r="P5" s="1083"/>
      <c r="Q5" s="1085"/>
      <c r="R5" s="839" t="s">
        <v>1221</v>
      </c>
      <c r="S5" s="1087"/>
    </row>
    <row r="6" spans="1:22" x14ac:dyDescent="0.2">
      <c r="A6" s="909" t="s">
        <v>1222</v>
      </c>
      <c r="B6" s="910">
        <f>'[3]TKT műk.'!B39</f>
        <v>2344</v>
      </c>
      <c r="C6" s="911">
        <f>'[3]Társulási hozzájár.'!F9</f>
        <v>1172</v>
      </c>
      <c r="D6" s="912">
        <f>'[3]TKT műk.'!E39</f>
        <v>125.08408796895213</v>
      </c>
      <c r="E6" s="913">
        <f>[3]Ügyelet!E26</f>
        <v>15200.315972449162</v>
      </c>
      <c r="F6" s="914">
        <f>[3]Labor!H27</f>
        <v>4932</v>
      </c>
      <c r="G6" s="915">
        <f t="shared" ref="G6:G18" si="0">SUM(C6:F6)</f>
        <v>21429.400060418113</v>
      </c>
      <c r="H6" s="916" t="s">
        <v>1222</v>
      </c>
      <c r="I6" s="917">
        <f>'[3]Püg.,TV, étkeztetés '!E20</f>
        <v>3510</v>
      </c>
      <c r="J6" s="907"/>
      <c r="K6" s="912">
        <f>[3]Jelzőrendszer!E18</f>
        <v>109.48</v>
      </c>
      <c r="L6" s="912">
        <f>SUM('[3]Családsegítés, gyerm.jólét'!V41)</f>
        <v>395.67390583333349</v>
      </c>
      <c r="M6" s="913">
        <f>[3]Óvoda!H22+[3]Óvoda!C34</f>
        <v>0</v>
      </c>
      <c r="N6" s="918">
        <f>'[3]Püg.,TV, étkeztetés '!D20</f>
        <v>730</v>
      </c>
      <c r="O6" s="915">
        <f>I6+K6+L6+M6+N6</f>
        <v>4745.1539058333337</v>
      </c>
      <c r="P6" s="915">
        <f>G6+O6-1</f>
        <v>26173.553966251446</v>
      </c>
      <c r="Q6" s="919">
        <v>28273</v>
      </c>
      <c r="R6" s="850">
        <f>P6-Q6</f>
        <v>-2099.4460337485543</v>
      </c>
      <c r="S6" s="851">
        <v>0</v>
      </c>
      <c r="V6" s="852"/>
    </row>
    <row r="7" spans="1:22" x14ac:dyDescent="0.2">
      <c r="A7" s="853" t="s">
        <v>1223</v>
      </c>
      <c r="B7" s="841">
        <f>'[3]TKT műk.'!B40</f>
        <v>549</v>
      </c>
      <c r="C7" s="842">
        <f>'[3]Társulási hozzájár.'!F10</f>
        <v>275</v>
      </c>
      <c r="D7" s="843">
        <f>'[3]TKT műk.'!E40</f>
        <v>29.296571798188875</v>
      </c>
      <c r="E7" s="844">
        <f>[3]Ügyelet!E27</f>
        <v>2909.5689608434536</v>
      </c>
      <c r="F7" s="845">
        <f>[3]Labor!H28</f>
        <v>1155</v>
      </c>
      <c r="G7" s="846">
        <f t="shared" si="0"/>
        <v>4368.8655326416429</v>
      </c>
      <c r="H7" s="854" t="s">
        <v>1223</v>
      </c>
      <c r="I7" s="847">
        <f>'[3]Püg.,TV, étkeztetés '!E21</f>
        <v>165</v>
      </c>
      <c r="K7" s="843">
        <f>[3]Jelzőrendszer!E19</f>
        <v>78.2</v>
      </c>
      <c r="L7" s="843">
        <f>SUM('[3]Családsegítés, gyerm.jólét'!V54)</f>
        <v>143.80529583333333</v>
      </c>
      <c r="M7" s="855">
        <v>0</v>
      </c>
      <c r="N7" s="848">
        <f>'[3]Püg.,TV, étkeztetés '!D21</f>
        <v>0</v>
      </c>
      <c r="O7" s="846">
        <f t="shared" ref="O7:O18" si="1">I7+K7+L7+M7+N7</f>
        <v>387.00529583333332</v>
      </c>
      <c r="P7" s="849">
        <f t="shared" ref="P7:P19" si="2">G7+O7</f>
        <v>4755.8708284749764</v>
      </c>
      <c r="Q7" s="856">
        <v>4022</v>
      </c>
      <c r="R7" s="850">
        <f t="shared" ref="R7:R20" si="3">P7-Q7</f>
        <v>733.87082847497641</v>
      </c>
      <c r="S7" s="857">
        <v>0</v>
      </c>
      <c r="V7" s="852"/>
    </row>
    <row r="8" spans="1:22" x14ac:dyDescent="0.2">
      <c r="A8" s="853" t="s">
        <v>1224</v>
      </c>
      <c r="B8" s="841">
        <f>'[3]TKT műk.'!B41</f>
        <v>2254</v>
      </c>
      <c r="C8" s="842">
        <f>'[3]Társulási hozzájár.'!F11</f>
        <v>1127</v>
      </c>
      <c r="D8" s="843">
        <f>'[3]TKT műk.'!E41</f>
        <v>120.28137128072446</v>
      </c>
      <c r="E8" s="844">
        <f>[3]Ügyelet!E28</f>
        <v>11904.41915200997</v>
      </c>
      <c r="F8" s="845">
        <f>[3]Labor!H29</f>
        <v>4742</v>
      </c>
      <c r="G8" s="846">
        <f>SUM(C8:F8)-1</f>
        <v>17892.700523290696</v>
      </c>
      <c r="H8" s="854" t="s">
        <v>1224</v>
      </c>
      <c r="I8" s="847">
        <f>'[3]Püg.,TV, étkeztetés '!E22</f>
        <v>0</v>
      </c>
      <c r="K8" s="843">
        <f>[3]Jelzőrendszer!E20</f>
        <v>547.4</v>
      </c>
      <c r="L8" s="843">
        <f>SUM('[3]Családsegítés, gyerm.jólét'!V49)</f>
        <v>1196.8236115434283</v>
      </c>
      <c r="M8" s="855">
        <v>0</v>
      </c>
      <c r="N8" s="848">
        <f>'[3]Püg.,TV, étkeztetés '!D22</f>
        <v>0</v>
      </c>
      <c r="O8" s="846">
        <f t="shared" si="1"/>
        <v>1744.2236115434284</v>
      </c>
      <c r="P8" s="849">
        <f t="shared" si="2"/>
        <v>19636.924134834124</v>
      </c>
      <c r="Q8" s="856">
        <v>15212</v>
      </c>
      <c r="R8" s="850">
        <f t="shared" si="3"/>
        <v>4424.9241348341238</v>
      </c>
      <c r="S8" s="857">
        <v>0</v>
      </c>
      <c r="V8" s="852"/>
    </row>
    <row r="9" spans="1:22" x14ac:dyDescent="0.2">
      <c r="A9" s="853" t="s">
        <v>1225</v>
      </c>
      <c r="B9" s="841">
        <f>'[3]TKT műk.'!B42</f>
        <v>1826</v>
      </c>
      <c r="C9" s="842">
        <f>'[3]Társulási hozzájár.'!F12</f>
        <v>913</v>
      </c>
      <c r="D9" s="843">
        <f>'[3]TKT műk.'!E42</f>
        <v>98.441785252263898</v>
      </c>
      <c r="E9" s="844">
        <f>[3]Ügyelet!E29</f>
        <v>9990.2631919183241</v>
      </c>
      <c r="F9" s="845">
        <f>[3]Labor!H30</f>
        <v>3842</v>
      </c>
      <c r="G9" s="846">
        <f>SUM(C9:F9)-1</f>
        <v>14842.704977170588</v>
      </c>
      <c r="H9" s="854" t="s">
        <v>1225</v>
      </c>
      <c r="I9" s="847">
        <f>'[3]Püg.,TV, étkeztetés '!E23</f>
        <v>0</v>
      </c>
      <c r="K9" s="843">
        <f>[3]Jelzőrendszer!E21</f>
        <v>93.84</v>
      </c>
      <c r="L9" s="843">
        <f>SUM('[3]Családsegítés, gyerm.jólét'!V53)</f>
        <v>462.37694666666653</v>
      </c>
      <c r="M9" s="855">
        <v>0</v>
      </c>
      <c r="N9" s="848">
        <f>'[3]Püg.,TV, étkeztetés '!D23</f>
        <v>0</v>
      </c>
      <c r="O9" s="846">
        <f t="shared" si="1"/>
        <v>556.21694666666656</v>
      </c>
      <c r="P9" s="849">
        <f>G9+O9</f>
        <v>15398.921923837255</v>
      </c>
      <c r="Q9" s="856">
        <v>11268</v>
      </c>
      <c r="R9" s="850">
        <f t="shared" si="3"/>
        <v>4130.9219238372552</v>
      </c>
      <c r="S9" s="857">
        <v>2690</v>
      </c>
      <c r="V9" s="852"/>
    </row>
    <row r="10" spans="1:22" x14ac:dyDescent="0.2">
      <c r="A10" s="853" t="s">
        <v>1226</v>
      </c>
      <c r="B10" s="841">
        <f>'[3]TKT műk.'!B43</f>
        <v>608</v>
      </c>
      <c r="C10" s="842">
        <f>'[3]Társulási hozzájár.'!F13</f>
        <v>304</v>
      </c>
      <c r="D10" s="843">
        <f>'[3]TKT műk.'!E43</f>
        <v>33.445019404915911</v>
      </c>
      <c r="E10" s="844">
        <f>[3]Ügyelet!E30</f>
        <v>804.69041095890418</v>
      </c>
      <c r="F10" s="845">
        <f>[3]Labor!H31</f>
        <v>853</v>
      </c>
      <c r="G10" s="846">
        <f t="shared" si="0"/>
        <v>1995.13543036382</v>
      </c>
      <c r="H10" s="854" t="s">
        <v>1226</v>
      </c>
      <c r="I10" s="847">
        <f>'[3]Püg.,TV, étkeztetés '!E24</f>
        <v>165</v>
      </c>
      <c r="K10" s="843">
        <f>[3]Jelzőrendszer!E22</f>
        <v>15.64</v>
      </c>
      <c r="L10" s="843">
        <f>SUM('[3]Családsegítés, gyerm.jólét'!V42)</f>
        <v>253.42884916666665</v>
      </c>
      <c r="M10" s="855">
        <f>[3]Óvoda!H18+[3]Óvoda!E34</f>
        <v>0</v>
      </c>
      <c r="N10" s="848">
        <f>'[3]Püg.,TV, étkeztetés '!D24</f>
        <v>1570</v>
      </c>
      <c r="O10" s="846">
        <f t="shared" si="1"/>
        <v>2004.0688491666665</v>
      </c>
      <c r="P10" s="849">
        <f t="shared" si="2"/>
        <v>3999.2042795304865</v>
      </c>
      <c r="Q10" s="856">
        <v>5718</v>
      </c>
      <c r="R10" s="850">
        <f t="shared" si="3"/>
        <v>-1718.7957204695135</v>
      </c>
      <c r="S10" s="857">
        <v>0</v>
      </c>
      <c r="V10" s="852"/>
    </row>
    <row r="11" spans="1:22" x14ac:dyDescent="0.2">
      <c r="A11" s="853" t="s">
        <v>1227</v>
      </c>
      <c r="B11" s="841">
        <f>'[3]TKT műk.'!B44</f>
        <v>543</v>
      </c>
      <c r="C11" s="842">
        <f>'[3]Társulási hozzájár.'!F14</f>
        <v>272</v>
      </c>
      <c r="D11" s="843">
        <f>'[3]TKT műk.'!E44</f>
        <v>28.976390685640364</v>
      </c>
      <c r="E11" s="844">
        <f>[3]Ügyelet!E31</f>
        <v>610.45479452054792</v>
      </c>
      <c r="F11" s="845">
        <f>[3]Labor!H32</f>
        <v>762</v>
      </c>
      <c r="G11" s="846">
        <f t="shared" si="0"/>
        <v>1673.4311852061883</v>
      </c>
      <c r="H11" s="854" t="s">
        <v>1227</v>
      </c>
      <c r="I11" s="847">
        <f>'[3]Püg.,TV, étkeztetés '!E25</f>
        <v>165</v>
      </c>
      <c r="K11" s="843">
        <f>[3]Jelzőrendszer!E23</f>
        <v>0</v>
      </c>
      <c r="L11" s="843">
        <f>SUM('[3]Családsegítés, gyerm.jólét'!V43)</f>
        <v>342.58200958333356</v>
      </c>
      <c r="M11" s="855">
        <f>[3]Óvoda!H19</f>
        <v>0</v>
      </c>
      <c r="N11" s="848">
        <f>'[3]Püg.,TV, étkeztetés '!D25</f>
        <v>0</v>
      </c>
      <c r="O11" s="846">
        <f t="shared" si="1"/>
        <v>507.58200958333356</v>
      </c>
      <c r="P11" s="849">
        <f>G11+O11</f>
        <v>2181.013194789522</v>
      </c>
      <c r="Q11" s="856">
        <v>2837</v>
      </c>
      <c r="R11" s="850">
        <f t="shared" si="3"/>
        <v>-655.986805210478</v>
      </c>
      <c r="S11" s="857">
        <v>0</v>
      </c>
      <c r="V11" s="852"/>
    </row>
    <row r="12" spans="1:22" x14ac:dyDescent="0.2">
      <c r="A12" s="853" t="s">
        <v>1228</v>
      </c>
      <c r="B12" s="841">
        <f>'[3]TKT műk.'!B45</f>
        <v>1420</v>
      </c>
      <c r="C12" s="842">
        <f>'[3]Társulási hozzájár.'!F15</f>
        <v>710</v>
      </c>
      <c r="D12" s="843">
        <f>'[3]TKT műk.'!E45</f>
        <v>75.776196636481245</v>
      </c>
      <c r="E12" s="844">
        <f>[3]Ügyelet!E32</f>
        <v>2830.2904109589044</v>
      </c>
      <c r="F12" s="845">
        <f>[3]Labor!H33</f>
        <v>1992</v>
      </c>
      <c r="G12" s="846">
        <f t="shared" si="0"/>
        <v>5608.0666075953859</v>
      </c>
      <c r="H12" s="854" t="s">
        <v>1228</v>
      </c>
      <c r="I12" s="847">
        <f>'[3]Püg.,TV, étkeztetés '!E26</f>
        <v>0</v>
      </c>
      <c r="K12" s="843">
        <f>[3]Jelzőrendszer!E24</f>
        <v>46.92</v>
      </c>
      <c r="L12" s="843">
        <f>SUM('[3]Családsegítés, gyerm.jólét'!V56)</f>
        <v>0</v>
      </c>
      <c r="M12" s="855">
        <v>0</v>
      </c>
      <c r="N12" s="848">
        <f>'[3]Püg.,TV, étkeztetés '!D26</f>
        <v>600</v>
      </c>
      <c r="O12" s="846">
        <f t="shared" si="1"/>
        <v>646.91999999999996</v>
      </c>
      <c r="P12" s="849">
        <f t="shared" si="2"/>
        <v>6254.986607595386</v>
      </c>
      <c r="Q12" s="856">
        <v>4986</v>
      </c>
      <c r="R12" s="850">
        <f t="shared" si="3"/>
        <v>1268.986607595386</v>
      </c>
      <c r="S12" s="857">
        <v>0</v>
      </c>
      <c r="V12" s="852"/>
    </row>
    <row r="13" spans="1:22" x14ac:dyDescent="0.2">
      <c r="A13" s="853" t="s">
        <v>1229</v>
      </c>
      <c r="B13" s="841">
        <f>'[3]TKT műk.'!B46</f>
        <v>544</v>
      </c>
      <c r="C13" s="842">
        <f>'[3]Társulási hozzájár.'!F16</f>
        <v>272</v>
      </c>
      <c r="D13" s="843">
        <f>'[3]TKT műk.'!E46</f>
        <v>29.029754204398451</v>
      </c>
      <c r="E13" s="844">
        <f>[3]Ügyelet!E33</f>
        <v>471.71506849315074</v>
      </c>
      <c r="F13" s="845">
        <f>[3]Labor!H34</f>
        <v>763</v>
      </c>
      <c r="G13" s="846">
        <f t="shared" si="0"/>
        <v>1535.7448226975491</v>
      </c>
      <c r="H13" s="854" t="s">
        <v>1229</v>
      </c>
      <c r="I13" s="847">
        <f>'[3]Püg.,TV, étkeztetés '!E27</f>
        <v>165</v>
      </c>
      <c r="K13" s="843">
        <f>[3]Jelzőrendszer!E25</f>
        <v>15.64</v>
      </c>
      <c r="L13" s="843">
        <f>SUM('[3]Családsegítés, gyerm.jólét'!V50)</f>
        <v>362.30524122065719</v>
      </c>
      <c r="M13" s="855">
        <v>0</v>
      </c>
      <c r="N13" s="848">
        <f>'[3]Püg.,TV, étkeztetés '!D27</f>
        <v>0</v>
      </c>
      <c r="O13" s="846">
        <f t="shared" si="1"/>
        <v>542.94524122065718</v>
      </c>
      <c r="P13" s="849">
        <f t="shared" si="2"/>
        <v>2078.6900639182063</v>
      </c>
      <c r="Q13" s="856">
        <v>2339</v>
      </c>
      <c r="R13" s="850">
        <f t="shared" si="3"/>
        <v>-260.30993608179369</v>
      </c>
      <c r="S13" s="857">
        <v>0</v>
      </c>
      <c r="T13" s="858"/>
      <c r="V13" s="852"/>
    </row>
    <row r="14" spans="1:22" x14ac:dyDescent="0.2">
      <c r="A14" s="853" t="s">
        <v>1230</v>
      </c>
      <c r="B14" s="841">
        <f>'[3]TKT műk.'!B47</f>
        <v>378</v>
      </c>
      <c r="C14" s="842">
        <f>'[3]Társulási hozzájár.'!F17</f>
        <v>189</v>
      </c>
      <c r="D14" s="843">
        <f>'[3]TKT műk.'!E47</f>
        <v>20.171410090556275</v>
      </c>
      <c r="E14" s="844">
        <f>[3]Ügyelet!E34</f>
        <v>499.46301369863016</v>
      </c>
      <c r="F14" s="845">
        <f>[3]Labor!H35</f>
        <v>530</v>
      </c>
      <c r="G14" s="846">
        <f>SUM(C14:F14)-1</f>
        <v>1237.6344237891865</v>
      </c>
      <c r="H14" s="854" t="s">
        <v>1230</v>
      </c>
      <c r="I14" s="847">
        <f>'[3]Püg.,TV, étkeztetés '!E28</f>
        <v>165</v>
      </c>
      <c r="K14" s="843">
        <f>[3]Jelzőrendszer!E26</f>
        <v>46.92</v>
      </c>
      <c r="L14" s="843">
        <f>SUM('[3]Családsegítés, gyerm.jólét'!V51)</f>
        <v>720.61048244131439</v>
      </c>
      <c r="M14" s="855">
        <v>0</v>
      </c>
      <c r="N14" s="848">
        <f>'[3]Püg.,TV, étkeztetés '!D28</f>
        <v>0</v>
      </c>
      <c r="O14" s="846">
        <f t="shared" si="1"/>
        <v>932.53048244131446</v>
      </c>
      <c r="P14" s="849">
        <f>G14+O14+1</f>
        <v>2171.1649062305009</v>
      </c>
      <c r="Q14" s="856">
        <v>1886</v>
      </c>
      <c r="R14" s="850">
        <f t="shared" si="3"/>
        <v>285.16490623050095</v>
      </c>
      <c r="S14" s="857">
        <v>0</v>
      </c>
      <c r="T14" s="859"/>
      <c r="V14" s="852"/>
    </row>
    <row r="15" spans="1:22" x14ac:dyDescent="0.2">
      <c r="A15" s="853" t="s">
        <v>1231</v>
      </c>
      <c r="B15" s="841">
        <f>'[3]TKT műk.'!B48</f>
        <v>389</v>
      </c>
      <c r="C15" s="842">
        <f>'[3]Társulási hozzájár.'!F18</f>
        <v>194</v>
      </c>
      <c r="D15" s="843">
        <f>'[3]TKT műk.'!E48</f>
        <v>20.758408796895214</v>
      </c>
      <c r="E15" s="844">
        <f>[3]Ügyelet!E35</f>
        <v>527.21095890410959</v>
      </c>
      <c r="F15" s="845">
        <f>[3]Labor!H36</f>
        <v>546</v>
      </c>
      <c r="G15" s="846">
        <f t="shared" si="0"/>
        <v>1287.9693677010048</v>
      </c>
      <c r="H15" s="854" t="s">
        <v>1231</v>
      </c>
      <c r="I15" s="847">
        <f>'[3]Püg.,TV, étkeztetés '!E29</f>
        <v>0</v>
      </c>
      <c r="K15" s="843">
        <f>[3]Jelzőrendszer!E27</f>
        <v>15.64</v>
      </c>
      <c r="L15" s="843">
        <f>SUM('[3]Családsegítés, gyerm.jólét'!V44)</f>
        <v>189.24688458333341</v>
      </c>
      <c r="M15" s="855">
        <f>[3]Óvoda!H20</f>
        <v>0</v>
      </c>
      <c r="N15" s="848">
        <f>'[3]Püg.,TV, étkeztetés '!D29</f>
        <v>0</v>
      </c>
      <c r="O15" s="846">
        <f t="shared" si="1"/>
        <v>204.88688458333343</v>
      </c>
      <c r="P15" s="849">
        <f>G15+O15</f>
        <v>1492.8562522843381</v>
      </c>
      <c r="Q15" s="856">
        <v>1868</v>
      </c>
      <c r="R15" s="850">
        <f t="shared" si="3"/>
        <v>-375.1437477156619</v>
      </c>
      <c r="S15" s="857">
        <v>0</v>
      </c>
      <c r="T15" s="859"/>
      <c r="V15" s="852"/>
    </row>
    <row r="16" spans="1:22" x14ac:dyDescent="0.2">
      <c r="A16" s="853" t="s">
        <v>1232</v>
      </c>
      <c r="B16" s="841">
        <f>'[3]TKT műk.'!B49</f>
        <v>698</v>
      </c>
      <c r="C16" s="842">
        <f>'[3]Társulási hozzájár.'!F19</f>
        <v>349</v>
      </c>
      <c r="D16" s="843">
        <f>'[3]TKT műk.'!E49</f>
        <v>37.247736093143601</v>
      </c>
      <c r="E16" s="844">
        <f>[3]Ügyelet!E36</f>
        <v>3284.2272433270286</v>
      </c>
      <c r="F16" s="845">
        <f>[3]Labor!H37</f>
        <v>1468</v>
      </c>
      <c r="G16" s="846">
        <f t="shared" si="0"/>
        <v>5138.4749794201725</v>
      </c>
      <c r="H16" s="854" t="s">
        <v>1232</v>
      </c>
      <c r="I16" s="847">
        <f>'[3]Püg.,TV, étkeztetés '!E30</f>
        <v>165</v>
      </c>
      <c r="K16" s="843">
        <f>[3]Jelzőrendszer!E28</f>
        <v>186.68</v>
      </c>
      <c r="L16" s="843">
        <f>SUM('[3]Családsegítés, gyerm.jólét'!V45)</f>
        <v>199.33695291666675</v>
      </c>
      <c r="M16" s="855">
        <f>[3]Óvoda!H21</f>
        <v>0</v>
      </c>
      <c r="N16" s="848">
        <f>'[3]Püg.,TV, étkeztetés '!D30</f>
        <v>0</v>
      </c>
      <c r="O16" s="846">
        <f t="shared" si="1"/>
        <v>551.0169529166667</v>
      </c>
      <c r="P16" s="849">
        <f t="shared" si="2"/>
        <v>5689.4919323368395</v>
      </c>
      <c r="Q16" s="856">
        <v>5278</v>
      </c>
      <c r="R16" s="850">
        <f t="shared" si="3"/>
        <v>411.49193233683945</v>
      </c>
      <c r="S16" s="857">
        <v>0</v>
      </c>
      <c r="T16" s="859"/>
      <c r="V16" s="852"/>
    </row>
    <row r="17" spans="1:22" x14ac:dyDescent="0.2">
      <c r="A17" s="853" t="s">
        <v>1233</v>
      </c>
      <c r="B17" s="841">
        <f>'[3]TKT műk.'!B50</f>
        <v>589</v>
      </c>
      <c r="C17" s="842">
        <f>'[3]Társulási hozzájár.'!F20</f>
        <v>294</v>
      </c>
      <c r="D17" s="860">
        <f>'[3]TKT műk.'!E50</f>
        <v>31.431112548512292</v>
      </c>
      <c r="E17" s="855">
        <f>[3]Ügyelet!E37</f>
        <v>860.18630136986303</v>
      </c>
      <c r="F17" s="845">
        <f>[3]Labor!H38</f>
        <v>826</v>
      </c>
      <c r="G17" s="861">
        <f>SUM(C17:F17)-1</f>
        <v>2010.6174139183754</v>
      </c>
      <c r="H17" s="854" t="s">
        <v>1233</v>
      </c>
      <c r="I17" s="862">
        <f>'[3]Püg.,TV, étkeztetés '!E31</f>
        <v>0</v>
      </c>
      <c r="K17" s="843">
        <f>[3]Jelzőrendszer!E29</f>
        <v>15.64</v>
      </c>
      <c r="L17" s="860">
        <f>SUM('[3]Családsegítés, gyerm.jólét'!V46)</f>
        <v>363.01323958333353</v>
      </c>
      <c r="M17" s="855">
        <v>0</v>
      </c>
      <c r="N17" s="848">
        <f>'[3]Püg.,TV, étkeztetés '!D31</f>
        <v>0</v>
      </c>
      <c r="O17" s="846">
        <f t="shared" si="1"/>
        <v>378.65323958333352</v>
      </c>
      <c r="P17" s="863">
        <f>G17+O17+1</f>
        <v>2390.2706535017087</v>
      </c>
      <c r="Q17" s="856">
        <v>2246</v>
      </c>
      <c r="R17" s="850">
        <f t="shared" si="3"/>
        <v>144.27065350170869</v>
      </c>
      <c r="S17" s="857">
        <v>0</v>
      </c>
      <c r="T17" s="859"/>
      <c r="V17" s="852"/>
    </row>
    <row r="18" spans="1:22" x14ac:dyDescent="0.2">
      <c r="A18" s="853" t="s">
        <v>1234</v>
      </c>
      <c r="B18" s="841">
        <f>'[3]TKT műk.'!B51</f>
        <v>226</v>
      </c>
      <c r="C18" s="842">
        <f>'[3]Társulási hozzájár.'!F21</f>
        <v>113</v>
      </c>
      <c r="D18" s="860">
        <f>'[3]TKT műk.'!E51</f>
        <v>12.060155239327297</v>
      </c>
      <c r="E18" s="855">
        <f>[3]Ügyelet!E38</f>
        <v>749.19452054794522</v>
      </c>
      <c r="F18" s="845">
        <f>[3]Labor!H39</f>
        <v>317</v>
      </c>
      <c r="G18" s="861">
        <f t="shared" si="0"/>
        <v>1191.2546757872724</v>
      </c>
      <c r="H18" s="854" t="s">
        <v>1234</v>
      </c>
      <c r="I18" s="862">
        <f>'[3]Püg.,TV, étkeztetés '!E32</f>
        <v>0</v>
      </c>
      <c r="K18" s="843">
        <f>[3]Jelzőrendszer!E30</f>
        <v>0</v>
      </c>
      <c r="L18" s="860">
        <f>SUM('[3]Családsegítés, gyerm.jólét'!V47)</f>
        <v>925.84468062793417</v>
      </c>
      <c r="M18" s="855">
        <v>0</v>
      </c>
      <c r="N18" s="848">
        <f>'[3]Püg.,TV, étkeztetés '!D32</f>
        <v>0</v>
      </c>
      <c r="O18" s="846">
        <f t="shared" si="1"/>
        <v>925.84468062793417</v>
      </c>
      <c r="P18" s="863">
        <f>G18+O18</f>
        <v>2117.0993564152068</v>
      </c>
      <c r="Q18" s="856">
        <v>1662</v>
      </c>
      <c r="R18" s="850">
        <f t="shared" si="3"/>
        <v>455.09935641520678</v>
      </c>
      <c r="S18" s="857">
        <v>0</v>
      </c>
      <c r="T18" s="858"/>
      <c r="V18" s="852"/>
    </row>
    <row r="19" spans="1:22" hidden="1" x14ac:dyDescent="0.2">
      <c r="A19" s="864" t="s">
        <v>1235</v>
      </c>
      <c r="B19" s="865"/>
      <c r="C19" s="842"/>
      <c r="D19" s="860"/>
      <c r="E19" s="855"/>
      <c r="F19" s="866"/>
      <c r="G19" s="861"/>
      <c r="H19" s="867" t="s">
        <v>1235</v>
      </c>
      <c r="I19" s="862"/>
      <c r="K19" s="843">
        <f>[3]Jelzőrendszer!E31</f>
        <v>1173</v>
      </c>
      <c r="L19" s="860">
        <f>SUM('[3]Családsegítés, gyerm.jólét'!V57)</f>
        <v>0</v>
      </c>
      <c r="M19" s="855"/>
      <c r="N19" s="848">
        <f>'[3]Püg.,TV, étkeztetés '!D33+'[3]Püg.,TV, étkeztetés '!J33</f>
        <v>2900</v>
      </c>
      <c r="O19" s="861" t="e">
        <f>I19+#REF!+L19+M19+N19</f>
        <v>#REF!</v>
      </c>
      <c r="P19" s="863" t="e">
        <f t="shared" si="2"/>
        <v>#REF!</v>
      </c>
      <c r="Q19" s="856" t="e">
        <v>#REF!</v>
      </c>
      <c r="R19" s="850" t="e">
        <f t="shared" si="3"/>
        <v>#REF!</v>
      </c>
      <c r="S19" s="857"/>
    </row>
    <row r="20" spans="1:22" ht="13.5" thickBot="1" x14ac:dyDescent="0.25">
      <c r="A20" s="868" t="s">
        <v>47</v>
      </c>
      <c r="B20" s="869">
        <f>SUM(B6:B19)</f>
        <v>12368</v>
      </c>
      <c r="C20" s="870">
        <f>SUM(C6:C18)</f>
        <v>6184</v>
      </c>
      <c r="D20" s="870">
        <f>SUM(D6:D18)-2</f>
        <v>659.99999999999989</v>
      </c>
      <c r="E20" s="871">
        <f>SUM(E6:E18)-2</f>
        <v>50639.999999999978</v>
      </c>
      <c r="F20" s="872">
        <f>SUM(F6:F18)</f>
        <v>22728</v>
      </c>
      <c r="G20" s="869">
        <f>SUM(G6:G18)</f>
        <v>80212.000000000015</v>
      </c>
      <c r="H20" s="873" t="s">
        <v>47</v>
      </c>
      <c r="I20" s="870">
        <f>SUM(I6:I18)</f>
        <v>4500</v>
      </c>
      <c r="J20" s="870">
        <f>SUM(J6:J18)</f>
        <v>0</v>
      </c>
      <c r="K20" s="870">
        <f>SUM(K6:K18)+1</f>
        <v>1173</v>
      </c>
      <c r="L20" s="871">
        <f>SUM(L6:L19)</f>
        <v>5555.0481000000018</v>
      </c>
      <c r="M20" s="871">
        <f>SUM(M6:M18)</f>
        <v>0</v>
      </c>
      <c r="N20" s="874">
        <f>SUM(N6:N18)</f>
        <v>2900</v>
      </c>
      <c r="O20" s="869">
        <f>SUM(I20:N20)</f>
        <v>14128.048100000002</v>
      </c>
      <c r="P20" s="869">
        <f>SUM(P6:P18)</f>
        <v>94340.048100000015</v>
      </c>
      <c r="Q20" s="875">
        <f>SUM(Q6:Q18)</f>
        <v>87595</v>
      </c>
      <c r="R20" s="850">
        <f t="shared" si="3"/>
        <v>6745.0481000000145</v>
      </c>
      <c r="S20" s="876">
        <f>SUM(S6:S18)</f>
        <v>2690</v>
      </c>
      <c r="V20" s="877"/>
    </row>
    <row r="21" spans="1:22" x14ac:dyDescent="0.2">
      <c r="A21" s="878"/>
      <c r="B21" s="878"/>
      <c r="C21" s="878"/>
      <c r="D21" s="879">
        <f>SUM(C20+D20)</f>
        <v>6844</v>
      </c>
      <c r="E21" s="880"/>
      <c r="F21" s="880"/>
      <c r="G21" s="880"/>
      <c r="H21" s="878"/>
      <c r="I21" s="878"/>
      <c r="J21" s="878"/>
      <c r="K21" s="878"/>
      <c r="L21" s="878"/>
      <c r="M21" s="880"/>
      <c r="N21" s="880"/>
      <c r="O21" s="880"/>
      <c r="P21" s="880"/>
      <c r="Q21" s="881"/>
      <c r="R21" s="850"/>
    </row>
    <row r="22" spans="1:22" ht="13.5" thickBot="1" x14ac:dyDescent="0.25">
      <c r="J22" s="878"/>
      <c r="K22" s="878"/>
    </row>
    <row r="23" spans="1:22" ht="20.25" customHeight="1" thickBot="1" x14ac:dyDescent="0.25">
      <c r="A23" s="1077" t="s">
        <v>1205</v>
      </c>
      <c r="B23" s="1091" t="s">
        <v>1236</v>
      </c>
      <c r="C23" s="1093" t="s">
        <v>1237</v>
      </c>
      <c r="E23" s="882"/>
      <c r="H23" s="1070" t="s">
        <v>1205</v>
      </c>
      <c r="I23" s="1072" t="s">
        <v>1238</v>
      </c>
      <c r="J23" s="1073"/>
      <c r="K23" s="1073"/>
      <c r="L23" s="1073"/>
      <c r="M23" s="1073"/>
      <c r="N23" s="1073"/>
      <c r="O23" s="1073"/>
      <c r="P23" s="1074"/>
    </row>
    <row r="24" spans="1:22" ht="57" customHeight="1" thickBot="1" x14ac:dyDescent="0.25">
      <c r="A24" s="1088"/>
      <c r="B24" s="1092"/>
      <c r="C24" s="1094"/>
      <c r="H24" s="1071"/>
      <c r="I24" s="883" t="s">
        <v>1239</v>
      </c>
      <c r="J24" s="884" t="s">
        <v>1211</v>
      </c>
      <c r="K24" s="884" t="s">
        <v>1240</v>
      </c>
      <c r="L24" s="885" t="s">
        <v>1241</v>
      </c>
      <c r="M24" s="883" t="s">
        <v>1242</v>
      </c>
      <c r="N24" s="884" t="s">
        <v>1243</v>
      </c>
      <c r="O24" s="885" t="s">
        <v>1244</v>
      </c>
      <c r="P24" s="885" t="s">
        <v>1245</v>
      </c>
      <c r="R24" s="1075" t="s">
        <v>1246</v>
      </c>
      <c r="S24" s="1075"/>
    </row>
    <row r="25" spans="1:22" x14ac:dyDescent="0.2">
      <c r="A25" s="840" t="s">
        <v>1222</v>
      </c>
      <c r="B25" s="886">
        <f>'[3]Házi segítségnyújtás'!E37</f>
        <v>0</v>
      </c>
      <c r="C25" s="887">
        <v>3592.0256410256402</v>
      </c>
      <c r="H25" s="888" t="s">
        <v>1222</v>
      </c>
      <c r="I25" s="889">
        <v>6348</v>
      </c>
      <c r="J25" s="843">
        <f>'[4]TKT műk.'!K58</f>
        <v>0</v>
      </c>
      <c r="K25" s="844">
        <v>8959</v>
      </c>
      <c r="L25" s="890">
        <f>SUM(E6-K25)</f>
        <v>6241.3159724491616</v>
      </c>
      <c r="M25" s="889">
        <v>4459</v>
      </c>
      <c r="N25" s="844">
        <v>4617</v>
      </c>
      <c r="O25" s="891">
        <f>SUM(F6-N25)</f>
        <v>315</v>
      </c>
      <c r="P25" s="892">
        <f>SUM(L25+O25)</f>
        <v>6556.3159724491616</v>
      </c>
      <c r="R25" s="831">
        <f>SUM(R6-P25)</f>
        <v>-8655.7620061977159</v>
      </c>
    </row>
    <row r="26" spans="1:22" x14ac:dyDescent="0.2">
      <c r="A26" s="853" t="s">
        <v>1223</v>
      </c>
      <c r="B26" s="886">
        <f>'[3]Házi segítségnyújtás'!E38</f>
        <v>0</v>
      </c>
      <c r="C26" s="887">
        <v>861.84615384615404</v>
      </c>
      <c r="H26" s="867" t="s">
        <v>1223</v>
      </c>
      <c r="I26" s="893">
        <v>1591</v>
      </c>
      <c r="J26" s="843">
        <f>'[4]TKT műk.'!K59</f>
        <v>0</v>
      </c>
      <c r="K26" s="844">
        <v>2246</v>
      </c>
      <c r="L26" s="894">
        <f t="shared" ref="L26:L37" si="4">SUM(E7-K26)</f>
        <v>663.56896084345362</v>
      </c>
      <c r="M26" s="889">
        <v>1087</v>
      </c>
      <c r="N26" s="844">
        <v>1125</v>
      </c>
      <c r="O26" s="895">
        <f t="shared" ref="O26:O37" si="5">SUM(F7-N26)</f>
        <v>30</v>
      </c>
      <c r="P26" s="896">
        <f t="shared" ref="P26:P38" si="6">SUM(L26+O26)</f>
        <v>693.56896084345362</v>
      </c>
      <c r="R26" s="831">
        <f t="shared" ref="R26:R37" si="7">SUM(R7-P26)</f>
        <v>40.301867631522782</v>
      </c>
    </row>
    <row r="27" spans="1:22" x14ac:dyDescent="0.2">
      <c r="A27" s="853" t="s">
        <v>1224</v>
      </c>
      <c r="B27" s="886">
        <f>'[3]Házi segítségnyújtás'!E39</f>
        <v>0</v>
      </c>
      <c r="C27" s="887">
        <v>0</v>
      </c>
      <c r="H27" s="867" t="s">
        <v>1224</v>
      </c>
      <c r="I27" s="893">
        <v>5956</v>
      </c>
      <c r="J27" s="843">
        <f>'[4]TKT műk.'!K60</f>
        <v>0</v>
      </c>
      <c r="K27" s="844">
        <v>8405</v>
      </c>
      <c r="L27" s="894">
        <f t="shared" si="4"/>
        <v>3499.4191520099703</v>
      </c>
      <c r="M27" s="889">
        <v>4324</v>
      </c>
      <c r="N27" s="844">
        <v>4477</v>
      </c>
      <c r="O27" s="895">
        <f t="shared" si="5"/>
        <v>265</v>
      </c>
      <c r="P27" s="896">
        <f t="shared" si="6"/>
        <v>3764.4191520099703</v>
      </c>
      <c r="R27" s="831">
        <f t="shared" si="7"/>
        <v>660.50498282415356</v>
      </c>
    </row>
    <row r="28" spans="1:22" x14ac:dyDescent="0.2">
      <c r="A28" s="853" t="s">
        <v>1225</v>
      </c>
      <c r="B28" s="886">
        <f>'[3]Házi segítségnyújtás'!E40</f>
        <v>0</v>
      </c>
      <c r="C28" s="887">
        <v>0</v>
      </c>
      <c r="H28" s="867" t="s">
        <v>1225</v>
      </c>
      <c r="I28" s="893">
        <v>4340</v>
      </c>
      <c r="J28" s="843">
        <f>'[4]TKT műk.'!K61</f>
        <v>0</v>
      </c>
      <c r="K28" s="844">
        <v>6124</v>
      </c>
      <c r="L28" s="894">
        <f t="shared" si="4"/>
        <v>3866.2631919183241</v>
      </c>
      <c r="M28" s="889">
        <v>3539</v>
      </c>
      <c r="N28" s="844">
        <v>3664</v>
      </c>
      <c r="O28" s="895">
        <f t="shared" si="5"/>
        <v>178</v>
      </c>
      <c r="P28" s="896">
        <f t="shared" si="6"/>
        <v>4044.2631919183241</v>
      </c>
      <c r="R28" s="831">
        <f t="shared" si="7"/>
        <v>86.658731918931153</v>
      </c>
    </row>
    <row r="29" spans="1:22" x14ac:dyDescent="0.2">
      <c r="A29" s="853" t="s">
        <v>1226</v>
      </c>
      <c r="B29" s="886">
        <f>'[3]Házi segítségnyújtás'!E41</f>
        <v>0</v>
      </c>
      <c r="C29" s="887">
        <v>861.84615384615404</v>
      </c>
      <c r="H29" s="867" t="s">
        <v>1226</v>
      </c>
      <c r="I29" s="893">
        <v>264</v>
      </c>
      <c r="J29" s="843">
        <f>'[4]TKT műk.'!K62</f>
        <v>0</v>
      </c>
      <c r="K29" s="844">
        <v>373</v>
      </c>
      <c r="L29" s="894">
        <f t="shared" si="4"/>
        <v>431.69041095890418</v>
      </c>
      <c r="M29" s="889">
        <v>770</v>
      </c>
      <c r="N29" s="844">
        <v>797</v>
      </c>
      <c r="O29" s="895">
        <f t="shared" si="5"/>
        <v>56</v>
      </c>
      <c r="P29" s="896">
        <f t="shared" si="6"/>
        <v>487.69041095890418</v>
      </c>
      <c r="R29" s="831">
        <f t="shared" si="7"/>
        <v>-2206.4861314284176</v>
      </c>
    </row>
    <row r="30" spans="1:22" x14ac:dyDescent="0.2">
      <c r="A30" s="853" t="s">
        <v>1227</v>
      </c>
      <c r="B30" s="886">
        <f>'[3]Házi segítségnyújtás'!E42</f>
        <v>0</v>
      </c>
      <c r="C30" s="887">
        <v>1005.4871794871796</v>
      </c>
      <c r="H30" s="867" t="s">
        <v>1227</v>
      </c>
      <c r="I30" s="893">
        <v>264</v>
      </c>
      <c r="J30" s="843">
        <f>'[4]TKT műk.'!K63</f>
        <v>0</v>
      </c>
      <c r="K30" s="844">
        <v>373</v>
      </c>
      <c r="L30" s="894">
        <f t="shared" si="4"/>
        <v>237.45479452054792</v>
      </c>
      <c r="M30" s="889">
        <v>711</v>
      </c>
      <c r="N30" s="844">
        <v>737</v>
      </c>
      <c r="O30" s="895">
        <f t="shared" si="5"/>
        <v>25</v>
      </c>
      <c r="P30" s="896">
        <f t="shared" si="6"/>
        <v>262.45479452054792</v>
      </c>
      <c r="R30" s="831">
        <f t="shared" si="7"/>
        <v>-918.44159973102592</v>
      </c>
    </row>
    <row r="31" spans="1:22" x14ac:dyDescent="0.2">
      <c r="A31" s="853" t="s">
        <v>1228</v>
      </c>
      <c r="B31" s="886">
        <f>'[3]Házi segítségnyújtás'!E43</f>
        <v>0</v>
      </c>
      <c r="C31" s="887">
        <v>1292.7692307692309</v>
      </c>
      <c r="H31" s="867" t="s">
        <v>1228</v>
      </c>
      <c r="I31" s="893">
        <v>1243</v>
      </c>
      <c r="J31" s="843">
        <f>'[4]TKT műk.'!K64</f>
        <v>0</v>
      </c>
      <c r="K31" s="844">
        <v>1754</v>
      </c>
      <c r="L31" s="894">
        <f t="shared" si="4"/>
        <v>1076.2904109589044</v>
      </c>
      <c r="M31" s="889">
        <v>1847</v>
      </c>
      <c r="N31" s="844">
        <v>1912</v>
      </c>
      <c r="O31" s="895">
        <f t="shared" si="5"/>
        <v>80</v>
      </c>
      <c r="P31" s="896">
        <f t="shared" si="6"/>
        <v>1156.2904109589044</v>
      </c>
      <c r="R31" s="831">
        <f t="shared" si="7"/>
        <v>112.69619663648155</v>
      </c>
    </row>
    <row r="32" spans="1:22" x14ac:dyDescent="0.2">
      <c r="A32" s="853" t="s">
        <v>1229</v>
      </c>
      <c r="B32" s="886">
        <f>'[3]Házi segítségnyújtás'!E44</f>
        <v>0</v>
      </c>
      <c r="C32" s="887">
        <v>1005.4871794871796</v>
      </c>
      <c r="H32" s="867" t="s">
        <v>1229</v>
      </c>
      <c r="I32" s="893">
        <v>520</v>
      </c>
      <c r="J32" s="843">
        <f>'[4]TKT műk.'!K65</f>
        <v>0</v>
      </c>
      <c r="K32" s="844">
        <v>734</v>
      </c>
      <c r="L32" s="894">
        <f t="shared" si="4"/>
        <v>-262.28493150684926</v>
      </c>
      <c r="M32" s="889">
        <v>699</v>
      </c>
      <c r="N32" s="844">
        <v>723</v>
      </c>
      <c r="O32" s="895">
        <f t="shared" si="5"/>
        <v>40</v>
      </c>
      <c r="P32" s="896">
        <f t="shared" si="6"/>
        <v>-222.28493150684926</v>
      </c>
      <c r="R32" s="831">
        <f t="shared" si="7"/>
        <v>-38.025004574944433</v>
      </c>
    </row>
    <row r="33" spans="1:18" x14ac:dyDescent="0.2">
      <c r="A33" s="853" t="s">
        <v>1230</v>
      </c>
      <c r="B33" s="886">
        <f>'[3]Házi segítségnyújtás'!E45</f>
        <v>0</v>
      </c>
      <c r="C33" s="887">
        <v>1005.48717948718</v>
      </c>
      <c r="H33" s="867" t="s">
        <v>1230</v>
      </c>
      <c r="I33" s="893">
        <v>185</v>
      </c>
      <c r="J33" s="843">
        <f>'[4]TKT műk.'!K66</f>
        <v>0</v>
      </c>
      <c r="K33" s="844">
        <v>261</v>
      </c>
      <c r="L33" s="894">
        <f t="shared" si="4"/>
        <v>238.46301369863016</v>
      </c>
      <c r="M33" s="889">
        <v>502</v>
      </c>
      <c r="N33" s="844">
        <v>520</v>
      </c>
      <c r="O33" s="895">
        <f t="shared" si="5"/>
        <v>10</v>
      </c>
      <c r="P33" s="896">
        <f t="shared" si="6"/>
        <v>248.46301369863016</v>
      </c>
      <c r="R33" s="831">
        <f t="shared" si="7"/>
        <v>36.701892531870783</v>
      </c>
    </row>
    <row r="34" spans="1:18" x14ac:dyDescent="0.2">
      <c r="A34" s="853" t="s">
        <v>1231</v>
      </c>
      <c r="B34" s="886">
        <f>'[3]Házi segítségnyújtás'!E46</f>
        <v>0</v>
      </c>
      <c r="C34" s="887">
        <v>0</v>
      </c>
      <c r="H34" s="867" t="s">
        <v>1231</v>
      </c>
      <c r="I34" s="893">
        <v>132</v>
      </c>
      <c r="J34" s="843">
        <f>'[4]TKT műk.'!K67</f>
        <v>0</v>
      </c>
      <c r="K34" s="844">
        <v>187</v>
      </c>
      <c r="L34" s="894">
        <f t="shared" si="4"/>
        <v>340.21095890410959</v>
      </c>
      <c r="M34" s="889">
        <v>500</v>
      </c>
      <c r="N34" s="844">
        <v>518</v>
      </c>
      <c r="O34" s="895">
        <f t="shared" si="5"/>
        <v>28</v>
      </c>
      <c r="P34" s="896">
        <f t="shared" si="6"/>
        <v>368.21095890410959</v>
      </c>
      <c r="R34" s="831">
        <f t="shared" si="7"/>
        <v>-743.35470661977149</v>
      </c>
    </row>
    <row r="35" spans="1:18" x14ac:dyDescent="0.2">
      <c r="A35" s="853" t="s">
        <v>1232</v>
      </c>
      <c r="B35" s="886">
        <f>'[3]Házi segítségnyújtás'!E47</f>
        <v>0</v>
      </c>
      <c r="C35" s="887">
        <v>574.56410256410265</v>
      </c>
      <c r="H35" s="867" t="s">
        <v>1232</v>
      </c>
      <c r="I35" s="893">
        <v>1775</v>
      </c>
      <c r="J35" s="843">
        <f>'[4]TKT műk.'!K68</f>
        <v>0</v>
      </c>
      <c r="K35" s="844">
        <v>2506</v>
      </c>
      <c r="L35" s="894">
        <f t="shared" si="4"/>
        <v>778.22724332702865</v>
      </c>
      <c r="M35" s="889">
        <v>1337</v>
      </c>
      <c r="N35" s="844">
        <v>1384</v>
      </c>
      <c r="O35" s="895">
        <f t="shared" si="5"/>
        <v>84</v>
      </c>
      <c r="P35" s="896">
        <f t="shared" si="6"/>
        <v>862.22724332702865</v>
      </c>
      <c r="R35" s="831">
        <f t="shared" si="7"/>
        <v>-450.73531099018919</v>
      </c>
    </row>
    <row r="36" spans="1:18" x14ac:dyDescent="0.2">
      <c r="A36" s="853" t="s">
        <v>1233</v>
      </c>
      <c r="B36" s="897">
        <f>'[3]Házi segítségnyújtás'!E48</f>
        <v>0</v>
      </c>
      <c r="C36" s="898">
        <v>1005.4871794871796</v>
      </c>
      <c r="H36" s="867" t="s">
        <v>1233</v>
      </c>
      <c r="I36" s="893">
        <v>485</v>
      </c>
      <c r="J36" s="860">
        <f>'[4]TKT műk.'!K69</f>
        <v>0</v>
      </c>
      <c r="K36" s="855">
        <v>684</v>
      </c>
      <c r="L36" s="894">
        <f t="shared" si="4"/>
        <v>176.18630136986303</v>
      </c>
      <c r="M36" s="893">
        <v>757</v>
      </c>
      <c r="N36" s="855">
        <v>784</v>
      </c>
      <c r="O36" s="895">
        <f t="shared" si="5"/>
        <v>42</v>
      </c>
      <c r="P36" s="896">
        <f t="shared" si="6"/>
        <v>218.18630136986303</v>
      </c>
      <c r="R36" s="831">
        <f t="shared" si="7"/>
        <v>-73.915647868154338</v>
      </c>
    </row>
    <row r="37" spans="1:18" x14ac:dyDescent="0.2">
      <c r="A37" s="853" t="s">
        <v>1234</v>
      </c>
      <c r="B37" s="897">
        <f>'[3]Házi segítségnyújtás'!E49</f>
        <v>0</v>
      </c>
      <c r="C37" s="898">
        <v>0</v>
      </c>
      <c r="H37" s="867" t="s">
        <v>1234</v>
      </c>
      <c r="I37" s="893">
        <v>335</v>
      </c>
      <c r="J37" s="860">
        <f>'[4]TKT műk.'!K70</f>
        <v>0</v>
      </c>
      <c r="K37" s="855">
        <v>473</v>
      </c>
      <c r="L37" s="894">
        <f t="shared" si="4"/>
        <v>276.19452054794522</v>
      </c>
      <c r="M37" s="893">
        <v>299</v>
      </c>
      <c r="N37" s="855">
        <v>310</v>
      </c>
      <c r="O37" s="895">
        <f t="shared" si="5"/>
        <v>7</v>
      </c>
      <c r="P37" s="896">
        <f t="shared" si="6"/>
        <v>283.19452054794522</v>
      </c>
      <c r="R37" s="831">
        <f t="shared" si="7"/>
        <v>171.90483586726157</v>
      </c>
    </row>
    <row r="38" spans="1:18" ht="13.5" thickBot="1" x14ac:dyDescent="0.25">
      <c r="A38" s="868" t="s">
        <v>47</v>
      </c>
      <c r="B38" s="899">
        <f>SUM(B25:B37)</f>
        <v>0</v>
      </c>
      <c r="C38" s="900">
        <v>11204.000000000004</v>
      </c>
      <c r="H38" s="873" t="s">
        <v>47</v>
      </c>
      <c r="I38" s="901">
        <f t="shared" ref="I38:O38" si="8">SUM(I25:I37)</f>
        <v>23438</v>
      </c>
      <c r="J38" s="870">
        <f t="shared" si="8"/>
        <v>0</v>
      </c>
      <c r="K38" s="871">
        <f t="shared" si="8"/>
        <v>33079</v>
      </c>
      <c r="L38" s="902">
        <f>SUM(L25:L37)-2</f>
        <v>17561</v>
      </c>
      <c r="M38" s="901">
        <f t="shared" si="8"/>
        <v>20831</v>
      </c>
      <c r="N38" s="871">
        <f t="shared" si="8"/>
        <v>21568</v>
      </c>
      <c r="O38" s="903">
        <f t="shared" si="8"/>
        <v>1160</v>
      </c>
      <c r="P38" s="904">
        <f t="shared" si="6"/>
        <v>18721</v>
      </c>
      <c r="R38" s="831">
        <f>SUM(R25:R37)</f>
        <v>-11977.951899999996</v>
      </c>
    </row>
    <row r="39" spans="1:18" x14ac:dyDescent="0.2">
      <c r="L39" s="905">
        <f>SUM(E20-K38)</f>
        <v>17560.999999999978</v>
      </c>
      <c r="O39" s="905">
        <f>SUM(F20-N38)</f>
        <v>1160</v>
      </c>
      <c r="P39" s="905">
        <f>SUM(P25:P37)-2</f>
        <v>18721</v>
      </c>
      <c r="R39" s="905">
        <f>SUM(R20-P38)</f>
        <v>-11975.951899999985</v>
      </c>
    </row>
    <row r="40" spans="1:18" ht="38.25" x14ac:dyDescent="0.2">
      <c r="H40" s="906" t="s">
        <v>1247</v>
      </c>
      <c r="I40" s="907"/>
      <c r="J40" s="907"/>
      <c r="K40" s="907"/>
      <c r="L40" s="908">
        <f>SUM(E20-I38)</f>
        <v>27201.999999999978</v>
      </c>
      <c r="M40" s="907"/>
      <c r="N40" s="907"/>
      <c r="O40" s="908">
        <f>SUM(F20-M38)</f>
        <v>1897</v>
      </c>
      <c r="P40" s="908">
        <f>SUM(L40+O40)</f>
        <v>29098.999999999978</v>
      </c>
    </row>
  </sheetData>
  <mergeCells count="14">
    <mergeCell ref="A4:A5"/>
    <mergeCell ref="B4:B5"/>
    <mergeCell ref="A23:A24"/>
    <mergeCell ref="B23:B24"/>
    <mergeCell ref="C23:C24"/>
    <mergeCell ref="H23:H24"/>
    <mergeCell ref="I23:P23"/>
    <mergeCell ref="R24:S24"/>
    <mergeCell ref="C4:G4"/>
    <mergeCell ref="H4:H5"/>
    <mergeCell ref="I4:O4"/>
    <mergeCell ref="P4:P5"/>
    <mergeCell ref="Q4:Q5"/>
    <mergeCell ref="S4:S5"/>
  </mergeCells>
  <pageMargins left="0.39370078740157483" right="0.19685039370078741" top="0.27559055118110237" bottom="0.47244094488188981" header="0.27559055118110237" footer="0.31496062992125984"/>
  <pageSetup paperSize="9"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P746"/>
  <sheetViews>
    <sheetView topLeftCell="A102" zoomScaleNormal="100" zoomScaleSheetLayoutView="80" workbookViewId="0">
      <selection activeCell="B63" sqref="B63"/>
    </sheetView>
  </sheetViews>
  <sheetFormatPr defaultRowHeight="12.75" x14ac:dyDescent="0.2"/>
  <cols>
    <col min="1" max="1" width="6.28515625" style="2" customWidth="1"/>
    <col min="2" max="2" width="80.7109375" customWidth="1"/>
    <col min="3" max="3" width="14" style="239" hidden="1" customWidth="1"/>
    <col min="4" max="4" width="18.7109375" style="239" customWidth="1"/>
    <col min="5" max="5" width="14" style="239" hidden="1" customWidth="1"/>
    <col min="6" max="6" width="11.28515625" style="239" hidden="1" customWidth="1"/>
    <col min="7" max="7" width="13.5703125" style="239" hidden="1" customWidth="1"/>
    <col min="8" max="8" width="13.140625" style="239" hidden="1" customWidth="1"/>
    <col min="9" max="9" width="10.5703125" customWidth="1"/>
    <col min="10" max="15" width="9.140625" hidden="1" customWidth="1"/>
    <col min="16" max="16" width="9.140625" customWidth="1"/>
    <col min="17" max="18" width="9.140625" hidden="1" customWidth="1"/>
    <col min="19" max="22" width="9.140625" customWidth="1"/>
    <col min="23" max="23" width="6.5703125" bestFit="1" customWidth="1"/>
  </cols>
  <sheetData>
    <row r="1" spans="1:42" ht="15" customHeight="1" x14ac:dyDescent="0.3">
      <c r="A1" s="65"/>
      <c r="B1" s="42"/>
      <c r="D1" s="66" t="s">
        <v>880</v>
      </c>
      <c r="F1" s="66" t="s">
        <v>880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928" t="s">
        <v>27</v>
      </c>
      <c r="B2" s="928"/>
      <c r="C2" s="928"/>
      <c r="D2" s="937"/>
      <c r="E2" s="937"/>
      <c r="F2" s="937"/>
      <c r="G2" s="937"/>
      <c r="H2" s="93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9.5" x14ac:dyDescent="0.35">
      <c r="A3" s="928" t="s">
        <v>879</v>
      </c>
      <c r="B3" s="928"/>
      <c r="C3" s="928"/>
      <c r="D3" s="937"/>
      <c r="E3" s="937"/>
      <c r="F3" s="937"/>
      <c r="G3" s="937"/>
      <c r="H3" s="93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3.5" thickBot="1" x14ac:dyDescent="0.25">
      <c r="A4" s="65"/>
      <c r="B4" s="1"/>
      <c r="D4" s="66" t="s">
        <v>0</v>
      </c>
      <c r="F4" s="66" t="s"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63.75" thickBot="1" x14ac:dyDescent="0.25">
      <c r="A5" s="270" t="s">
        <v>124</v>
      </c>
      <c r="B5" s="54" t="s">
        <v>215</v>
      </c>
      <c r="C5" s="54" t="s">
        <v>387</v>
      </c>
      <c r="D5" s="55" t="str">
        <f>'1.Bev-kiad.'!C6</f>
        <v>2021. évi eredeti előirányzat</v>
      </c>
      <c r="E5" s="655" t="str">
        <f>'1.Bev-kiad.'!D6</f>
        <v>Módosított előirányzat 2021.07. havi</v>
      </c>
      <c r="F5" s="54" t="str">
        <f>'1.Bev-kiad.'!E6</f>
        <v xml:space="preserve">Módosított előirányzat </v>
      </c>
      <c r="G5" s="388"/>
      <c r="H5" s="55" t="s">
        <v>762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0.25" customHeight="1" x14ac:dyDescent="0.2">
      <c r="A6" s="170" t="s">
        <v>125</v>
      </c>
      <c r="B6" s="280" t="s">
        <v>360</v>
      </c>
      <c r="C6" s="205" t="e">
        <f t="shared" ref="C6:H6" si="0">SUM(C11+C18+C24)</f>
        <v>#REF!</v>
      </c>
      <c r="D6" s="205">
        <f t="shared" si="0"/>
        <v>43249</v>
      </c>
      <c r="E6" s="205">
        <f t="shared" si="0"/>
        <v>53817</v>
      </c>
      <c r="F6" s="205">
        <f t="shared" si="0"/>
        <v>65817</v>
      </c>
      <c r="G6" s="205" t="e">
        <f t="shared" si="0"/>
        <v>#REF!</v>
      </c>
      <c r="H6" s="205">
        <f t="shared" si="0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hidden="1" customHeight="1" x14ac:dyDescent="0.2">
      <c r="A7" s="9" t="s">
        <v>128</v>
      </c>
      <c r="B7" s="9" t="s">
        <v>132</v>
      </c>
      <c r="C7" s="7"/>
      <c r="D7" s="7"/>
      <c r="E7" s="7"/>
      <c r="F7" s="7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2.75" hidden="1" customHeight="1" x14ac:dyDescent="0.2">
      <c r="A8" s="9" t="s">
        <v>129</v>
      </c>
      <c r="B8" s="9" t="s">
        <v>133</v>
      </c>
      <c r="C8" s="234"/>
      <c r="D8" s="234"/>
      <c r="E8" s="234"/>
      <c r="F8" s="234"/>
      <c r="G8" s="234"/>
      <c r="H8" s="23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9" t="s">
        <v>130</v>
      </c>
      <c r="B9" s="9" t="s">
        <v>134</v>
      </c>
      <c r="C9" s="234"/>
      <c r="D9" s="234"/>
      <c r="E9" s="234"/>
      <c r="F9" s="234"/>
      <c r="G9" s="234"/>
      <c r="H9" s="23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9" t="s">
        <v>131</v>
      </c>
      <c r="B10" s="9" t="s">
        <v>136</v>
      </c>
      <c r="C10" s="234"/>
      <c r="D10" s="234"/>
      <c r="E10" s="234"/>
      <c r="F10" s="234"/>
      <c r="G10" s="234"/>
      <c r="H10" s="23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8" customHeight="1" x14ac:dyDescent="0.25">
      <c r="A11" s="18" t="s">
        <v>137</v>
      </c>
      <c r="B11" s="30" t="s">
        <v>256</v>
      </c>
      <c r="C11" s="46" t="e">
        <f t="shared" ref="C11:H11" si="1">C12+C15</f>
        <v>#REF!</v>
      </c>
      <c r="D11" s="46">
        <f t="shared" si="1"/>
        <v>10249</v>
      </c>
      <c r="E11" s="46">
        <f t="shared" si="1"/>
        <v>44746</v>
      </c>
      <c r="F11" s="46">
        <f t="shared" si="1"/>
        <v>44746</v>
      </c>
      <c r="G11" s="46" t="e">
        <f t="shared" si="1"/>
        <v>#REF!</v>
      </c>
      <c r="H11" s="46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customHeight="1" x14ac:dyDescent="0.2">
      <c r="A12" s="9" t="s">
        <v>138</v>
      </c>
      <c r="B12" s="9" t="s">
        <v>341</v>
      </c>
      <c r="C12" s="234" t="e">
        <f>#REF!+#REF!</f>
        <v>#REF!</v>
      </c>
      <c r="D12" s="234">
        <f>SUM(D13:D13)</f>
        <v>10249</v>
      </c>
      <c r="E12" s="234">
        <f>SUM(E13:E13)</f>
        <v>11148</v>
      </c>
      <c r="F12" s="234">
        <f>SUM(F13:F13)</f>
        <v>11148</v>
      </c>
      <c r="G12" s="234" t="e">
        <f>#REF!+#REF!</f>
        <v>#REF!</v>
      </c>
      <c r="H12" s="234"/>
      <c r="I12" s="2"/>
      <c r="P12" s="8">
        <f>SUM(D13+D20+D26)</f>
        <v>43249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">
      <c r="A13" s="9"/>
      <c r="B13" s="9" t="s">
        <v>854</v>
      </c>
      <c r="C13" s="17">
        <v>0</v>
      </c>
      <c r="D13" s="328">
        <v>10249</v>
      </c>
      <c r="E13" s="17">
        <f>15000-3852</f>
        <v>11148</v>
      </c>
      <c r="F13" s="17">
        <f>15000-3852</f>
        <v>11148</v>
      </c>
      <c r="G13" s="17"/>
      <c r="H13" s="17"/>
      <c r="I13" s="2"/>
      <c r="J13" s="2"/>
      <c r="K13" s="613"/>
      <c r="L13" s="393"/>
      <c r="M13" s="614"/>
      <c r="N13" s="393"/>
      <c r="O13" s="39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">
      <c r="A14" s="9"/>
      <c r="B14" s="9"/>
      <c r="C14" s="17"/>
      <c r="D14" s="17"/>
      <c r="E14" s="17"/>
      <c r="F14" s="17"/>
      <c r="G14" s="17"/>
      <c r="H14" s="17"/>
      <c r="I14" s="2"/>
      <c r="J14" s="2"/>
      <c r="K14" s="613" t="s">
        <v>817</v>
      </c>
      <c r="L14" s="615"/>
      <c r="M14" s="614"/>
      <c r="N14" s="615"/>
      <c r="O14" s="61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">
      <c r="A15" s="9" t="s">
        <v>178</v>
      </c>
      <c r="B15" s="9" t="s">
        <v>342</v>
      </c>
      <c r="C15" s="234">
        <f t="shared" ref="C15:H15" si="2">SUM(C16:C17)</f>
        <v>33598</v>
      </c>
      <c r="D15" s="234">
        <f t="shared" si="2"/>
        <v>0</v>
      </c>
      <c r="E15" s="234">
        <f t="shared" si="2"/>
        <v>33598</v>
      </c>
      <c r="F15" s="234">
        <f t="shared" si="2"/>
        <v>33598</v>
      </c>
      <c r="G15" s="234">
        <f t="shared" si="2"/>
        <v>33598</v>
      </c>
      <c r="H15" s="234">
        <f t="shared" si="2"/>
        <v>0</v>
      </c>
      <c r="I15" s="2"/>
      <c r="J15" s="2" t="s">
        <v>818</v>
      </c>
      <c r="K15" s="17">
        <v>104400</v>
      </c>
      <c r="L15" s="8">
        <v>115800</v>
      </c>
      <c r="M15" s="8">
        <f>(L15-K15)</f>
        <v>11400</v>
      </c>
      <c r="N15" s="8">
        <v>4200</v>
      </c>
      <c r="O15" s="616">
        <f>SUM(L15+N15)</f>
        <v>120000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idden="1" x14ac:dyDescent="0.2">
      <c r="A16" s="9"/>
      <c r="B16" s="26" t="s">
        <v>808</v>
      </c>
      <c r="C16" s="17">
        <v>31233</v>
      </c>
      <c r="D16" s="17"/>
      <c r="E16" s="17">
        <v>31233</v>
      </c>
      <c r="F16" s="17">
        <v>31233</v>
      </c>
      <c r="G16" s="17">
        <v>31233</v>
      </c>
      <c r="H16" s="17"/>
      <c r="I16" s="2"/>
      <c r="J16" s="2" t="s">
        <v>819</v>
      </c>
      <c r="K16" s="17">
        <v>226930</v>
      </c>
      <c r="L16" s="8">
        <v>229295</v>
      </c>
      <c r="M16" s="8">
        <f>(L16-K16)</f>
        <v>2365</v>
      </c>
      <c r="N16" s="8">
        <v>5500</v>
      </c>
      <c r="O16" s="616">
        <f>SUM(L16+N16)</f>
        <v>234795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idden="1" x14ac:dyDescent="0.2">
      <c r="A17" s="9"/>
      <c r="B17" s="26" t="s">
        <v>809</v>
      </c>
      <c r="C17" s="17">
        <v>2365</v>
      </c>
      <c r="D17" s="17"/>
      <c r="E17" s="17">
        <v>2365</v>
      </c>
      <c r="F17" s="17">
        <v>2365</v>
      </c>
      <c r="G17" s="17">
        <v>2365</v>
      </c>
      <c r="H17" s="17"/>
      <c r="I17" s="2"/>
      <c r="J17" s="2"/>
      <c r="K17" s="8"/>
      <c r="L17" s="8"/>
      <c r="M17" s="8"/>
      <c r="N17" s="8"/>
      <c r="O17" s="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7.25" customHeight="1" x14ac:dyDescent="0.25">
      <c r="A18" s="18" t="s">
        <v>184</v>
      </c>
      <c r="B18" s="30" t="s">
        <v>257</v>
      </c>
      <c r="C18" s="46">
        <f t="shared" ref="C18:H18" si="3">SUM(C19:C23)</f>
        <v>0</v>
      </c>
      <c r="D18" s="46">
        <f t="shared" si="3"/>
        <v>22700</v>
      </c>
      <c r="E18" s="46">
        <f t="shared" si="3"/>
        <v>1056</v>
      </c>
      <c r="F18" s="46">
        <f>SUM(F19:F23)</f>
        <v>13056</v>
      </c>
      <c r="G18" s="46">
        <f t="shared" si="3"/>
        <v>0</v>
      </c>
      <c r="H18" s="46">
        <f t="shared" si="3"/>
        <v>0</v>
      </c>
      <c r="I18" s="2"/>
      <c r="J18" s="2"/>
      <c r="K18" s="8"/>
      <c r="L18" s="8"/>
      <c r="M18" s="8"/>
      <c r="N18" s="8"/>
      <c r="O18" s="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3.5" customHeight="1" x14ac:dyDescent="0.2">
      <c r="A19" s="9" t="s">
        <v>185</v>
      </c>
      <c r="B19" s="26" t="s">
        <v>426</v>
      </c>
      <c r="C19" s="234"/>
      <c r="D19" s="234"/>
      <c r="E19" s="234"/>
      <c r="F19" s="234"/>
      <c r="G19" s="234"/>
      <c r="H19" s="234"/>
      <c r="I19" s="2"/>
      <c r="J19" s="2"/>
      <c r="K19" s="2">
        <v>226638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3.5" customHeight="1" x14ac:dyDescent="0.2">
      <c r="A20" s="9" t="s">
        <v>186</v>
      </c>
      <c r="B20" s="26" t="s">
        <v>881</v>
      </c>
      <c r="C20" s="16">
        <v>0</v>
      </c>
      <c r="D20" s="328">
        <f>(10700+12000)</f>
        <v>22700</v>
      </c>
      <c r="E20" s="16">
        <v>1056</v>
      </c>
      <c r="F20" s="16">
        <f>1056+12000</f>
        <v>13056</v>
      </c>
      <c r="G20" s="16"/>
      <c r="H20" s="16"/>
      <c r="I20" s="37" t="s">
        <v>887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3.5" customHeight="1" x14ac:dyDescent="0.2">
      <c r="A21" s="9" t="s">
        <v>187</v>
      </c>
      <c r="B21" s="26" t="s">
        <v>480</v>
      </c>
      <c r="C21" s="234"/>
      <c r="D21" s="234"/>
      <c r="E21" s="234"/>
      <c r="F21" s="234"/>
      <c r="G21" s="234"/>
      <c r="H21" s="234"/>
      <c r="I21" s="36" t="s">
        <v>886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3.5" customHeight="1" x14ac:dyDescent="0.2">
      <c r="A22" s="9" t="s">
        <v>188</v>
      </c>
      <c r="B22" s="26" t="s">
        <v>258</v>
      </c>
      <c r="C22" s="234"/>
      <c r="D22" s="234"/>
      <c r="E22" s="234"/>
      <c r="F22" s="234"/>
      <c r="G22" s="234"/>
      <c r="H22" s="23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.5" customHeight="1" x14ac:dyDescent="0.2">
      <c r="A23" s="9" t="s">
        <v>189</v>
      </c>
      <c r="B23" s="26" t="s">
        <v>259</v>
      </c>
      <c r="C23" s="234"/>
      <c r="D23" s="234"/>
      <c r="E23" s="234"/>
      <c r="F23" s="234"/>
      <c r="G23" s="234"/>
      <c r="H23" s="23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8" customHeight="1" x14ac:dyDescent="0.25">
      <c r="A24" s="18" t="s">
        <v>196</v>
      </c>
      <c r="B24" s="30" t="s">
        <v>411</v>
      </c>
      <c r="C24" s="46">
        <f t="shared" ref="C24:H24" si="4">C26</f>
        <v>8015</v>
      </c>
      <c r="D24" s="46">
        <f t="shared" si="4"/>
        <v>10300</v>
      </c>
      <c r="E24" s="46">
        <f t="shared" si="4"/>
        <v>8015</v>
      </c>
      <c r="F24" s="46">
        <f t="shared" si="4"/>
        <v>8015</v>
      </c>
      <c r="G24" s="46">
        <f t="shared" si="4"/>
        <v>8015</v>
      </c>
      <c r="H24" s="46">
        <f t="shared" si="4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3.5" hidden="1" customHeight="1" x14ac:dyDescent="0.2">
      <c r="A25" s="9" t="s">
        <v>196</v>
      </c>
      <c r="B25" s="26" t="s">
        <v>417</v>
      </c>
      <c r="C25" s="58"/>
      <c r="D25" s="58"/>
      <c r="E25" s="58"/>
      <c r="F25" s="58"/>
      <c r="G25" s="58"/>
      <c r="H25" s="5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3.5" customHeight="1" x14ac:dyDescent="0.2">
      <c r="A26" s="9" t="s">
        <v>522</v>
      </c>
      <c r="B26" s="26" t="s">
        <v>906</v>
      </c>
      <c r="C26" s="196">
        <f t="shared" ref="C26:H26" si="5">C27</f>
        <v>8015</v>
      </c>
      <c r="D26" s="669">
        <v>10300</v>
      </c>
      <c r="E26" s="196">
        <f t="shared" si="5"/>
        <v>8015</v>
      </c>
      <c r="F26" s="196">
        <f t="shared" si="5"/>
        <v>8015</v>
      </c>
      <c r="G26" s="196">
        <f t="shared" si="5"/>
        <v>8015</v>
      </c>
      <c r="H26" s="196">
        <f t="shared" si="5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customHeight="1" x14ac:dyDescent="0.2">
      <c r="A27" s="9"/>
      <c r="B27" s="26"/>
      <c r="C27" s="196">
        <v>8015</v>
      </c>
      <c r="D27" s="196"/>
      <c r="E27" s="196">
        <v>8015</v>
      </c>
      <c r="F27" s="196">
        <v>8015</v>
      </c>
      <c r="G27" s="196">
        <v>8015</v>
      </c>
      <c r="H27" s="19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0.25" customHeight="1" x14ac:dyDescent="0.25">
      <c r="A28" s="9"/>
      <c r="B28" s="204" t="s">
        <v>361</v>
      </c>
      <c r="C28" s="186">
        <f t="shared" ref="C28:H28" si="6">SUM(C29+C34)</f>
        <v>1273797</v>
      </c>
      <c r="D28" s="186">
        <f t="shared" si="6"/>
        <v>949598</v>
      </c>
      <c r="E28" s="186">
        <f t="shared" si="6"/>
        <v>1273797</v>
      </c>
      <c r="F28" s="186">
        <f t="shared" si="6"/>
        <v>1273797</v>
      </c>
      <c r="G28" s="186">
        <f t="shared" si="6"/>
        <v>1273797</v>
      </c>
      <c r="H28" s="186">
        <f t="shared" si="6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6.5" customHeight="1" x14ac:dyDescent="0.25">
      <c r="A29" s="9"/>
      <c r="B29" s="23" t="s">
        <v>261</v>
      </c>
      <c r="C29" s="236">
        <f t="shared" ref="C29:H29" si="7">C30</f>
        <v>1095597</v>
      </c>
      <c r="D29" s="236">
        <f t="shared" si="7"/>
        <v>749598</v>
      </c>
      <c r="E29" s="236">
        <f t="shared" si="7"/>
        <v>1095597</v>
      </c>
      <c r="F29" s="236">
        <f t="shared" si="7"/>
        <v>1095597</v>
      </c>
      <c r="G29" s="236">
        <f t="shared" si="7"/>
        <v>1095597</v>
      </c>
      <c r="H29" s="236">
        <f t="shared" si="7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 x14ac:dyDescent="0.2">
      <c r="A30" s="9"/>
      <c r="B30" s="39" t="s">
        <v>451</v>
      </c>
      <c r="C30" s="234">
        <v>1095597</v>
      </c>
      <c r="D30" s="234">
        <f>SUM(D31:D32)</f>
        <v>749598</v>
      </c>
      <c r="E30" s="234">
        <v>1095597</v>
      </c>
      <c r="F30" s="234">
        <v>1095597</v>
      </c>
      <c r="G30" s="234">
        <v>1095597</v>
      </c>
      <c r="H30" s="23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">
      <c r="A31" s="9"/>
      <c r="B31" s="39" t="s">
        <v>916</v>
      </c>
      <c r="C31" s="234"/>
      <c r="D31" s="16">
        <f>(632574-19378-10058-5652)</f>
        <v>597486</v>
      </c>
      <c r="E31" s="234"/>
      <c r="F31" s="234"/>
      <c r="G31" s="234"/>
      <c r="H31" s="23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">
      <c r="A32" s="9"/>
      <c r="B32" s="39" t="s">
        <v>917</v>
      </c>
      <c r="C32" s="234"/>
      <c r="D32" s="16">
        <f>(226930-68956-3881-1049-246-686)</f>
        <v>152112</v>
      </c>
      <c r="E32" s="234"/>
      <c r="F32" s="234"/>
      <c r="G32" s="234"/>
      <c r="H32" s="23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customHeight="1" x14ac:dyDescent="0.2">
      <c r="A33" s="9"/>
      <c r="B33" s="39"/>
      <c r="C33" s="234"/>
      <c r="D33" s="234"/>
      <c r="E33" s="234"/>
      <c r="F33" s="234"/>
      <c r="G33" s="234"/>
      <c r="H33" s="23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6.5" customHeight="1" x14ac:dyDescent="0.25">
      <c r="A34" s="9"/>
      <c r="B34" s="228" t="s">
        <v>262</v>
      </c>
      <c r="C34" s="235">
        <f>SUM(C35:C36)</f>
        <v>178200</v>
      </c>
      <c r="D34" s="235">
        <f>SUM(D35:D37)</f>
        <v>200000</v>
      </c>
      <c r="E34" s="235">
        <f>SUM(E35:E36)</f>
        <v>178200</v>
      </c>
      <c r="F34" s="235">
        <f>SUM(F35:F36)</f>
        <v>178200</v>
      </c>
      <c r="G34" s="235">
        <f>SUM(G35:G36)</f>
        <v>178200</v>
      </c>
      <c r="H34" s="235">
        <f>SUM(H36)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3.5" customHeight="1" x14ac:dyDescent="0.25">
      <c r="A35" s="14"/>
      <c r="B35" s="25" t="s">
        <v>919</v>
      </c>
      <c r="C35" s="173">
        <v>78200</v>
      </c>
      <c r="D35" s="651">
        <v>100000</v>
      </c>
      <c r="E35" s="173">
        <v>78200</v>
      </c>
      <c r="F35" s="173">
        <v>78200</v>
      </c>
      <c r="G35" s="173">
        <v>78200</v>
      </c>
      <c r="H35" s="61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3.5" customHeight="1" x14ac:dyDescent="0.2">
      <c r="A36" s="9"/>
      <c r="B36" s="25" t="s">
        <v>882</v>
      </c>
      <c r="C36" s="173">
        <v>100000</v>
      </c>
      <c r="D36" s="651">
        <v>100000</v>
      </c>
      <c r="E36" s="173">
        <v>100000</v>
      </c>
      <c r="F36" s="173">
        <v>100000</v>
      </c>
      <c r="G36" s="189">
        <v>100000</v>
      </c>
      <c r="H36" s="18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3.5" customHeight="1" thickBot="1" x14ac:dyDescent="0.25">
      <c r="A37" s="14"/>
      <c r="B37" s="194"/>
      <c r="C37" s="189"/>
      <c r="D37" s="189"/>
      <c r="E37" s="189"/>
      <c r="F37" s="189"/>
      <c r="G37" s="647"/>
      <c r="H37" s="64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20.25" thickBot="1" x14ac:dyDescent="0.4">
      <c r="A38" s="270"/>
      <c r="B38" s="269" t="s">
        <v>398</v>
      </c>
      <c r="C38" s="281" t="e">
        <f t="shared" ref="C38:H38" si="8">SUM(C6+C28)</f>
        <v>#REF!</v>
      </c>
      <c r="D38" s="281">
        <f t="shared" si="8"/>
        <v>992847</v>
      </c>
      <c r="E38" s="281">
        <f t="shared" si="8"/>
        <v>1327614</v>
      </c>
      <c r="F38" s="315">
        <f t="shared" si="8"/>
        <v>1339614</v>
      </c>
      <c r="G38" s="649" t="e">
        <f t="shared" si="8"/>
        <v>#REF!</v>
      </c>
      <c r="H38" s="315">
        <f t="shared" si="8"/>
        <v>0</v>
      </c>
      <c r="I38" s="1095" t="s">
        <v>931</v>
      </c>
      <c r="J38" s="1096"/>
      <c r="K38" s="1096"/>
      <c r="L38" s="1096"/>
      <c r="M38" s="1096"/>
      <c r="N38" s="1096"/>
      <c r="O38" s="1096"/>
      <c r="P38" s="1096"/>
      <c r="Q38" s="1096"/>
      <c r="R38" s="1096"/>
      <c r="S38" s="1096"/>
      <c r="T38" s="1096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36.75" customHeight="1" x14ac:dyDescent="0.25">
      <c r="A39" s="170" t="s">
        <v>374</v>
      </c>
      <c r="B39" s="279" t="s">
        <v>362</v>
      </c>
      <c r="C39" s="237" t="e">
        <f t="shared" ref="C39:H39" si="9">SUM(C40+C77+C93+C96)</f>
        <v>#REF!</v>
      </c>
      <c r="D39" s="237">
        <f t="shared" si="9"/>
        <v>1066397</v>
      </c>
      <c r="E39" s="237" t="e">
        <f t="shared" si="9"/>
        <v>#REF!</v>
      </c>
      <c r="F39" s="237" t="e">
        <f t="shared" si="9"/>
        <v>#REF!</v>
      </c>
      <c r="G39" s="237" t="e">
        <f t="shared" si="9"/>
        <v>#REF!</v>
      </c>
      <c r="H39" s="237" t="e">
        <f t="shared" si="9"/>
        <v>#REF!</v>
      </c>
      <c r="I39" s="674" t="s">
        <v>928</v>
      </c>
      <c r="J39" s="675"/>
      <c r="K39" s="675"/>
      <c r="L39" s="675"/>
      <c r="M39" s="675"/>
      <c r="N39" s="675"/>
      <c r="O39" s="675"/>
      <c r="P39" s="674" t="s">
        <v>929</v>
      </c>
      <c r="Q39" s="615"/>
      <c r="R39" s="615"/>
      <c r="S39" s="674" t="s">
        <v>930</v>
      </c>
      <c r="T39" s="674" t="s">
        <v>927</v>
      </c>
      <c r="U39" s="674" t="s">
        <v>443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.75" x14ac:dyDescent="0.25">
      <c r="A40" s="18" t="s">
        <v>260</v>
      </c>
      <c r="B40" s="30" t="s">
        <v>5</v>
      </c>
      <c r="C40" s="186" t="e">
        <f t="shared" ref="C40:H40" si="10">SUM(C41+C68)</f>
        <v>#REF!</v>
      </c>
      <c r="D40" s="186">
        <f t="shared" si="10"/>
        <v>63555</v>
      </c>
      <c r="E40" s="186">
        <f t="shared" si="10"/>
        <v>137991</v>
      </c>
      <c r="F40" s="186">
        <f t="shared" si="10"/>
        <v>138464</v>
      </c>
      <c r="G40" s="186">
        <f t="shared" si="10"/>
        <v>105259</v>
      </c>
      <c r="H40" s="186">
        <f t="shared" si="10"/>
        <v>0</v>
      </c>
      <c r="I40" s="13" t="e">
        <f>SUM(D41+D85+'8.Önk.'!#REF!)</f>
        <v>#REF!</v>
      </c>
      <c r="J40" s="9"/>
      <c r="K40" s="9"/>
      <c r="L40" s="9"/>
      <c r="M40" s="9"/>
      <c r="N40" s="9"/>
      <c r="O40" s="9"/>
      <c r="P40" s="13" t="e">
        <f>SUM(D80+I80+D83+I83+D81+I81+'8.Önk.'!#REF!)</f>
        <v>#REF!</v>
      </c>
      <c r="Q40" s="2"/>
      <c r="R40" s="2"/>
      <c r="S40" s="13" t="e">
        <f>SUM(D79+I79+D82+I82+'8.Önk.'!#REF!)</f>
        <v>#REF!</v>
      </c>
      <c r="T40" s="13" t="e">
        <f>SUM(P40:S40)</f>
        <v>#REF!</v>
      </c>
      <c r="U40" s="13" t="e">
        <f>SUM(I40+T40)</f>
        <v>#REF!</v>
      </c>
      <c r="V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8" customHeight="1" x14ac:dyDescent="0.2">
      <c r="A41" s="18"/>
      <c r="B41" s="31" t="s">
        <v>363</v>
      </c>
      <c r="C41" s="171">
        <f t="shared" ref="C41:H41" si="11">SUM(C42+C47+C67)</f>
        <v>115700</v>
      </c>
      <c r="D41" s="171">
        <f t="shared" si="11"/>
        <v>62555</v>
      </c>
      <c r="E41" s="171">
        <f t="shared" si="11"/>
        <v>136991</v>
      </c>
      <c r="F41" s="171">
        <f t="shared" si="11"/>
        <v>137464</v>
      </c>
      <c r="G41" s="171">
        <f t="shared" si="11"/>
        <v>104259</v>
      </c>
      <c r="H41" s="171">
        <f t="shared" si="11"/>
        <v>0</v>
      </c>
      <c r="I41" s="1097" t="e">
        <f>SUM(I40+P40)</f>
        <v>#REF!</v>
      </c>
      <c r="J41" s="1097"/>
      <c r="K41" s="1097"/>
      <c r="L41" s="1097"/>
      <c r="M41" s="1097"/>
      <c r="N41" s="1097"/>
      <c r="O41" s="1097"/>
      <c r="P41" s="1097"/>
      <c r="Q41" s="2"/>
      <c r="R41" s="2"/>
      <c r="S41" s="9"/>
      <c r="T41" s="9"/>
      <c r="U41" s="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4.25" x14ac:dyDescent="0.2">
      <c r="A42" s="18"/>
      <c r="B42" s="31" t="s">
        <v>367</v>
      </c>
      <c r="C42" s="171">
        <f>SUM(C43:C45)</f>
        <v>11441</v>
      </c>
      <c r="D42" s="171">
        <f>SUM(D45:D46)</f>
        <v>0</v>
      </c>
      <c r="E42" s="171">
        <f>SUM(E43:E45)</f>
        <v>20326</v>
      </c>
      <c r="F42" s="171">
        <f>SUM(F43:F45)</f>
        <v>20326</v>
      </c>
      <c r="G42" s="171">
        <f>SUM(G43:G43)</f>
        <v>0</v>
      </c>
      <c r="H42" s="171">
        <f>H43</f>
        <v>0</v>
      </c>
      <c r="I42" s="67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3.5" hidden="1" customHeight="1" x14ac:dyDescent="0.2">
      <c r="A43" s="18"/>
      <c r="B43" s="24" t="s">
        <v>810</v>
      </c>
      <c r="C43" s="234">
        <v>11441</v>
      </c>
      <c r="D43" s="234">
        <v>0</v>
      </c>
      <c r="E43" s="234">
        <v>0</v>
      </c>
      <c r="F43" s="234">
        <v>0</v>
      </c>
      <c r="G43" s="234">
        <v>0</v>
      </c>
      <c r="H43" s="16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3.5" hidden="1" customHeight="1" x14ac:dyDescent="0.2">
      <c r="A44" s="18"/>
      <c r="B44" s="9" t="s">
        <v>859</v>
      </c>
      <c r="C44" s="234">
        <v>0</v>
      </c>
      <c r="D44" s="234">
        <v>0</v>
      </c>
      <c r="E44" s="234">
        <v>11995</v>
      </c>
      <c r="F44" s="234">
        <v>11995</v>
      </c>
      <c r="G44" s="234"/>
      <c r="H44" s="1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3.5" hidden="1" customHeight="1" x14ac:dyDescent="0.2">
      <c r="A45" s="18"/>
      <c r="B45" s="9" t="s">
        <v>860</v>
      </c>
      <c r="C45" s="234">
        <v>0</v>
      </c>
      <c r="D45" s="234">
        <v>0</v>
      </c>
      <c r="E45" s="234">
        <v>8331</v>
      </c>
      <c r="F45" s="234">
        <v>8331</v>
      </c>
      <c r="G45" s="234"/>
      <c r="H45" s="1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3.5" customHeight="1" x14ac:dyDescent="0.2">
      <c r="A46" s="18"/>
      <c r="B46" s="9"/>
      <c r="C46" s="234"/>
      <c r="D46" s="234"/>
      <c r="E46" s="234"/>
      <c r="F46" s="234"/>
      <c r="G46" s="234"/>
      <c r="H46" s="1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3.5" customHeight="1" x14ac:dyDescent="0.2">
      <c r="A47" s="18"/>
      <c r="B47" s="29" t="s">
        <v>366</v>
      </c>
      <c r="C47" s="15">
        <f t="shared" ref="C47:H47" si="12">SUM(C48:C59)</f>
        <v>26059</v>
      </c>
      <c r="D47" s="15">
        <f>SUM(D60:D66)</f>
        <v>62555</v>
      </c>
      <c r="E47" s="15">
        <f>SUM(E48:E59)</f>
        <v>38465</v>
      </c>
      <c r="F47" s="15">
        <f>SUM(F48:F59)</f>
        <v>38938</v>
      </c>
      <c r="G47" s="15">
        <f t="shared" si="12"/>
        <v>26059</v>
      </c>
      <c r="H47" s="15">
        <f t="shared" si="1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idden="1" x14ac:dyDescent="0.2">
      <c r="A48" s="18"/>
      <c r="B48" s="25" t="s">
        <v>492</v>
      </c>
      <c r="C48" s="16">
        <v>22000</v>
      </c>
      <c r="D48" s="16"/>
      <c r="E48" s="16">
        <f>22000+12-4680</f>
        <v>17332</v>
      </c>
      <c r="F48" s="16">
        <f>22000+12-4680</f>
        <v>17332</v>
      </c>
      <c r="G48" s="611">
        <v>22000</v>
      </c>
      <c r="H48" s="17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idden="1" x14ac:dyDescent="0.2">
      <c r="A49" s="18"/>
      <c r="B49" s="25" t="s">
        <v>811</v>
      </c>
      <c r="C49" s="16">
        <v>850</v>
      </c>
      <c r="D49" s="16"/>
      <c r="E49" s="16">
        <v>850</v>
      </c>
      <c r="F49" s="16">
        <f>850+120</f>
        <v>970</v>
      </c>
      <c r="G49" s="611">
        <v>850</v>
      </c>
      <c r="H49" s="234"/>
      <c r="I49" s="8">
        <f>F49-E49</f>
        <v>120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idden="1" x14ac:dyDescent="0.2">
      <c r="A50" s="18"/>
      <c r="B50" s="25" t="s">
        <v>812</v>
      </c>
      <c r="C50" s="16">
        <v>709</v>
      </c>
      <c r="D50" s="16"/>
      <c r="E50" s="16">
        <v>709</v>
      </c>
      <c r="F50" s="16">
        <v>709</v>
      </c>
      <c r="G50" s="611">
        <v>709</v>
      </c>
      <c r="H50" s="234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idden="1" x14ac:dyDescent="0.2">
      <c r="A51" s="18"/>
      <c r="B51" s="25" t="s">
        <v>494</v>
      </c>
      <c r="C51" s="17">
        <v>2500</v>
      </c>
      <c r="D51" s="17"/>
      <c r="E51" s="17">
        <f>2500+500</f>
        <v>3000</v>
      </c>
      <c r="F51" s="17">
        <f>2500+500</f>
        <v>3000</v>
      </c>
      <c r="G51" s="611">
        <v>2500</v>
      </c>
      <c r="H51" s="234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idden="1" x14ac:dyDescent="0.2">
      <c r="A52" s="18"/>
      <c r="B52" s="24" t="s">
        <v>851</v>
      </c>
      <c r="C52" s="17">
        <v>0</v>
      </c>
      <c r="D52" s="17"/>
      <c r="E52" s="17">
        <v>11441</v>
      </c>
      <c r="F52" s="17">
        <v>11441</v>
      </c>
      <c r="G52" s="611"/>
      <c r="H52" s="234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idden="1" x14ac:dyDescent="0.2">
      <c r="A53" s="18"/>
      <c r="B53" s="25" t="s">
        <v>855</v>
      </c>
      <c r="C53" s="17">
        <v>0</v>
      </c>
      <c r="D53" s="17">
        <v>0</v>
      </c>
      <c r="E53" s="17">
        <v>573</v>
      </c>
      <c r="F53" s="17">
        <v>573</v>
      </c>
      <c r="G53" s="611"/>
      <c r="H53" s="234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idden="1" x14ac:dyDescent="0.2">
      <c r="A54" s="18"/>
      <c r="B54" s="25" t="s">
        <v>856</v>
      </c>
      <c r="C54" s="17">
        <v>0</v>
      </c>
      <c r="D54" s="17">
        <v>0</v>
      </c>
      <c r="E54" s="17">
        <v>3747</v>
      </c>
      <c r="F54" s="17">
        <v>3747</v>
      </c>
      <c r="G54" s="611"/>
      <c r="H54" s="234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idden="1" x14ac:dyDescent="0.2">
      <c r="A55" s="18"/>
      <c r="B55" s="25" t="s">
        <v>863</v>
      </c>
      <c r="C55" s="17">
        <v>0</v>
      </c>
      <c r="D55" s="17">
        <v>0</v>
      </c>
      <c r="E55" s="17">
        <v>114</v>
      </c>
      <c r="F55" s="17">
        <v>114</v>
      </c>
      <c r="G55" s="611"/>
      <c r="H55" s="234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idden="1" x14ac:dyDescent="0.2">
      <c r="A56" s="18"/>
      <c r="B56" s="25" t="s">
        <v>875</v>
      </c>
      <c r="C56" s="17">
        <v>0</v>
      </c>
      <c r="D56" s="17">
        <v>0</v>
      </c>
      <c r="E56" s="17">
        <v>298</v>
      </c>
      <c r="F56" s="17">
        <v>298</v>
      </c>
      <c r="G56" s="611"/>
      <c r="H56" s="234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idden="1" x14ac:dyDescent="0.2">
      <c r="A57" s="18"/>
      <c r="B57" s="25" t="s">
        <v>864</v>
      </c>
      <c r="C57" s="17">
        <v>0</v>
      </c>
      <c r="D57" s="17">
        <v>0</v>
      </c>
      <c r="E57" s="17">
        <v>401</v>
      </c>
      <c r="F57" s="17">
        <v>401</v>
      </c>
      <c r="G57" s="611"/>
      <c r="H57" s="234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idden="1" x14ac:dyDescent="0.2">
      <c r="A58" s="18"/>
      <c r="B58" s="25" t="s">
        <v>874</v>
      </c>
      <c r="C58" s="17">
        <v>0</v>
      </c>
      <c r="D58" s="17">
        <v>0</v>
      </c>
      <c r="E58" s="17">
        <v>0</v>
      </c>
      <c r="F58" s="17">
        <v>237</v>
      </c>
      <c r="G58" s="17">
        <v>0</v>
      </c>
      <c r="H58" s="17">
        <v>0</v>
      </c>
      <c r="I58" s="8">
        <f>F58-E58</f>
        <v>237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idden="1" x14ac:dyDescent="0.2">
      <c r="A59" s="18"/>
      <c r="B59" s="24" t="s">
        <v>876</v>
      </c>
      <c r="C59" s="17">
        <v>0</v>
      </c>
      <c r="D59" s="17">
        <v>0</v>
      </c>
      <c r="E59" s="17">
        <v>0</v>
      </c>
      <c r="F59" s="17">
        <v>116</v>
      </c>
      <c r="G59" s="17">
        <v>0</v>
      </c>
      <c r="H59" s="17">
        <v>0</v>
      </c>
      <c r="I59" s="8">
        <f>F59-E59</f>
        <v>116</v>
      </c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">
      <c r="A60" s="18"/>
      <c r="B60" s="678" t="s">
        <v>908</v>
      </c>
      <c r="C60" s="17"/>
      <c r="D60" s="676">
        <v>26000</v>
      </c>
      <c r="E60" s="17"/>
      <c r="F60" s="17"/>
      <c r="G60" s="17"/>
      <c r="H60" s="17"/>
      <c r="I60" s="677">
        <v>-10000</v>
      </c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">
      <c r="A61" s="18"/>
      <c r="B61" s="24" t="s">
        <v>909</v>
      </c>
      <c r="C61" s="17"/>
      <c r="D61" s="328">
        <v>10800</v>
      </c>
      <c r="E61" s="17"/>
      <c r="F61" s="17"/>
      <c r="G61" s="17"/>
      <c r="H61" s="17"/>
      <c r="I61" s="677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">
      <c r="A62" s="18"/>
      <c r="B62" s="24" t="s">
        <v>910</v>
      </c>
      <c r="C62" s="17"/>
      <c r="D62" s="328"/>
      <c r="E62" s="17"/>
      <c r="F62" s="17"/>
      <c r="G62" s="17"/>
      <c r="H62" s="17"/>
      <c r="I62" s="677">
        <v>-13200</v>
      </c>
      <c r="J62" s="2"/>
      <c r="K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">
      <c r="A63" s="18"/>
      <c r="B63" s="24" t="s">
        <v>922</v>
      </c>
      <c r="C63" s="17"/>
      <c r="D63" s="328">
        <v>3200</v>
      </c>
      <c r="E63" s="17"/>
      <c r="F63" s="17"/>
      <c r="G63" s="17"/>
      <c r="H63" s="17"/>
      <c r="I63" s="677"/>
      <c r="J63" s="2"/>
      <c r="K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">
      <c r="A64" s="18"/>
      <c r="B64" s="678" t="s">
        <v>911</v>
      </c>
      <c r="C64" s="17"/>
      <c r="D64" s="328">
        <v>18745</v>
      </c>
      <c r="E64" s="17"/>
      <c r="F64" s="17"/>
      <c r="G64" s="17"/>
      <c r="H64" s="17"/>
      <c r="I64" s="8"/>
      <c r="J64" s="2"/>
      <c r="K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18"/>
      <c r="B65" s="24" t="s">
        <v>918</v>
      </c>
      <c r="C65" s="17"/>
      <c r="D65" s="328">
        <v>3810</v>
      </c>
      <c r="E65" s="17"/>
      <c r="F65" s="17"/>
      <c r="G65" s="17"/>
      <c r="H65" s="17"/>
      <c r="I65" s="8"/>
      <c r="J65" s="2"/>
      <c r="K65" s="2"/>
      <c r="M65" s="2"/>
      <c r="N65" s="2"/>
      <c r="O65" s="2"/>
      <c r="P65" s="2">
        <v>15.6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18"/>
      <c r="B66" s="24"/>
      <c r="C66" s="17"/>
      <c r="D66" s="17"/>
      <c r="E66" s="17"/>
      <c r="F66" s="17"/>
      <c r="G66" s="17"/>
      <c r="H66" s="17"/>
      <c r="I66" s="8"/>
      <c r="J66" s="2"/>
      <c r="K66" s="2"/>
      <c r="M66" s="2"/>
      <c r="N66" s="2"/>
      <c r="O66" s="2"/>
      <c r="P66" s="2">
        <v>86.7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18"/>
      <c r="B67" s="29" t="s">
        <v>813</v>
      </c>
      <c r="C67" s="15">
        <v>78200</v>
      </c>
      <c r="D67" s="15"/>
      <c r="E67" s="15">
        <v>78200</v>
      </c>
      <c r="F67" s="15">
        <v>78200</v>
      </c>
      <c r="G67" s="15">
        <v>78200</v>
      </c>
      <c r="H67" s="17"/>
      <c r="I67" s="2"/>
      <c r="J67" s="2"/>
      <c r="K67" s="2"/>
      <c r="L67" s="2"/>
      <c r="M67" s="2"/>
      <c r="N67" s="2"/>
      <c r="O67" s="2"/>
      <c r="P67" s="8">
        <v>502.4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3.5" customHeight="1" x14ac:dyDescent="0.2">
      <c r="A68" s="18"/>
      <c r="B68" s="29" t="s">
        <v>406</v>
      </c>
      <c r="C68" s="15" t="e">
        <f>SUM(C69)</f>
        <v>#REF!</v>
      </c>
      <c r="D68" s="15">
        <f>SUM(D69)</f>
        <v>1000</v>
      </c>
      <c r="E68" s="15">
        <f>SUM(E69)</f>
        <v>1000</v>
      </c>
      <c r="F68" s="15">
        <f>SUM(F69)</f>
        <v>1000</v>
      </c>
      <c r="G68" s="15">
        <f>SUM(G69)</f>
        <v>1000</v>
      </c>
      <c r="H68" s="15">
        <f>SUM(H69:H76)</f>
        <v>0</v>
      </c>
      <c r="I68" s="2"/>
      <c r="J68" s="2"/>
      <c r="K68" s="2"/>
      <c r="L68" s="2"/>
      <c r="M68" s="2"/>
      <c r="N68" s="2"/>
      <c r="O68" s="2"/>
      <c r="P68" s="2">
        <f>SUM(P65:P67)</f>
        <v>604.69999999999993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3.5" customHeight="1" x14ac:dyDescent="0.2">
      <c r="A69" s="18"/>
      <c r="B69" s="25" t="s">
        <v>883</v>
      </c>
      <c r="C69" s="16" t="e">
        <f>'9.Hivatal'!#REF!</f>
        <v>#REF!</v>
      </c>
      <c r="D69" s="328">
        <f>SUM('9.Hivatal'!R77)</f>
        <v>1000</v>
      </c>
      <c r="E69" s="16">
        <f>'9.Hivatal'!R75</f>
        <v>1000</v>
      </c>
      <c r="F69" s="16">
        <f>'9.Hivatal'!S75</f>
        <v>1000</v>
      </c>
      <c r="G69" s="16">
        <f>'9.Hivatal'!U75</f>
        <v>1000</v>
      </c>
      <c r="H69" s="1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idden="1" x14ac:dyDescent="0.2">
      <c r="A70" s="18"/>
      <c r="B70" s="25"/>
      <c r="C70" s="16"/>
      <c r="D70" s="16"/>
      <c r="E70" s="16"/>
      <c r="F70" s="16"/>
      <c r="G70" s="16"/>
      <c r="H70" s="1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idden="1" x14ac:dyDescent="0.2">
      <c r="A71" s="18"/>
      <c r="B71" s="25"/>
      <c r="C71" s="16"/>
      <c r="D71" s="16"/>
      <c r="E71" s="16"/>
      <c r="F71" s="16"/>
      <c r="G71" s="16"/>
      <c r="H71" s="1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idden="1" x14ac:dyDescent="0.2">
      <c r="A72" s="18"/>
      <c r="B72" s="25"/>
      <c r="C72" s="16"/>
      <c r="D72" s="16"/>
      <c r="E72" s="16"/>
      <c r="F72" s="16"/>
      <c r="G72" s="16"/>
      <c r="H72" s="1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idden="1" x14ac:dyDescent="0.2">
      <c r="A73" s="18"/>
      <c r="B73" s="25"/>
      <c r="C73" s="16"/>
      <c r="D73" s="16"/>
      <c r="E73" s="16"/>
      <c r="F73" s="16"/>
      <c r="G73" s="16"/>
      <c r="H73" s="1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idden="1" x14ac:dyDescent="0.2">
      <c r="A74" s="18"/>
      <c r="B74" s="198"/>
      <c r="C74" s="230"/>
      <c r="D74" s="230"/>
      <c r="E74" s="230"/>
      <c r="F74" s="230"/>
      <c r="G74" s="230"/>
      <c r="H74" s="23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idden="1" x14ac:dyDescent="0.2">
      <c r="A75" s="18"/>
      <c r="B75" s="25"/>
      <c r="C75" s="230"/>
      <c r="D75" s="230"/>
      <c r="E75" s="230"/>
      <c r="F75" s="230"/>
      <c r="G75" s="230"/>
      <c r="H75" s="23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">
      <c r="A76" s="18"/>
      <c r="B76" s="25"/>
      <c r="C76" s="230"/>
      <c r="D76" s="230"/>
      <c r="E76" s="230"/>
      <c r="F76" s="230"/>
      <c r="G76" s="230"/>
      <c r="H76" s="23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89" customFormat="1" ht="18" customHeight="1" x14ac:dyDescent="0.25">
      <c r="A77" s="29" t="s">
        <v>377</v>
      </c>
      <c r="B77" s="229" t="s">
        <v>1</v>
      </c>
      <c r="C77" s="248">
        <f>SUM(C78+C85)</f>
        <v>512995</v>
      </c>
      <c r="D77" s="248">
        <f>SUM(D78+D85)</f>
        <v>1002842</v>
      </c>
      <c r="E77" s="248">
        <f>SUM(E78+E85)</f>
        <v>552629</v>
      </c>
      <c r="F77" s="248">
        <f>SUM(F78+F85)</f>
        <v>535599</v>
      </c>
      <c r="G77" s="248">
        <f>SUM(G78+G85)</f>
        <v>512995</v>
      </c>
      <c r="H77" s="248">
        <f>SUM(H78+H86)</f>
        <v>0</v>
      </c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</row>
    <row r="78" spans="1:42" s="89" customFormat="1" ht="13.5" customHeight="1" x14ac:dyDescent="0.2">
      <c r="A78" s="29"/>
      <c r="B78" s="29" t="s">
        <v>2</v>
      </c>
      <c r="C78" s="226">
        <f t="shared" ref="C78:H78" si="13">SUM(C79:C82)</f>
        <v>511995</v>
      </c>
      <c r="D78" s="226">
        <f t="shared" si="13"/>
        <v>612402</v>
      </c>
      <c r="E78" s="226">
        <f t="shared" si="13"/>
        <v>529053</v>
      </c>
      <c r="F78" s="226">
        <f t="shared" si="13"/>
        <v>514393</v>
      </c>
      <c r="G78" s="226">
        <f t="shared" si="13"/>
        <v>511995</v>
      </c>
      <c r="H78" s="226">
        <f t="shared" si="13"/>
        <v>0</v>
      </c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</row>
    <row r="79" spans="1:42" s="89" customFormat="1" ht="13.5" customHeight="1" x14ac:dyDescent="0.2">
      <c r="A79" s="29"/>
      <c r="B79" s="26" t="s">
        <v>907</v>
      </c>
      <c r="C79" s="173">
        <f>'13.2.EU projekt részletesen'!M15/1000</f>
        <v>212795</v>
      </c>
      <c r="D79" s="651">
        <v>126690</v>
      </c>
      <c r="E79" s="173">
        <f>212795</f>
        <v>212795</v>
      </c>
      <c r="F79" s="173">
        <f>212795-14660</f>
        <v>198135</v>
      </c>
      <c r="G79" s="173">
        <v>212795</v>
      </c>
      <c r="H79" s="173"/>
      <c r="I79" s="666">
        <f>SUM(D79*0.27)</f>
        <v>34206.300000000003</v>
      </c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</row>
    <row r="80" spans="1:42" s="89" customFormat="1" ht="13.5" customHeight="1" x14ac:dyDescent="0.2">
      <c r="A80" s="29"/>
      <c r="B80" s="26" t="s">
        <v>901</v>
      </c>
      <c r="C80" s="173">
        <v>0</v>
      </c>
      <c r="D80" s="651">
        <v>13431</v>
      </c>
      <c r="E80" s="173">
        <v>17058</v>
      </c>
      <c r="F80" s="173">
        <v>17058</v>
      </c>
      <c r="G80" s="173"/>
      <c r="H80" s="173"/>
      <c r="I80" s="666">
        <f>SUM(D80*0.27)</f>
        <v>3626.3700000000003</v>
      </c>
      <c r="J80" s="181"/>
      <c r="K80" s="181"/>
      <c r="L80" s="181"/>
      <c r="M80" s="181"/>
      <c r="N80" s="181"/>
      <c r="O80" s="181"/>
      <c r="P80" s="181"/>
      <c r="Q80" s="646">
        <v>180986</v>
      </c>
      <c r="R80" s="646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</row>
    <row r="81" spans="1:42" s="89" customFormat="1" ht="13.5" customHeight="1" x14ac:dyDescent="0.2">
      <c r="A81" s="29"/>
      <c r="B81" s="26" t="s">
        <v>921</v>
      </c>
      <c r="C81" s="173"/>
      <c r="D81" s="651">
        <v>1100</v>
      </c>
      <c r="E81" s="173"/>
      <c r="F81" s="173"/>
      <c r="G81" s="173"/>
      <c r="H81" s="173"/>
      <c r="I81" s="666">
        <f>SUM(D81*0.27)</f>
        <v>297</v>
      </c>
      <c r="J81" s="181"/>
      <c r="K81" s="181"/>
      <c r="L81" s="181"/>
      <c r="M81" s="181"/>
      <c r="N81" s="181"/>
      <c r="O81" s="181"/>
      <c r="P81" s="181"/>
      <c r="Q81" s="646"/>
      <c r="R81" s="646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</row>
    <row r="82" spans="1:42" s="89" customFormat="1" ht="13.5" customHeight="1" x14ac:dyDescent="0.2">
      <c r="A82" s="29"/>
      <c r="B82" s="277" t="s">
        <v>924</v>
      </c>
      <c r="C82" s="173">
        <f>'13.2.EU projekt részletesen'!D15/1000/2</f>
        <v>299200</v>
      </c>
      <c r="D82" s="651">
        <v>471181</v>
      </c>
      <c r="E82" s="173">
        <v>299200</v>
      </c>
      <c r="F82" s="173">
        <v>299200</v>
      </c>
      <c r="G82" s="173">
        <v>299200</v>
      </c>
      <c r="H82" s="173"/>
      <c r="I82" s="666">
        <f>SUM(D82*0.27)</f>
        <v>127218.87000000001</v>
      </c>
      <c r="J82" s="181"/>
      <c r="K82" s="181"/>
      <c r="L82" s="181"/>
      <c r="M82" s="181"/>
      <c r="N82" s="181"/>
      <c r="O82" s="181"/>
      <c r="P82" s="181"/>
      <c r="Q82" s="646">
        <v>54296</v>
      </c>
      <c r="R82" s="646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</row>
    <row r="83" spans="1:42" s="89" customFormat="1" ht="13.5" customHeight="1" x14ac:dyDescent="0.2">
      <c r="A83" s="29"/>
      <c r="B83" s="277" t="s">
        <v>925</v>
      </c>
      <c r="C83" s="173"/>
      <c r="D83" s="651">
        <f>(60000/1.27)</f>
        <v>47244.094488188974</v>
      </c>
      <c r="E83" s="173"/>
      <c r="F83" s="173"/>
      <c r="G83" s="173"/>
      <c r="H83" s="173"/>
      <c r="I83" s="666">
        <f>SUM(D83*0.27)</f>
        <v>12755.905511811025</v>
      </c>
      <c r="J83" s="181"/>
      <c r="K83" s="181"/>
      <c r="L83" s="181"/>
      <c r="M83" s="181"/>
      <c r="N83" s="181"/>
      <c r="O83" s="181"/>
      <c r="P83" s="181" t="s">
        <v>926</v>
      </c>
      <c r="Q83" s="646"/>
      <c r="R83" s="646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</row>
    <row r="84" spans="1:42" s="89" customFormat="1" ht="13.5" customHeight="1" x14ac:dyDescent="0.2">
      <c r="A84" s="29"/>
      <c r="B84" s="277"/>
      <c r="C84" s="173"/>
      <c r="D84" s="173"/>
      <c r="E84" s="173"/>
      <c r="F84" s="173"/>
      <c r="G84" s="173"/>
      <c r="H84" s="173"/>
      <c r="I84" s="646"/>
      <c r="J84" s="181"/>
      <c r="K84" s="181"/>
      <c r="L84" s="181"/>
      <c r="M84" s="181"/>
      <c r="N84" s="181"/>
      <c r="O84" s="181"/>
      <c r="P84" s="181"/>
      <c r="Q84" s="646">
        <f>(Q80-Q82)</f>
        <v>126690</v>
      </c>
      <c r="R84" s="646">
        <f>(Q84*0.27)</f>
        <v>34206.300000000003</v>
      </c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</row>
    <row r="85" spans="1:42" s="89" customFormat="1" ht="13.5" customHeight="1" x14ac:dyDescent="0.2">
      <c r="A85" s="29"/>
      <c r="B85" s="29" t="s">
        <v>364</v>
      </c>
      <c r="C85" s="226">
        <f>SUM(C86:C92)</f>
        <v>1000</v>
      </c>
      <c r="D85" s="226">
        <f>SUM(D86:D92)</f>
        <v>390440</v>
      </c>
      <c r="E85" s="226">
        <f>SUM(E86:E92)</f>
        <v>23576</v>
      </c>
      <c r="F85" s="226">
        <f>SUM(F86:F92)</f>
        <v>21206</v>
      </c>
      <c r="G85" s="226">
        <f>SUM(G86:G87)</f>
        <v>1000</v>
      </c>
      <c r="H85" s="226">
        <f>SUM(H86:H87)</f>
        <v>0</v>
      </c>
      <c r="I85" s="646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</row>
    <row r="86" spans="1:42" s="89" customFormat="1" x14ac:dyDescent="0.2">
      <c r="A86" s="29"/>
      <c r="B86" s="25" t="s">
        <v>892</v>
      </c>
      <c r="C86" s="16">
        <v>1000</v>
      </c>
      <c r="D86" s="328">
        <v>1000</v>
      </c>
      <c r="E86" s="16">
        <v>1000</v>
      </c>
      <c r="F86" s="16">
        <v>1000</v>
      </c>
      <c r="G86" s="16">
        <v>1000</v>
      </c>
      <c r="H86" s="16"/>
      <c r="I86" s="646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</row>
    <row r="87" spans="1:42" s="89" customFormat="1" x14ac:dyDescent="0.2">
      <c r="A87" s="25"/>
      <c r="B87" s="9" t="s">
        <v>915</v>
      </c>
      <c r="C87" s="16">
        <v>0</v>
      </c>
      <c r="D87" s="328">
        <v>16140</v>
      </c>
      <c r="E87" s="16">
        <f>30000-7703</f>
        <v>22297</v>
      </c>
      <c r="F87" s="16">
        <f>30000-7703-2370</f>
        <v>19927</v>
      </c>
      <c r="G87" s="16"/>
      <c r="H87" s="16"/>
      <c r="I87" s="646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</row>
    <row r="88" spans="1:42" s="89" customFormat="1" x14ac:dyDescent="0.2">
      <c r="A88" s="25"/>
      <c r="B88" s="678" t="s">
        <v>912</v>
      </c>
      <c r="C88" s="16">
        <v>0</v>
      </c>
      <c r="D88" s="328">
        <v>6900</v>
      </c>
      <c r="E88" s="16">
        <v>279</v>
      </c>
      <c r="F88" s="16">
        <v>279</v>
      </c>
      <c r="G88" s="16"/>
      <c r="H88" s="16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</row>
    <row r="89" spans="1:42" s="89" customFormat="1" x14ac:dyDescent="0.2">
      <c r="A89" s="25"/>
      <c r="B89" s="25" t="s">
        <v>913</v>
      </c>
      <c r="C89" s="16"/>
      <c r="D89" s="328">
        <v>3500</v>
      </c>
      <c r="E89" s="16"/>
      <c r="F89" s="16"/>
      <c r="G89" s="16"/>
      <c r="H89" s="16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</row>
    <row r="90" spans="1:42" s="89" customFormat="1" x14ac:dyDescent="0.2">
      <c r="A90" s="25"/>
      <c r="B90" s="678" t="s">
        <v>923</v>
      </c>
      <c r="C90" s="16"/>
      <c r="D90" s="328">
        <v>17500</v>
      </c>
      <c r="E90" s="16"/>
      <c r="F90" s="16"/>
      <c r="G90" s="16"/>
      <c r="H90" s="16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</row>
    <row r="91" spans="1:42" s="89" customFormat="1" x14ac:dyDescent="0.2">
      <c r="A91" s="25"/>
      <c r="B91" s="25" t="s">
        <v>914</v>
      </c>
      <c r="C91" s="16"/>
      <c r="D91" s="328">
        <v>345400</v>
      </c>
      <c r="E91" s="16"/>
      <c r="F91" s="16"/>
      <c r="G91" s="16"/>
      <c r="H91" s="16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</row>
    <row r="92" spans="1:42" s="89" customFormat="1" x14ac:dyDescent="0.2">
      <c r="A92" s="25"/>
      <c r="B92" s="198"/>
      <c r="C92" s="288"/>
      <c r="D92" s="288"/>
      <c r="E92" s="288"/>
      <c r="F92" s="288"/>
      <c r="G92" s="288"/>
      <c r="H92" s="288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</row>
    <row r="93" spans="1:42" s="89" customFormat="1" ht="15" x14ac:dyDescent="0.25">
      <c r="A93" s="29" t="s">
        <v>376</v>
      </c>
      <c r="B93" s="229" t="s">
        <v>13</v>
      </c>
      <c r="C93" s="206" t="e">
        <f t="shared" ref="C93:H93" si="14">C94</f>
        <v>#REF!</v>
      </c>
      <c r="D93" s="206">
        <f t="shared" si="14"/>
        <v>0</v>
      </c>
      <c r="E93" s="206" t="e">
        <f t="shared" si="14"/>
        <v>#REF!</v>
      </c>
      <c r="F93" s="206" t="e">
        <f t="shared" si="14"/>
        <v>#REF!</v>
      </c>
      <c r="G93" s="206" t="e">
        <f t="shared" si="14"/>
        <v>#REF!</v>
      </c>
      <c r="H93" s="206" t="e">
        <f t="shared" si="14"/>
        <v>#REF!</v>
      </c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</row>
    <row r="94" spans="1:42" s="89" customFormat="1" ht="13.5" customHeight="1" x14ac:dyDescent="0.2">
      <c r="A94" s="29"/>
      <c r="B94" s="29" t="s">
        <v>814</v>
      </c>
      <c r="C94" s="15" t="e">
        <f>SUM(#REF!)</f>
        <v>#REF!</v>
      </c>
      <c r="D94" s="15"/>
      <c r="E94" s="15" t="e">
        <f>SUM(#REF!)</f>
        <v>#REF!</v>
      </c>
      <c r="F94" s="15" t="e">
        <f>SUM(#REF!)</f>
        <v>#REF!</v>
      </c>
      <c r="G94" s="15" t="e">
        <f>SUM(#REF!)</f>
        <v>#REF!</v>
      </c>
      <c r="H94" s="15" t="e">
        <f>SUM(#REF!)</f>
        <v>#REF!</v>
      </c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</row>
    <row r="95" spans="1:42" s="89" customFormat="1" x14ac:dyDescent="0.2">
      <c r="A95" s="29"/>
      <c r="B95" s="25"/>
      <c r="C95" s="16"/>
      <c r="D95" s="16"/>
      <c r="E95" s="16"/>
      <c r="F95" s="16"/>
      <c r="G95" s="16"/>
      <c r="H95" s="16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</row>
    <row r="96" spans="1:42" s="89" customFormat="1" ht="15.75" x14ac:dyDescent="0.25">
      <c r="A96" s="29"/>
      <c r="B96" s="228" t="s">
        <v>431</v>
      </c>
      <c r="C96" s="206">
        <f>SUM(C97:C97)</f>
        <v>250000</v>
      </c>
      <c r="D96" s="206">
        <f>SUM(D97:D99)</f>
        <v>0</v>
      </c>
      <c r="E96" s="206">
        <f>SUM(E97:E99)</f>
        <v>252561</v>
      </c>
      <c r="F96" s="206">
        <f>SUM(F97:F99)</f>
        <v>264088</v>
      </c>
      <c r="G96" s="206">
        <f>SUM(G97:G97)</f>
        <v>250000</v>
      </c>
      <c r="H96" s="206">
        <f>SUM(H97:H97)</f>
        <v>0</v>
      </c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</row>
    <row r="97" spans="1:42" s="89" customFormat="1" ht="13.5" customHeight="1" x14ac:dyDescent="0.2">
      <c r="A97" s="29"/>
      <c r="B97" s="26" t="s">
        <v>891</v>
      </c>
      <c r="C97" s="209">
        <v>250000</v>
      </c>
      <c r="D97" s="209"/>
      <c r="E97" s="209">
        <v>250000</v>
      </c>
      <c r="F97" s="209">
        <v>250000</v>
      </c>
      <c r="G97" s="209">
        <v>250000</v>
      </c>
      <c r="H97" s="209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</row>
    <row r="98" spans="1:42" s="89" customFormat="1" ht="13.5" customHeight="1" x14ac:dyDescent="0.2">
      <c r="A98" s="29"/>
      <c r="B98" s="26"/>
      <c r="C98" s="209">
        <v>0</v>
      </c>
      <c r="D98" s="209"/>
      <c r="E98" s="209">
        <f>-6325-500+1144+1056+5000-573+3851-813-279</f>
        <v>2561</v>
      </c>
      <c r="F98" s="209">
        <f>-6325-500+1144+1056+5000-573+3851-813-279+12000-473</f>
        <v>14088</v>
      </c>
      <c r="G98" s="209"/>
      <c r="H98" s="209"/>
      <c r="I98" s="646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</row>
    <row r="99" spans="1:42" s="89" customFormat="1" ht="13.5" hidden="1" customHeight="1" x14ac:dyDescent="0.2">
      <c r="A99" s="29"/>
      <c r="B99" s="284"/>
      <c r="C99" s="209"/>
      <c r="D99" s="209"/>
      <c r="E99" s="209"/>
      <c r="F99" s="209"/>
      <c r="G99" s="209"/>
      <c r="H99" s="209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</row>
    <row r="100" spans="1:42" s="89" customFormat="1" ht="13.5" hidden="1" customHeight="1" x14ac:dyDescent="0.2">
      <c r="A100" s="29"/>
      <c r="B100" s="284"/>
      <c r="C100" s="209"/>
      <c r="D100" s="209"/>
      <c r="E100" s="209"/>
      <c r="F100" s="209"/>
      <c r="G100" s="209"/>
      <c r="H100" s="209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</row>
    <row r="101" spans="1:42" s="89" customFormat="1" ht="13.5" hidden="1" customHeight="1" x14ac:dyDescent="0.2">
      <c r="A101" s="29"/>
      <c r="B101" s="284"/>
      <c r="C101" s="209"/>
      <c r="D101" s="209"/>
      <c r="E101" s="209"/>
      <c r="F101" s="209"/>
      <c r="G101" s="209"/>
      <c r="H101" s="209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</row>
    <row r="102" spans="1:42" ht="15.75" x14ac:dyDescent="0.2">
      <c r="A102" s="18" t="s">
        <v>212</v>
      </c>
      <c r="B102" s="222" t="s">
        <v>365</v>
      </c>
      <c r="C102" s="223">
        <v>0</v>
      </c>
      <c r="D102" s="653">
        <f>SUM(D103+D106+D107)</f>
        <v>15600</v>
      </c>
      <c r="E102" s="223">
        <v>0</v>
      </c>
      <c r="F102" s="223">
        <v>0</v>
      </c>
      <c r="G102" s="223">
        <v>0</v>
      </c>
      <c r="H102" s="223"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" customHeight="1" x14ac:dyDescent="0.2">
      <c r="A103" s="18"/>
      <c r="B103" s="224" t="s">
        <v>401</v>
      </c>
      <c r="C103" s="223"/>
      <c r="D103" s="654">
        <f>SUM(D105)</f>
        <v>15600</v>
      </c>
      <c r="E103" s="223"/>
      <c r="F103" s="223"/>
      <c r="G103" s="223"/>
      <c r="H103" s="22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3.5" hidden="1" customHeight="1" x14ac:dyDescent="0.2">
      <c r="A104" s="18"/>
      <c r="B104" s="278" t="s">
        <v>402</v>
      </c>
      <c r="C104" s="223"/>
      <c r="D104" s="223"/>
      <c r="E104" s="223"/>
      <c r="F104" s="223"/>
      <c r="G104" s="223"/>
      <c r="H104" s="22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3.5" customHeight="1" x14ac:dyDescent="0.2">
      <c r="A105" s="18"/>
      <c r="B105" s="278" t="s">
        <v>920</v>
      </c>
      <c r="C105" s="223"/>
      <c r="D105" s="300">
        <f>(10400+5200)</f>
        <v>15600</v>
      </c>
      <c r="E105" s="223"/>
      <c r="F105" s="223"/>
      <c r="G105" s="223"/>
      <c r="H105" s="22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" customHeight="1" x14ac:dyDescent="0.2">
      <c r="A106" s="18"/>
      <c r="B106" s="224" t="s">
        <v>403</v>
      </c>
      <c r="C106" s="223"/>
      <c r="D106" s="223"/>
      <c r="E106" s="223"/>
      <c r="F106" s="223"/>
      <c r="G106" s="223"/>
      <c r="H106" s="22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" customHeight="1" thickBot="1" x14ac:dyDescent="0.25">
      <c r="A107" s="28"/>
      <c r="B107" s="221" t="s">
        <v>404</v>
      </c>
      <c r="C107" s="208"/>
      <c r="D107" s="208"/>
      <c r="E107" s="208"/>
      <c r="F107" s="208"/>
      <c r="G107" s="208"/>
      <c r="H107" s="20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24" customHeight="1" thickBot="1" x14ac:dyDescent="0.4">
      <c r="A108" s="270"/>
      <c r="B108" s="318" t="s">
        <v>400</v>
      </c>
      <c r="C108" s="319" t="e">
        <f t="shared" ref="C108:H108" si="15">SUM(C39+C102)</f>
        <v>#REF!</v>
      </c>
      <c r="D108" s="320">
        <f t="shared" si="15"/>
        <v>1081997</v>
      </c>
      <c r="E108" s="656" t="e">
        <f t="shared" si="15"/>
        <v>#REF!</v>
      </c>
      <c r="F108" s="319" t="e">
        <f t="shared" si="15"/>
        <v>#REF!</v>
      </c>
      <c r="G108" s="319" t="e">
        <f t="shared" si="15"/>
        <v>#REF!</v>
      </c>
      <c r="H108" s="320" t="e">
        <f t="shared" si="15"/>
        <v>#REF!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 x14ac:dyDescent="0.2">
      <c r="B109" s="2"/>
      <c r="C109" s="233" t="e">
        <f t="shared" ref="C109:H109" si="16">SUM(C38-C108)</f>
        <v>#REF!</v>
      </c>
      <c r="D109" s="233">
        <f t="shared" si="16"/>
        <v>-89150</v>
      </c>
      <c r="E109" s="233" t="e">
        <f t="shared" si="16"/>
        <v>#REF!</v>
      </c>
      <c r="F109" s="233" t="e">
        <f t="shared" si="16"/>
        <v>#REF!</v>
      </c>
      <c r="G109" s="233" t="e">
        <f t="shared" si="16"/>
        <v>#REF!</v>
      </c>
      <c r="H109" s="233" t="e">
        <f t="shared" si="16"/>
        <v>#REF!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s="201" customFormat="1" ht="13.5" customHeight="1" x14ac:dyDescent="0.2">
      <c r="A110" s="190"/>
      <c r="C110" s="238"/>
      <c r="D110" s="664"/>
      <c r="E110" s="238"/>
      <c r="F110" s="238"/>
      <c r="G110" s="238"/>
      <c r="H110" s="238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</row>
    <row r="111" spans="1:42" s="201" customFormat="1" ht="13.5" customHeight="1" x14ac:dyDescent="0.2">
      <c r="A111" s="190"/>
      <c r="B111" s="331"/>
      <c r="C111" s="239"/>
      <c r="D111" s="239"/>
      <c r="E111" s="239"/>
      <c r="F111" s="239"/>
      <c r="G111" s="239"/>
      <c r="H111" s="239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</row>
    <row r="112" spans="1:42" s="201" customFormat="1" ht="13.5" customHeight="1" x14ac:dyDescent="0.2">
      <c r="A112" s="190"/>
      <c r="C112" s="238"/>
      <c r="D112" s="238"/>
      <c r="E112" s="238"/>
      <c r="F112" s="238"/>
      <c r="G112" s="238"/>
      <c r="H112" s="238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</row>
    <row r="113" spans="1:42" s="201" customFormat="1" ht="13.5" customHeight="1" x14ac:dyDescent="0.2">
      <c r="A113" s="190"/>
      <c r="C113" s="238"/>
      <c r="D113" s="664"/>
      <c r="E113" s="238"/>
      <c r="F113" s="238"/>
      <c r="G113" s="238"/>
      <c r="H113" s="238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</row>
    <row r="114" spans="1:42" s="201" customFormat="1" ht="13.5" customHeight="1" x14ac:dyDescent="0.2">
      <c r="A114" s="190"/>
      <c r="C114" s="238"/>
      <c r="D114" s="238"/>
      <c r="E114" s="238"/>
      <c r="F114" s="238"/>
      <c r="G114" s="238"/>
      <c r="H114" s="238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</row>
    <row r="115" spans="1:42" s="201" customFormat="1" ht="13.5" customHeight="1" x14ac:dyDescent="0.2">
      <c r="A115" s="190"/>
      <c r="C115" s="238"/>
      <c r="D115" s="238"/>
      <c r="E115" s="238"/>
      <c r="F115" s="238"/>
      <c r="G115" s="238"/>
      <c r="H115" s="238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</row>
    <row r="116" spans="1:42" s="201" customFormat="1" ht="13.5" customHeight="1" x14ac:dyDescent="0.2">
      <c r="A116" s="190"/>
      <c r="C116" s="238"/>
      <c r="D116" s="238"/>
      <c r="E116" s="238"/>
      <c r="F116" s="238"/>
      <c r="G116" s="238"/>
      <c r="H116" s="238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</row>
    <row r="117" spans="1:42" s="201" customFormat="1" ht="13.5" customHeight="1" x14ac:dyDescent="0.2">
      <c r="A117" s="190"/>
      <c r="C117" s="238"/>
      <c r="D117" s="238"/>
      <c r="E117" s="238"/>
      <c r="F117" s="238"/>
      <c r="G117" s="238"/>
      <c r="H117" s="238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</row>
    <row r="118" spans="1:42" s="201" customFormat="1" ht="13.5" customHeight="1" x14ac:dyDescent="0.2">
      <c r="A118" s="190"/>
      <c r="C118" s="238"/>
      <c r="D118" s="238"/>
      <c r="E118" s="238"/>
      <c r="F118" s="238"/>
      <c r="G118" s="238"/>
      <c r="H118" s="238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</row>
    <row r="119" spans="1:42" s="201" customFormat="1" ht="13.5" customHeight="1" x14ac:dyDescent="0.2">
      <c r="A119" s="190"/>
      <c r="C119" s="238"/>
      <c r="D119" s="238"/>
      <c r="E119" s="238"/>
      <c r="F119" s="238"/>
      <c r="G119" s="238"/>
      <c r="H119" s="238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</row>
    <row r="120" spans="1:42" s="201" customFormat="1" ht="13.5" customHeight="1" x14ac:dyDescent="0.2">
      <c r="A120" s="190"/>
      <c r="C120" s="238"/>
      <c r="D120" s="238"/>
      <c r="E120" s="238"/>
      <c r="F120" s="238"/>
      <c r="G120" s="238"/>
      <c r="H120" s="238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</row>
    <row r="121" spans="1:42" s="201" customFormat="1" ht="13.5" customHeight="1" x14ac:dyDescent="0.2">
      <c r="A121" s="190"/>
      <c r="C121" s="238"/>
      <c r="D121" s="238"/>
      <c r="E121" s="238"/>
      <c r="F121" s="238"/>
      <c r="G121" s="238"/>
      <c r="H121" s="238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</row>
    <row r="122" spans="1:42" s="201" customFormat="1" ht="13.5" customHeight="1" x14ac:dyDescent="0.2">
      <c r="A122" s="190"/>
      <c r="C122" s="238"/>
      <c r="D122" s="238"/>
      <c r="E122" s="238"/>
      <c r="F122" s="238"/>
      <c r="G122" s="238"/>
      <c r="H122" s="238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</row>
    <row r="123" spans="1:42" s="201" customFormat="1" ht="13.5" customHeight="1" x14ac:dyDescent="0.2">
      <c r="A123" s="190"/>
      <c r="C123" s="238"/>
      <c r="D123" s="238"/>
      <c r="E123" s="238"/>
      <c r="F123" s="238"/>
      <c r="G123" s="238"/>
      <c r="H123" s="238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</row>
    <row r="124" spans="1:42" s="201" customFormat="1" ht="13.5" customHeight="1" x14ac:dyDescent="0.2">
      <c r="A124" s="190"/>
      <c r="C124" s="238"/>
      <c r="D124" s="238"/>
      <c r="E124" s="238"/>
      <c r="F124" s="238"/>
      <c r="G124" s="238"/>
      <c r="H124" s="238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</row>
    <row r="125" spans="1:42" s="201" customFormat="1" ht="13.5" customHeight="1" x14ac:dyDescent="0.2">
      <c r="A125" s="190"/>
      <c r="C125" s="238"/>
      <c r="D125" s="238"/>
      <c r="E125" s="238"/>
      <c r="F125" s="238"/>
      <c r="G125" s="238"/>
      <c r="H125" s="238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</row>
    <row r="126" spans="1:42" ht="15.75" customHeight="1" x14ac:dyDescent="0.2">
      <c r="B126" s="2"/>
      <c r="C126" s="240"/>
      <c r="D126" s="240"/>
      <c r="E126" s="240"/>
      <c r="F126" s="240"/>
      <c r="G126" s="240"/>
      <c r="H126" s="24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B127" s="2"/>
      <c r="C127" s="233"/>
      <c r="D127" s="233"/>
      <c r="E127" s="233"/>
      <c r="F127" s="233"/>
      <c r="G127" s="233"/>
      <c r="H127" s="23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B128" s="2"/>
      <c r="C128" s="233"/>
      <c r="D128" s="233"/>
      <c r="E128" s="233"/>
      <c r="F128" s="233"/>
      <c r="G128" s="233"/>
      <c r="H128" s="23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B129" s="2"/>
      <c r="C129" s="241"/>
      <c r="D129" s="241"/>
      <c r="E129" s="241"/>
      <c r="F129" s="241"/>
      <c r="G129" s="241"/>
      <c r="H129" s="24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B130" s="2"/>
      <c r="C130" s="241"/>
      <c r="D130" s="241"/>
      <c r="E130" s="241"/>
      <c r="F130" s="241"/>
      <c r="G130" s="241"/>
      <c r="H130" s="24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B131" s="2"/>
      <c r="C131" s="241"/>
      <c r="D131" s="241"/>
      <c r="E131" s="241"/>
      <c r="F131" s="241"/>
      <c r="G131" s="241"/>
      <c r="H131" s="24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B132" s="2"/>
      <c r="C132" s="241"/>
      <c r="D132" s="241"/>
      <c r="E132" s="241"/>
      <c r="F132" s="241"/>
      <c r="G132" s="241"/>
      <c r="H132" s="24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B133" s="2"/>
      <c r="C133" s="241"/>
      <c r="D133" s="241"/>
      <c r="E133" s="241"/>
      <c r="F133" s="241"/>
      <c r="G133" s="241"/>
      <c r="H133" s="24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B134" s="2"/>
      <c r="C134" s="241"/>
      <c r="D134" s="241"/>
      <c r="E134" s="241"/>
      <c r="F134" s="241"/>
      <c r="G134" s="241"/>
      <c r="H134" s="24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41"/>
      <c r="D135" s="241"/>
      <c r="E135" s="241"/>
      <c r="F135" s="241"/>
      <c r="G135" s="241"/>
      <c r="H135" s="24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41"/>
      <c r="D136" s="241"/>
      <c r="E136" s="241"/>
      <c r="F136" s="241"/>
      <c r="G136" s="241"/>
      <c r="H136" s="24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41"/>
      <c r="D137" s="241"/>
      <c r="E137" s="241"/>
      <c r="F137" s="241"/>
      <c r="G137" s="241"/>
      <c r="H137" s="24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41"/>
      <c r="D138" s="241"/>
      <c r="E138" s="241"/>
      <c r="F138" s="241"/>
      <c r="G138" s="241"/>
      <c r="H138" s="24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41"/>
      <c r="D139" s="241"/>
      <c r="E139" s="241"/>
      <c r="F139" s="241"/>
      <c r="G139" s="241"/>
      <c r="H139" s="24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41"/>
      <c r="D140" s="241"/>
      <c r="E140" s="241"/>
      <c r="F140" s="241"/>
      <c r="G140" s="241"/>
      <c r="H140" s="24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41"/>
      <c r="D141" s="241"/>
      <c r="E141" s="241"/>
      <c r="F141" s="241"/>
      <c r="G141" s="241"/>
      <c r="H141" s="24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41"/>
      <c r="D142" s="241"/>
      <c r="E142" s="241"/>
      <c r="F142" s="241"/>
      <c r="G142" s="241"/>
      <c r="H142" s="24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41"/>
      <c r="D143" s="241"/>
      <c r="E143" s="241"/>
      <c r="F143" s="241"/>
      <c r="G143" s="241"/>
      <c r="H143" s="24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41"/>
      <c r="D144" s="241"/>
      <c r="E144" s="241"/>
      <c r="F144" s="241"/>
      <c r="G144" s="241"/>
      <c r="H144" s="24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41"/>
      <c r="D145" s="241"/>
      <c r="E145" s="241"/>
      <c r="F145" s="241"/>
      <c r="G145" s="241"/>
      <c r="H145" s="24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41"/>
      <c r="D146" s="241"/>
      <c r="E146" s="241"/>
      <c r="F146" s="241"/>
      <c r="G146" s="241"/>
      <c r="H146" s="24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41"/>
      <c r="D147" s="241"/>
      <c r="E147" s="241"/>
      <c r="F147" s="241"/>
      <c r="G147" s="241"/>
      <c r="H147" s="24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41"/>
      <c r="D148" s="241"/>
      <c r="E148" s="241"/>
      <c r="F148" s="241"/>
      <c r="G148" s="241"/>
      <c r="H148" s="24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41"/>
      <c r="D149" s="241"/>
      <c r="E149" s="241"/>
      <c r="F149" s="241"/>
      <c r="G149" s="241"/>
      <c r="H149" s="24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41"/>
      <c r="D150" s="241"/>
      <c r="E150" s="241"/>
      <c r="F150" s="241"/>
      <c r="G150" s="241"/>
      <c r="H150" s="24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41"/>
      <c r="D151" s="241"/>
      <c r="E151" s="241"/>
      <c r="F151" s="241"/>
      <c r="G151" s="241"/>
      <c r="H151" s="24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41"/>
      <c r="D152" s="241"/>
      <c r="E152" s="241"/>
      <c r="F152" s="241"/>
      <c r="G152" s="241"/>
      <c r="H152" s="24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41"/>
      <c r="D153" s="241"/>
      <c r="E153" s="241"/>
      <c r="F153" s="241"/>
      <c r="G153" s="241"/>
      <c r="H153" s="24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41"/>
      <c r="D154" s="241"/>
      <c r="E154" s="241"/>
      <c r="F154" s="241"/>
      <c r="G154" s="241"/>
      <c r="H154" s="24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41"/>
      <c r="D155" s="241"/>
      <c r="E155" s="241"/>
      <c r="F155" s="241"/>
      <c r="G155" s="241"/>
      <c r="H155" s="24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41"/>
      <c r="D156" s="241"/>
      <c r="E156" s="241"/>
      <c r="F156" s="241"/>
      <c r="G156" s="241"/>
      <c r="H156" s="24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41"/>
      <c r="D157" s="241"/>
      <c r="E157" s="241"/>
      <c r="F157" s="241"/>
      <c r="G157" s="241"/>
      <c r="H157" s="24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41"/>
      <c r="D158" s="241"/>
      <c r="E158" s="241"/>
      <c r="F158" s="241"/>
      <c r="G158" s="241"/>
      <c r="H158" s="24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41"/>
      <c r="D159" s="241"/>
      <c r="E159" s="241"/>
      <c r="F159" s="241"/>
      <c r="G159" s="241"/>
      <c r="H159" s="24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41"/>
      <c r="D160" s="241"/>
      <c r="E160" s="241"/>
      <c r="F160" s="241"/>
      <c r="G160" s="241"/>
      <c r="H160" s="24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41"/>
      <c r="D161" s="241"/>
      <c r="E161" s="241"/>
      <c r="F161" s="241"/>
      <c r="G161" s="241"/>
      <c r="H161" s="24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41"/>
      <c r="D162" s="241"/>
      <c r="E162" s="241"/>
      <c r="F162" s="241"/>
      <c r="G162" s="241"/>
      <c r="H162" s="24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41"/>
      <c r="D163" s="241"/>
      <c r="E163" s="241"/>
      <c r="F163" s="241"/>
      <c r="G163" s="241"/>
      <c r="H163" s="24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41"/>
      <c r="D164" s="241"/>
      <c r="E164" s="241"/>
      <c r="F164" s="241"/>
      <c r="G164" s="241"/>
      <c r="H164" s="24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41"/>
      <c r="D165" s="241"/>
      <c r="E165" s="241"/>
      <c r="F165" s="241"/>
      <c r="G165" s="241"/>
      <c r="H165" s="24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41"/>
      <c r="D166" s="241"/>
      <c r="E166" s="241"/>
      <c r="F166" s="241"/>
      <c r="G166" s="241"/>
      <c r="H166" s="24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41"/>
      <c r="D167" s="241"/>
      <c r="E167" s="241"/>
      <c r="F167" s="241"/>
      <c r="G167" s="241"/>
      <c r="H167" s="24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41"/>
      <c r="D168" s="241"/>
      <c r="E168" s="241"/>
      <c r="F168" s="241"/>
      <c r="G168" s="241"/>
      <c r="H168" s="24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41"/>
      <c r="D169" s="241"/>
      <c r="E169" s="241"/>
      <c r="F169" s="241"/>
      <c r="G169" s="241"/>
      <c r="H169" s="24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42"/>
      <c r="D170" s="242"/>
      <c r="E170" s="242"/>
      <c r="F170" s="242"/>
      <c r="G170" s="242"/>
      <c r="H170" s="24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42"/>
      <c r="D171" s="242"/>
      <c r="E171" s="242"/>
      <c r="F171" s="242"/>
      <c r="G171" s="242"/>
      <c r="H171" s="24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42"/>
      <c r="D172" s="242"/>
      <c r="E172" s="242"/>
      <c r="F172" s="242"/>
      <c r="G172" s="242"/>
      <c r="H172" s="24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42"/>
      <c r="D173" s="242"/>
      <c r="E173" s="242"/>
      <c r="F173" s="242"/>
      <c r="G173" s="242"/>
      <c r="H173" s="24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42"/>
      <c r="D174" s="242"/>
      <c r="E174" s="242"/>
      <c r="F174" s="242"/>
      <c r="G174" s="242"/>
      <c r="H174" s="24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42"/>
      <c r="D175" s="242"/>
      <c r="E175" s="242"/>
      <c r="F175" s="242"/>
      <c r="G175" s="242"/>
      <c r="H175" s="24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42"/>
      <c r="D176" s="242"/>
      <c r="E176" s="242"/>
      <c r="F176" s="242"/>
      <c r="G176" s="242"/>
      <c r="H176" s="24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42"/>
      <c r="D177" s="242"/>
      <c r="E177" s="242"/>
      <c r="F177" s="242"/>
      <c r="G177" s="242"/>
      <c r="H177" s="24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42"/>
      <c r="D178" s="242"/>
      <c r="E178" s="242"/>
      <c r="F178" s="242"/>
      <c r="G178" s="242"/>
      <c r="H178" s="24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42"/>
      <c r="D179" s="242"/>
      <c r="E179" s="242"/>
      <c r="F179" s="242"/>
      <c r="G179" s="242"/>
      <c r="H179" s="24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42"/>
      <c r="D180" s="242"/>
      <c r="E180" s="242"/>
      <c r="F180" s="242"/>
      <c r="G180" s="242"/>
      <c r="H180" s="24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42"/>
      <c r="D181" s="242"/>
      <c r="E181" s="242"/>
      <c r="F181" s="242"/>
      <c r="G181" s="242"/>
      <c r="H181" s="24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42"/>
      <c r="D182" s="242"/>
      <c r="E182" s="242"/>
      <c r="F182" s="242"/>
      <c r="G182" s="242"/>
      <c r="H182" s="24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42"/>
      <c r="D183" s="242"/>
      <c r="E183" s="242"/>
      <c r="F183" s="242"/>
      <c r="G183" s="242"/>
      <c r="H183" s="24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42"/>
      <c r="D184" s="242"/>
      <c r="E184" s="242"/>
      <c r="F184" s="242"/>
      <c r="G184" s="242"/>
      <c r="H184" s="24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42"/>
      <c r="D185" s="242"/>
      <c r="E185" s="242"/>
      <c r="F185" s="242"/>
      <c r="G185" s="242"/>
      <c r="H185" s="24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42"/>
      <c r="D186" s="242"/>
      <c r="E186" s="242"/>
      <c r="F186" s="242"/>
      <c r="G186" s="242"/>
      <c r="H186" s="24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42"/>
      <c r="D187" s="242"/>
      <c r="E187" s="242"/>
      <c r="F187" s="242"/>
      <c r="G187" s="242"/>
      <c r="H187" s="24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42"/>
      <c r="D188" s="242"/>
      <c r="E188" s="242"/>
      <c r="F188" s="242"/>
      <c r="G188" s="242"/>
      <c r="H188" s="24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42"/>
      <c r="D189" s="242"/>
      <c r="E189" s="242"/>
      <c r="F189" s="242"/>
      <c r="G189" s="242"/>
      <c r="H189" s="24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42"/>
      <c r="D190" s="242"/>
      <c r="E190" s="242"/>
      <c r="F190" s="242"/>
      <c r="G190" s="242"/>
      <c r="H190" s="24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42"/>
      <c r="D191" s="242"/>
      <c r="E191" s="242"/>
      <c r="F191" s="242"/>
      <c r="G191" s="242"/>
      <c r="H191" s="24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42"/>
      <c r="D192" s="242"/>
      <c r="E192" s="242"/>
      <c r="F192" s="242"/>
      <c r="G192" s="242"/>
      <c r="H192" s="24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42"/>
      <c r="D193" s="242"/>
      <c r="E193" s="242"/>
      <c r="F193" s="242"/>
      <c r="G193" s="242"/>
      <c r="H193" s="24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42"/>
      <c r="D194" s="242"/>
      <c r="E194" s="242"/>
      <c r="F194" s="242"/>
      <c r="G194" s="242"/>
      <c r="H194" s="24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42"/>
      <c r="D195" s="242"/>
      <c r="E195" s="242"/>
      <c r="F195" s="242"/>
      <c r="G195" s="242"/>
      <c r="H195" s="24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42"/>
      <c r="D196" s="242"/>
      <c r="E196" s="242"/>
      <c r="F196" s="242"/>
      <c r="G196" s="242"/>
      <c r="H196" s="24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42"/>
      <c r="D197" s="242"/>
      <c r="E197" s="242"/>
      <c r="F197" s="242"/>
      <c r="G197" s="242"/>
      <c r="H197" s="24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42"/>
      <c r="D198" s="242"/>
      <c r="E198" s="242"/>
      <c r="F198" s="242"/>
      <c r="G198" s="242"/>
      <c r="H198" s="24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42"/>
      <c r="D199" s="242"/>
      <c r="E199" s="242"/>
      <c r="F199" s="242"/>
      <c r="G199" s="242"/>
      <c r="H199" s="24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42"/>
      <c r="D200" s="242"/>
      <c r="E200" s="242"/>
      <c r="F200" s="242"/>
      <c r="G200" s="242"/>
      <c r="H200" s="24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42"/>
      <c r="D201" s="242"/>
      <c r="E201" s="242"/>
      <c r="F201" s="242"/>
      <c r="G201" s="242"/>
      <c r="H201" s="24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42"/>
      <c r="D202" s="242"/>
      <c r="E202" s="242"/>
      <c r="F202" s="242"/>
      <c r="G202" s="242"/>
      <c r="H202" s="24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42"/>
      <c r="D203" s="242"/>
      <c r="E203" s="242"/>
      <c r="F203" s="242"/>
      <c r="G203" s="242"/>
      <c r="H203" s="24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42"/>
      <c r="D204" s="242"/>
      <c r="E204" s="242"/>
      <c r="F204" s="242"/>
      <c r="G204" s="242"/>
      <c r="H204" s="24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42"/>
      <c r="D205" s="242"/>
      <c r="E205" s="242"/>
      <c r="F205" s="242"/>
      <c r="G205" s="242"/>
      <c r="H205" s="24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42"/>
      <c r="D206" s="242"/>
      <c r="E206" s="242"/>
      <c r="F206" s="242"/>
      <c r="G206" s="242"/>
      <c r="H206" s="24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42"/>
      <c r="D207" s="242"/>
      <c r="E207" s="242"/>
      <c r="F207" s="242"/>
      <c r="G207" s="242"/>
      <c r="H207" s="24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42"/>
      <c r="D208" s="242"/>
      <c r="E208" s="242"/>
      <c r="F208" s="242"/>
      <c r="G208" s="242"/>
      <c r="H208" s="24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42"/>
      <c r="D209" s="242"/>
      <c r="E209" s="242"/>
      <c r="F209" s="242"/>
      <c r="G209" s="242"/>
      <c r="H209" s="24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42"/>
      <c r="D210" s="242"/>
      <c r="E210" s="242"/>
      <c r="F210" s="242"/>
      <c r="G210" s="242"/>
      <c r="H210" s="24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42"/>
      <c r="D211" s="242"/>
      <c r="E211" s="242"/>
      <c r="F211" s="242"/>
      <c r="G211" s="242"/>
      <c r="H211" s="24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42"/>
      <c r="D212" s="242"/>
      <c r="E212" s="242"/>
      <c r="F212" s="242"/>
      <c r="G212" s="242"/>
      <c r="H212" s="24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42"/>
      <c r="D213" s="242"/>
      <c r="E213" s="242"/>
      <c r="F213" s="242"/>
      <c r="G213" s="242"/>
      <c r="H213" s="24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42"/>
      <c r="D214" s="242"/>
      <c r="E214" s="242"/>
      <c r="F214" s="242"/>
      <c r="G214" s="242"/>
      <c r="H214" s="24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42"/>
      <c r="D215" s="242"/>
      <c r="E215" s="242"/>
      <c r="F215" s="242"/>
      <c r="G215" s="242"/>
      <c r="H215" s="24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42"/>
      <c r="D216" s="242"/>
      <c r="E216" s="242"/>
      <c r="F216" s="242"/>
      <c r="G216" s="242"/>
      <c r="H216" s="24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42"/>
      <c r="D217" s="242"/>
      <c r="E217" s="242"/>
      <c r="F217" s="242"/>
      <c r="G217" s="242"/>
      <c r="H217" s="24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42"/>
      <c r="D218" s="242"/>
      <c r="E218" s="242"/>
      <c r="F218" s="242"/>
      <c r="G218" s="242"/>
      <c r="H218" s="24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42"/>
      <c r="D219" s="242"/>
      <c r="E219" s="242"/>
      <c r="F219" s="242"/>
      <c r="G219" s="242"/>
      <c r="H219" s="24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42"/>
      <c r="D220" s="242"/>
      <c r="E220" s="242"/>
      <c r="F220" s="242"/>
      <c r="G220" s="242"/>
      <c r="H220" s="24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42"/>
      <c r="D221" s="242"/>
      <c r="E221" s="242"/>
      <c r="F221" s="242"/>
      <c r="G221" s="242"/>
      <c r="H221" s="24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42"/>
      <c r="D222" s="242"/>
      <c r="E222" s="242"/>
      <c r="F222" s="242"/>
      <c r="G222" s="242"/>
      <c r="H222" s="24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42"/>
      <c r="D223" s="242"/>
      <c r="E223" s="242"/>
      <c r="F223" s="242"/>
      <c r="G223" s="242"/>
      <c r="H223" s="24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42"/>
      <c r="D224" s="242"/>
      <c r="E224" s="242"/>
      <c r="F224" s="242"/>
      <c r="G224" s="242"/>
      <c r="H224" s="24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42"/>
      <c r="D225" s="242"/>
      <c r="E225" s="242"/>
      <c r="F225" s="242"/>
      <c r="G225" s="242"/>
      <c r="H225" s="24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42"/>
      <c r="D226" s="242"/>
      <c r="E226" s="242"/>
      <c r="F226" s="242"/>
      <c r="G226" s="242"/>
      <c r="H226" s="24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42"/>
      <c r="D227" s="242"/>
      <c r="E227" s="242"/>
      <c r="F227" s="242"/>
      <c r="G227" s="242"/>
      <c r="H227" s="24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42"/>
      <c r="D228" s="242"/>
      <c r="E228" s="242"/>
      <c r="F228" s="242"/>
      <c r="G228" s="242"/>
      <c r="H228" s="24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42"/>
      <c r="D229" s="242"/>
      <c r="E229" s="242"/>
      <c r="F229" s="242"/>
      <c r="G229" s="242"/>
      <c r="H229" s="24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42"/>
      <c r="D230" s="242"/>
      <c r="E230" s="242"/>
      <c r="F230" s="242"/>
      <c r="G230" s="242"/>
      <c r="H230" s="24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42"/>
      <c r="D231" s="242"/>
      <c r="E231" s="242"/>
      <c r="F231" s="242"/>
      <c r="G231" s="242"/>
      <c r="H231" s="24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42"/>
      <c r="D232" s="242"/>
      <c r="E232" s="242"/>
      <c r="F232" s="242"/>
      <c r="G232" s="242"/>
      <c r="H232" s="24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42"/>
      <c r="D233" s="242"/>
      <c r="E233" s="242"/>
      <c r="F233" s="242"/>
      <c r="G233" s="242"/>
      <c r="H233" s="24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42"/>
      <c r="D234" s="242"/>
      <c r="E234" s="242"/>
      <c r="F234" s="242"/>
      <c r="G234" s="242"/>
      <c r="H234" s="24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42"/>
      <c r="D235" s="242"/>
      <c r="E235" s="242"/>
      <c r="F235" s="242"/>
      <c r="G235" s="242"/>
      <c r="H235" s="24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42"/>
      <c r="D236" s="242"/>
      <c r="E236" s="242"/>
      <c r="F236" s="242"/>
      <c r="G236" s="242"/>
      <c r="H236" s="24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42"/>
      <c r="D237" s="242"/>
      <c r="E237" s="242"/>
      <c r="F237" s="242"/>
      <c r="G237" s="242"/>
      <c r="H237" s="24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42"/>
      <c r="D238" s="242"/>
      <c r="E238" s="242"/>
      <c r="F238" s="242"/>
      <c r="G238" s="242"/>
      <c r="H238" s="24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42"/>
      <c r="D239" s="242"/>
      <c r="E239" s="242"/>
      <c r="F239" s="242"/>
      <c r="G239" s="242"/>
      <c r="H239" s="24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42"/>
      <c r="D240" s="242"/>
      <c r="E240" s="242"/>
      <c r="F240" s="242"/>
      <c r="G240" s="242"/>
      <c r="H240" s="24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42"/>
      <c r="D241" s="242"/>
      <c r="E241" s="242"/>
      <c r="F241" s="242"/>
      <c r="G241" s="242"/>
      <c r="H241" s="24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42"/>
      <c r="D242" s="242"/>
      <c r="E242" s="242"/>
      <c r="F242" s="242"/>
      <c r="G242" s="242"/>
      <c r="H242" s="24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42"/>
      <c r="D243" s="242"/>
      <c r="E243" s="242"/>
      <c r="F243" s="242"/>
      <c r="G243" s="242"/>
      <c r="H243" s="24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42"/>
      <c r="D244" s="242"/>
      <c r="E244" s="242"/>
      <c r="F244" s="242"/>
      <c r="G244" s="242"/>
      <c r="H244" s="24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42"/>
      <c r="D245" s="242"/>
      <c r="E245" s="242"/>
      <c r="F245" s="242"/>
      <c r="G245" s="242"/>
      <c r="H245" s="24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42"/>
      <c r="D246" s="242"/>
      <c r="E246" s="242"/>
      <c r="F246" s="242"/>
      <c r="G246" s="242"/>
      <c r="H246" s="24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42"/>
      <c r="D247" s="242"/>
      <c r="E247" s="242"/>
      <c r="F247" s="242"/>
      <c r="G247" s="242"/>
      <c r="H247" s="24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42"/>
      <c r="D248" s="242"/>
      <c r="E248" s="242"/>
      <c r="F248" s="242"/>
      <c r="G248" s="242"/>
      <c r="H248" s="24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42"/>
      <c r="D249" s="242"/>
      <c r="E249" s="242"/>
      <c r="F249" s="242"/>
      <c r="G249" s="242"/>
      <c r="H249" s="24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42"/>
      <c r="D250" s="242"/>
      <c r="E250" s="242"/>
      <c r="F250" s="242"/>
      <c r="G250" s="242"/>
      <c r="H250" s="24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42"/>
      <c r="D251" s="242"/>
      <c r="E251" s="242"/>
      <c r="F251" s="242"/>
      <c r="G251" s="242"/>
      <c r="H251" s="24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42"/>
      <c r="D252" s="242"/>
      <c r="E252" s="242"/>
      <c r="F252" s="242"/>
      <c r="G252" s="242"/>
      <c r="H252" s="24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42"/>
      <c r="D253" s="242"/>
      <c r="E253" s="242"/>
      <c r="F253" s="242"/>
      <c r="G253" s="242"/>
      <c r="H253" s="24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42"/>
      <c r="D254" s="242"/>
      <c r="E254" s="242"/>
      <c r="F254" s="242"/>
      <c r="G254" s="242"/>
      <c r="H254" s="24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42"/>
      <c r="D255" s="242"/>
      <c r="E255" s="242"/>
      <c r="F255" s="242"/>
      <c r="G255" s="242"/>
      <c r="H255" s="24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42"/>
      <c r="D256" s="242"/>
      <c r="E256" s="242"/>
      <c r="F256" s="242"/>
      <c r="G256" s="242"/>
      <c r="H256" s="24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42"/>
      <c r="D257" s="242"/>
      <c r="E257" s="242"/>
      <c r="F257" s="242"/>
      <c r="G257" s="242"/>
      <c r="H257" s="24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42"/>
      <c r="D258" s="242"/>
      <c r="E258" s="242"/>
      <c r="F258" s="242"/>
      <c r="G258" s="242"/>
      <c r="H258" s="24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42"/>
      <c r="D259" s="242"/>
      <c r="E259" s="242"/>
      <c r="F259" s="242"/>
      <c r="G259" s="242"/>
      <c r="H259" s="24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42"/>
      <c r="D260" s="242"/>
      <c r="E260" s="242"/>
      <c r="F260" s="242"/>
      <c r="G260" s="242"/>
      <c r="H260" s="24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42"/>
      <c r="D261" s="242"/>
      <c r="E261" s="242"/>
      <c r="F261" s="242"/>
      <c r="G261" s="242"/>
      <c r="H261" s="24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42"/>
      <c r="D262" s="242"/>
      <c r="E262" s="242"/>
      <c r="F262" s="242"/>
      <c r="G262" s="242"/>
      <c r="H262" s="24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42"/>
      <c r="D263" s="242"/>
      <c r="E263" s="242"/>
      <c r="F263" s="242"/>
      <c r="G263" s="242"/>
      <c r="H263" s="24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42"/>
      <c r="D264" s="242"/>
      <c r="E264" s="242"/>
      <c r="F264" s="242"/>
      <c r="G264" s="242"/>
      <c r="H264" s="24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42"/>
      <c r="D265" s="242"/>
      <c r="E265" s="242"/>
      <c r="F265" s="242"/>
      <c r="G265" s="242"/>
      <c r="H265" s="24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42"/>
      <c r="D266" s="242"/>
      <c r="E266" s="242"/>
      <c r="F266" s="242"/>
      <c r="G266" s="242"/>
      <c r="H266" s="24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42"/>
      <c r="D267" s="242"/>
      <c r="E267" s="242"/>
      <c r="F267" s="242"/>
      <c r="G267" s="242"/>
      <c r="H267" s="24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42"/>
      <c r="D268" s="242"/>
      <c r="E268" s="242"/>
      <c r="F268" s="242"/>
      <c r="G268" s="242"/>
      <c r="H268" s="24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42"/>
      <c r="D269" s="242"/>
      <c r="E269" s="242"/>
      <c r="F269" s="242"/>
      <c r="G269" s="242"/>
      <c r="H269" s="24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42"/>
      <c r="D270" s="242"/>
      <c r="E270" s="242"/>
      <c r="F270" s="242"/>
      <c r="G270" s="242"/>
      <c r="H270" s="24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42"/>
      <c r="D271" s="242"/>
      <c r="E271" s="242"/>
      <c r="F271" s="242"/>
      <c r="G271" s="242"/>
      <c r="H271" s="24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42"/>
      <c r="D272" s="242"/>
      <c r="E272" s="242"/>
      <c r="F272" s="242"/>
      <c r="G272" s="242"/>
      <c r="H272" s="24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42"/>
      <c r="D273" s="242"/>
      <c r="E273" s="242"/>
      <c r="F273" s="242"/>
      <c r="G273" s="242"/>
      <c r="H273" s="24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42"/>
      <c r="D274" s="242"/>
      <c r="E274" s="242"/>
      <c r="F274" s="242"/>
      <c r="G274" s="242"/>
      <c r="H274" s="24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42"/>
      <c r="D275" s="242"/>
      <c r="E275" s="242"/>
      <c r="F275" s="242"/>
      <c r="G275" s="242"/>
      <c r="H275" s="24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42"/>
      <c r="D276" s="242"/>
      <c r="E276" s="242"/>
      <c r="F276" s="242"/>
      <c r="G276" s="242"/>
      <c r="H276" s="24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42"/>
      <c r="D277" s="242"/>
      <c r="E277" s="242"/>
      <c r="F277" s="242"/>
      <c r="G277" s="242"/>
      <c r="H277" s="24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42"/>
      <c r="D278" s="242"/>
      <c r="E278" s="242"/>
      <c r="F278" s="242"/>
      <c r="G278" s="242"/>
      <c r="H278" s="24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42"/>
      <c r="D279" s="242"/>
      <c r="E279" s="242"/>
      <c r="F279" s="242"/>
      <c r="G279" s="242"/>
      <c r="H279" s="24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42"/>
      <c r="D280" s="242"/>
      <c r="E280" s="242"/>
      <c r="F280" s="242"/>
      <c r="G280" s="242"/>
      <c r="H280" s="24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42"/>
      <c r="D281" s="242"/>
      <c r="E281" s="242"/>
      <c r="F281" s="242"/>
      <c r="G281" s="242"/>
      <c r="H281" s="24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42"/>
      <c r="D282" s="242"/>
      <c r="E282" s="242"/>
      <c r="F282" s="242"/>
      <c r="G282" s="242"/>
      <c r="H282" s="24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42"/>
      <c r="D283" s="242"/>
      <c r="E283" s="242"/>
      <c r="F283" s="242"/>
      <c r="G283" s="242"/>
      <c r="H283" s="24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42"/>
      <c r="D284" s="242"/>
      <c r="E284" s="242"/>
      <c r="F284" s="242"/>
      <c r="G284" s="242"/>
      <c r="H284" s="24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42"/>
      <c r="D285" s="242"/>
      <c r="E285" s="242"/>
      <c r="F285" s="242"/>
      <c r="G285" s="242"/>
      <c r="H285" s="24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42"/>
      <c r="D286" s="242"/>
      <c r="E286" s="242"/>
      <c r="F286" s="242"/>
      <c r="G286" s="242"/>
      <c r="H286" s="24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42"/>
      <c r="D287" s="242"/>
      <c r="E287" s="242"/>
      <c r="F287" s="242"/>
      <c r="G287" s="242"/>
      <c r="H287" s="24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42"/>
      <c r="D288" s="242"/>
      <c r="E288" s="242"/>
      <c r="F288" s="242"/>
      <c r="G288" s="242"/>
      <c r="H288" s="24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42"/>
      <c r="D289" s="242"/>
      <c r="E289" s="242"/>
      <c r="F289" s="242"/>
      <c r="G289" s="242"/>
      <c r="H289" s="24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42"/>
      <c r="D290" s="242"/>
      <c r="E290" s="242"/>
      <c r="F290" s="242"/>
      <c r="G290" s="242"/>
      <c r="H290" s="24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42"/>
      <c r="D291" s="242"/>
      <c r="E291" s="242"/>
      <c r="F291" s="242"/>
      <c r="G291" s="242"/>
      <c r="H291" s="24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42"/>
      <c r="D292" s="242"/>
      <c r="E292" s="242"/>
      <c r="F292" s="242"/>
      <c r="G292" s="242"/>
      <c r="H292" s="24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42"/>
      <c r="D293" s="242"/>
      <c r="E293" s="242"/>
      <c r="F293" s="242"/>
      <c r="G293" s="242"/>
      <c r="H293" s="24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42"/>
      <c r="D294" s="242"/>
      <c r="E294" s="242"/>
      <c r="F294" s="242"/>
      <c r="G294" s="242"/>
      <c r="H294" s="24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42"/>
      <c r="D295" s="242"/>
      <c r="E295" s="242"/>
      <c r="F295" s="242"/>
      <c r="G295" s="242"/>
      <c r="H295" s="24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42"/>
      <c r="D296" s="242"/>
      <c r="E296" s="242"/>
      <c r="F296" s="242"/>
      <c r="G296" s="242"/>
      <c r="H296" s="24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42"/>
      <c r="D297" s="242"/>
      <c r="E297" s="242"/>
      <c r="F297" s="242"/>
      <c r="G297" s="242"/>
      <c r="H297" s="24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42"/>
      <c r="D298" s="242"/>
      <c r="E298" s="242"/>
      <c r="F298" s="242"/>
      <c r="G298" s="242"/>
      <c r="H298" s="24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42"/>
      <c r="D299" s="242"/>
      <c r="E299" s="242"/>
      <c r="F299" s="242"/>
      <c r="G299" s="242"/>
      <c r="H299" s="24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42"/>
      <c r="D300" s="242"/>
      <c r="E300" s="242"/>
      <c r="F300" s="242"/>
      <c r="G300" s="242"/>
      <c r="H300" s="24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42"/>
      <c r="D301" s="242"/>
      <c r="E301" s="242"/>
      <c r="F301" s="242"/>
      <c r="G301" s="242"/>
      <c r="H301" s="24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42"/>
      <c r="D302" s="242"/>
      <c r="E302" s="242"/>
      <c r="F302" s="242"/>
      <c r="G302" s="242"/>
      <c r="H302" s="24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42"/>
      <c r="D303" s="242"/>
      <c r="E303" s="242"/>
      <c r="F303" s="242"/>
      <c r="G303" s="242"/>
      <c r="H303" s="24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42"/>
      <c r="D304" s="242"/>
      <c r="E304" s="242"/>
      <c r="F304" s="242"/>
      <c r="G304" s="242"/>
      <c r="H304" s="24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42"/>
      <c r="D305" s="242"/>
      <c r="E305" s="242"/>
      <c r="F305" s="242"/>
      <c r="G305" s="242"/>
      <c r="H305" s="24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42"/>
      <c r="D306" s="242"/>
      <c r="E306" s="242"/>
      <c r="F306" s="242"/>
      <c r="G306" s="242"/>
      <c r="H306" s="24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42"/>
      <c r="D307" s="242"/>
      <c r="E307" s="242"/>
      <c r="F307" s="242"/>
      <c r="G307" s="242"/>
      <c r="H307" s="24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42"/>
      <c r="D308" s="242"/>
      <c r="E308" s="242"/>
      <c r="F308" s="242"/>
      <c r="G308" s="242"/>
      <c r="H308" s="24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42"/>
      <c r="D309" s="242"/>
      <c r="E309" s="242"/>
      <c r="F309" s="242"/>
      <c r="G309" s="242"/>
      <c r="H309" s="24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42"/>
      <c r="D310" s="242"/>
      <c r="E310" s="242"/>
      <c r="F310" s="242"/>
      <c r="G310" s="242"/>
      <c r="H310" s="24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42"/>
      <c r="D311" s="242"/>
      <c r="E311" s="242"/>
      <c r="F311" s="242"/>
      <c r="G311" s="242"/>
      <c r="H311" s="24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42"/>
      <c r="D312" s="242"/>
      <c r="E312" s="242"/>
      <c r="F312" s="242"/>
      <c r="G312" s="242"/>
      <c r="H312" s="24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42"/>
      <c r="D313" s="242"/>
      <c r="E313" s="242"/>
      <c r="F313" s="242"/>
      <c r="G313" s="242"/>
      <c r="H313" s="24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42"/>
      <c r="D314" s="242"/>
      <c r="E314" s="242"/>
      <c r="F314" s="242"/>
      <c r="G314" s="242"/>
      <c r="H314" s="24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42"/>
      <c r="D315" s="242"/>
      <c r="E315" s="242"/>
      <c r="F315" s="242"/>
      <c r="G315" s="242"/>
      <c r="H315" s="24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42"/>
      <c r="D316" s="242"/>
      <c r="E316" s="242"/>
      <c r="F316" s="242"/>
      <c r="G316" s="242"/>
      <c r="H316" s="24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42"/>
      <c r="D317" s="242"/>
      <c r="E317" s="242"/>
      <c r="F317" s="242"/>
      <c r="G317" s="242"/>
      <c r="H317" s="24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42"/>
      <c r="D318" s="242"/>
      <c r="E318" s="242"/>
      <c r="F318" s="242"/>
      <c r="G318" s="242"/>
      <c r="H318" s="24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42"/>
      <c r="D319" s="242"/>
      <c r="E319" s="242"/>
      <c r="F319" s="242"/>
      <c r="G319" s="242"/>
      <c r="H319" s="24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42"/>
      <c r="D320" s="242"/>
      <c r="E320" s="242"/>
      <c r="F320" s="242"/>
      <c r="G320" s="242"/>
      <c r="H320" s="24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42"/>
      <c r="D321" s="242"/>
      <c r="E321" s="242"/>
      <c r="F321" s="242"/>
      <c r="G321" s="242"/>
      <c r="H321" s="24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42"/>
      <c r="D322" s="242"/>
      <c r="E322" s="242"/>
      <c r="F322" s="242"/>
      <c r="G322" s="242"/>
      <c r="H322" s="24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42"/>
      <c r="D323" s="242"/>
      <c r="E323" s="242"/>
      <c r="F323" s="242"/>
      <c r="G323" s="242"/>
      <c r="H323" s="24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42"/>
      <c r="D324" s="242"/>
      <c r="E324" s="242"/>
      <c r="F324" s="242"/>
      <c r="G324" s="242"/>
      <c r="H324" s="24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42"/>
      <c r="D325" s="242"/>
      <c r="E325" s="242"/>
      <c r="F325" s="242"/>
      <c r="G325" s="242"/>
      <c r="H325" s="24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42"/>
      <c r="D326" s="242"/>
      <c r="E326" s="242"/>
      <c r="F326" s="242"/>
      <c r="G326" s="242"/>
      <c r="H326" s="24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42"/>
      <c r="D327" s="242"/>
      <c r="E327" s="242"/>
      <c r="F327" s="242"/>
      <c r="G327" s="242"/>
      <c r="H327" s="24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42"/>
      <c r="D328" s="242"/>
      <c r="E328" s="242"/>
      <c r="F328" s="242"/>
      <c r="G328" s="242"/>
      <c r="H328" s="24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42"/>
      <c r="D329" s="242"/>
      <c r="E329" s="242"/>
      <c r="F329" s="242"/>
      <c r="G329" s="242"/>
      <c r="H329" s="24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42"/>
      <c r="D330" s="242"/>
      <c r="E330" s="242"/>
      <c r="F330" s="242"/>
      <c r="G330" s="242"/>
      <c r="H330" s="24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42"/>
      <c r="D331" s="242"/>
      <c r="E331" s="242"/>
      <c r="F331" s="242"/>
      <c r="G331" s="242"/>
      <c r="H331" s="24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42"/>
      <c r="D332" s="242"/>
      <c r="E332" s="242"/>
      <c r="F332" s="242"/>
      <c r="G332" s="242"/>
      <c r="H332" s="24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42"/>
      <c r="D333" s="242"/>
      <c r="E333" s="242"/>
      <c r="F333" s="242"/>
      <c r="G333" s="242"/>
      <c r="H333" s="24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42"/>
      <c r="D334" s="242"/>
      <c r="E334" s="242"/>
      <c r="F334" s="242"/>
      <c r="G334" s="242"/>
      <c r="H334" s="24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42"/>
      <c r="D335" s="242"/>
      <c r="E335" s="242"/>
      <c r="F335" s="242"/>
      <c r="G335" s="242"/>
      <c r="H335" s="24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42"/>
      <c r="D336" s="242"/>
      <c r="E336" s="242"/>
      <c r="F336" s="242"/>
      <c r="G336" s="242"/>
      <c r="H336" s="24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42"/>
      <c r="D337" s="242"/>
      <c r="E337" s="242"/>
      <c r="F337" s="242"/>
      <c r="G337" s="242"/>
      <c r="H337" s="24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42"/>
      <c r="D338" s="242"/>
      <c r="E338" s="242"/>
      <c r="F338" s="242"/>
      <c r="G338" s="242"/>
      <c r="H338" s="24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42"/>
      <c r="D339" s="242"/>
      <c r="E339" s="242"/>
      <c r="F339" s="242"/>
      <c r="G339" s="242"/>
      <c r="H339" s="24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42"/>
      <c r="D340" s="242"/>
      <c r="E340" s="242"/>
      <c r="F340" s="242"/>
      <c r="G340" s="242"/>
      <c r="H340" s="24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42"/>
      <c r="D341" s="242"/>
      <c r="E341" s="242"/>
      <c r="F341" s="242"/>
      <c r="G341" s="242"/>
      <c r="H341" s="24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42"/>
      <c r="D342" s="242"/>
      <c r="E342" s="242"/>
      <c r="F342" s="242"/>
      <c r="G342" s="242"/>
      <c r="H342" s="24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42"/>
      <c r="D343" s="242"/>
      <c r="E343" s="242"/>
      <c r="F343" s="242"/>
      <c r="G343" s="242"/>
      <c r="H343" s="24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42"/>
      <c r="D344" s="242"/>
      <c r="E344" s="242"/>
      <c r="F344" s="242"/>
      <c r="G344" s="242"/>
      <c r="H344" s="24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42"/>
      <c r="D345" s="242"/>
      <c r="E345" s="242"/>
      <c r="F345" s="242"/>
      <c r="G345" s="242"/>
      <c r="H345" s="24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42"/>
      <c r="D346" s="242"/>
      <c r="E346" s="242"/>
      <c r="F346" s="242"/>
      <c r="G346" s="242"/>
      <c r="H346" s="24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42"/>
      <c r="D347" s="242"/>
      <c r="E347" s="242"/>
      <c r="F347" s="242"/>
      <c r="G347" s="242"/>
      <c r="H347" s="24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42"/>
      <c r="D348" s="242"/>
      <c r="E348" s="242"/>
      <c r="F348" s="242"/>
      <c r="G348" s="242"/>
      <c r="H348" s="24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42"/>
      <c r="D349" s="242"/>
      <c r="E349" s="242"/>
      <c r="F349" s="242"/>
      <c r="G349" s="242"/>
      <c r="H349" s="24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42"/>
      <c r="D350" s="242"/>
      <c r="E350" s="242"/>
      <c r="F350" s="242"/>
      <c r="G350" s="242"/>
      <c r="H350" s="24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42"/>
      <c r="D351" s="242"/>
      <c r="E351" s="242"/>
      <c r="F351" s="242"/>
      <c r="G351" s="242"/>
      <c r="H351" s="24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42"/>
      <c r="D352" s="242"/>
      <c r="E352" s="242"/>
      <c r="F352" s="242"/>
      <c r="G352" s="242"/>
      <c r="H352" s="24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42"/>
      <c r="D353" s="242"/>
      <c r="E353" s="242"/>
      <c r="F353" s="242"/>
      <c r="G353" s="242"/>
      <c r="H353" s="24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42"/>
      <c r="D354" s="242"/>
      <c r="E354" s="242"/>
      <c r="F354" s="242"/>
      <c r="G354" s="242"/>
      <c r="H354" s="24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42"/>
      <c r="D355" s="242"/>
      <c r="E355" s="242"/>
      <c r="F355" s="242"/>
      <c r="G355" s="242"/>
      <c r="H355" s="24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42"/>
      <c r="D356" s="242"/>
      <c r="E356" s="242"/>
      <c r="F356" s="242"/>
      <c r="G356" s="242"/>
      <c r="H356" s="24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42"/>
      <c r="D357" s="242"/>
      <c r="E357" s="242"/>
      <c r="F357" s="242"/>
      <c r="G357" s="242"/>
      <c r="H357" s="24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42"/>
      <c r="D358" s="242"/>
      <c r="E358" s="242"/>
      <c r="F358" s="242"/>
      <c r="G358" s="242"/>
      <c r="H358" s="24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42"/>
      <c r="D359" s="242"/>
      <c r="E359" s="242"/>
      <c r="F359" s="242"/>
      <c r="G359" s="242"/>
      <c r="H359" s="24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42"/>
      <c r="D360" s="242"/>
      <c r="E360" s="242"/>
      <c r="F360" s="242"/>
      <c r="G360" s="242"/>
      <c r="H360" s="24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42"/>
      <c r="D361" s="242"/>
      <c r="E361" s="242"/>
      <c r="F361" s="242"/>
      <c r="G361" s="242"/>
      <c r="H361" s="24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42"/>
      <c r="D362" s="242"/>
      <c r="E362" s="242"/>
      <c r="F362" s="242"/>
      <c r="G362" s="242"/>
      <c r="H362" s="24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42"/>
      <c r="D363" s="242"/>
      <c r="E363" s="242"/>
      <c r="F363" s="242"/>
      <c r="G363" s="242"/>
      <c r="H363" s="24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42"/>
      <c r="D364" s="242"/>
      <c r="E364" s="242"/>
      <c r="F364" s="242"/>
      <c r="G364" s="242"/>
      <c r="H364" s="24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42"/>
      <c r="D365" s="242"/>
      <c r="E365" s="242"/>
      <c r="F365" s="242"/>
      <c r="G365" s="242"/>
      <c r="H365" s="24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42"/>
      <c r="D366" s="242"/>
      <c r="E366" s="242"/>
      <c r="F366" s="242"/>
      <c r="G366" s="242"/>
      <c r="H366" s="24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42"/>
      <c r="D367" s="242"/>
      <c r="E367" s="242"/>
      <c r="F367" s="242"/>
      <c r="G367" s="242"/>
      <c r="H367" s="24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42"/>
      <c r="D368" s="242"/>
      <c r="E368" s="242"/>
      <c r="F368" s="242"/>
      <c r="G368" s="242"/>
      <c r="H368" s="24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42"/>
      <c r="D369" s="242"/>
      <c r="E369" s="242"/>
      <c r="F369" s="242"/>
      <c r="G369" s="242"/>
      <c r="H369" s="24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42"/>
      <c r="D370" s="242"/>
      <c r="E370" s="242"/>
      <c r="F370" s="242"/>
      <c r="G370" s="242"/>
      <c r="H370" s="24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42"/>
      <c r="D371" s="242"/>
      <c r="E371" s="242"/>
      <c r="F371" s="242"/>
      <c r="G371" s="242"/>
      <c r="H371" s="24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42"/>
      <c r="D372" s="242"/>
      <c r="E372" s="242"/>
      <c r="F372" s="242"/>
      <c r="G372" s="242"/>
      <c r="H372" s="24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42"/>
      <c r="D373" s="242"/>
      <c r="E373" s="242"/>
      <c r="F373" s="242"/>
      <c r="G373" s="242"/>
      <c r="H373" s="24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42"/>
      <c r="D374" s="242"/>
      <c r="E374" s="242"/>
      <c r="F374" s="242"/>
      <c r="G374" s="242"/>
      <c r="H374" s="24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42"/>
      <c r="D375" s="242"/>
      <c r="E375" s="242"/>
      <c r="F375" s="242"/>
      <c r="G375" s="242"/>
      <c r="H375" s="24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42"/>
      <c r="D376" s="242"/>
      <c r="E376" s="242"/>
      <c r="F376" s="242"/>
      <c r="G376" s="242"/>
      <c r="H376" s="24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42"/>
      <c r="D377" s="242"/>
      <c r="E377" s="242"/>
      <c r="F377" s="242"/>
      <c r="G377" s="242"/>
      <c r="H377" s="24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42"/>
      <c r="D378" s="242"/>
      <c r="E378" s="242"/>
      <c r="F378" s="242"/>
      <c r="G378" s="242"/>
      <c r="H378" s="24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42"/>
      <c r="D379" s="242"/>
      <c r="E379" s="242"/>
      <c r="F379" s="242"/>
      <c r="G379" s="242"/>
      <c r="H379" s="24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42"/>
      <c r="D380" s="242"/>
      <c r="E380" s="242"/>
      <c r="F380" s="242"/>
      <c r="G380" s="242"/>
      <c r="H380" s="24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42"/>
      <c r="D381" s="242"/>
      <c r="E381" s="242"/>
      <c r="F381" s="242"/>
      <c r="G381" s="242"/>
      <c r="H381" s="24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42"/>
      <c r="D382" s="242"/>
      <c r="E382" s="242"/>
      <c r="F382" s="242"/>
      <c r="G382" s="242"/>
      <c r="H382" s="24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42"/>
      <c r="D383" s="242"/>
      <c r="E383" s="242"/>
      <c r="F383" s="242"/>
      <c r="G383" s="242"/>
      <c r="H383" s="24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42"/>
      <c r="D384" s="242"/>
      <c r="E384" s="242"/>
      <c r="F384" s="242"/>
      <c r="G384" s="242"/>
      <c r="H384" s="24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42"/>
      <c r="D385" s="242"/>
      <c r="E385" s="242"/>
      <c r="F385" s="242"/>
      <c r="G385" s="242"/>
      <c r="H385" s="24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42"/>
      <c r="D386" s="242"/>
      <c r="E386" s="242"/>
      <c r="F386" s="242"/>
      <c r="G386" s="242"/>
      <c r="H386" s="24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42"/>
      <c r="D387" s="242"/>
      <c r="E387" s="242"/>
      <c r="F387" s="242"/>
      <c r="G387" s="242"/>
      <c r="H387" s="24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42"/>
      <c r="D388" s="242"/>
      <c r="E388" s="242"/>
      <c r="F388" s="242"/>
      <c r="G388" s="242"/>
      <c r="H388" s="24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42"/>
      <c r="D389" s="242"/>
      <c r="E389" s="242"/>
      <c r="F389" s="242"/>
      <c r="G389" s="242"/>
      <c r="H389" s="24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42"/>
      <c r="D390" s="242"/>
      <c r="E390" s="242"/>
      <c r="F390" s="242"/>
      <c r="G390" s="242"/>
      <c r="H390" s="24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42"/>
      <c r="D391" s="242"/>
      <c r="E391" s="242"/>
      <c r="F391" s="242"/>
      <c r="G391" s="242"/>
      <c r="H391" s="24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42"/>
      <c r="D392" s="242"/>
      <c r="E392" s="242"/>
      <c r="F392" s="242"/>
      <c r="G392" s="242"/>
      <c r="H392" s="24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42"/>
      <c r="D393" s="242"/>
      <c r="E393" s="242"/>
      <c r="F393" s="242"/>
      <c r="G393" s="242"/>
      <c r="H393" s="24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42"/>
      <c r="D394" s="242"/>
      <c r="E394" s="242"/>
      <c r="F394" s="242"/>
      <c r="G394" s="242"/>
      <c r="H394" s="24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42"/>
      <c r="D395" s="242"/>
      <c r="E395" s="242"/>
      <c r="F395" s="242"/>
      <c r="G395" s="242"/>
      <c r="H395" s="24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42"/>
      <c r="D396" s="242"/>
      <c r="E396" s="242"/>
      <c r="F396" s="242"/>
      <c r="G396" s="242"/>
      <c r="H396" s="24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42"/>
      <c r="D397" s="242"/>
      <c r="E397" s="242"/>
      <c r="F397" s="242"/>
      <c r="G397" s="242"/>
      <c r="H397" s="24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42"/>
      <c r="D398" s="242"/>
      <c r="E398" s="242"/>
      <c r="F398" s="242"/>
      <c r="G398" s="242"/>
      <c r="H398" s="24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42"/>
      <c r="D399" s="242"/>
      <c r="E399" s="242"/>
      <c r="F399" s="242"/>
      <c r="G399" s="242"/>
      <c r="H399" s="24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42"/>
      <c r="D400" s="242"/>
      <c r="E400" s="242"/>
      <c r="F400" s="242"/>
      <c r="G400" s="242"/>
      <c r="H400" s="24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42"/>
      <c r="D401" s="242"/>
      <c r="E401" s="242"/>
      <c r="F401" s="242"/>
      <c r="G401" s="242"/>
      <c r="H401" s="24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42"/>
      <c r="D402" s="242"/>
      <c r="E402" s="242"/>
      <c r="F402" s="242"/>
      <c r="G402" s="242"/>
      <c r="H402" s="24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42"/>
      <c r="D403" s="242"/>
      <c r="E403" s="242"/>
      <c r="F403" s="242"/>
      <c r="G403" s="242"/>
      <c r="H403" s="24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42"/>
      <c r="D404" s="242"/>
      <c r="E404" s="242"/>
      <c r="F404" s="242"/>
      <c r="G404" s="242"/>
      <c r="H404" s="24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42"/>
      <c r="D405" s="242"/>
      <c r="E405" s="242"/>
      <c r="F405" s="242"/>
      <c r="G405" s="242"/>
      <c r="H405" s="24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42"/>
      <c r="D406" s="242"/>
      <c r="E406" s="242"/>
      <c r="F406" s="242"/>
      <c r="G406" s="242"/>
      <c r="H406" s="24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42"/>
      <c r="D407" s="242"/>
      <c r="E407" s="242"/>
      <c r="F407" s="242"/>
      <c r="G407" s="242"/>
      <c r="H407" s="24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42"/>
      <c r="D408" s="242"/>
      <c r="E408" s="242"/>
      <c r="F408" s="242"/>
      <c r="G408" s="242"/>
      <c r="H408" s="24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42"/>
      <c r="D409" s="242"/>
      <c r="E409" s="242"/>
      <c r="F409" s="242"/>
      <c r="G409" s="242"/>
      <c r="H409" s="24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42"/>
      <c r="D410" s="242"/>
      <c r="E410" s="242"/>
      <c r="F410" s="242"/>
      <c r="G410" s="242"/>
      <c r="H410" s="24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42"/>
      <c r="D411" s="242"/>
      <c r="E411" s="242"/>
      <c r="F411" s="242"/>
      <c r="G411" s="242"/>
      <c r="H411" s="24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42"/>
      <c r="D412" s="242"/>
      <c r="E412" s="242"/>
      <c r="F412" s="242"/>
      <c r="G412" s="242"/>
      <c r="H412" s="24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42"/>
      <c r="D413" s="242"/>
      <c r="E413" s="242"/>
      <c r="F413" s="242"/>
      <c r="G413" s="242"/>
      <c r="H413" s="24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42"/>
      <c r="D414" s="242"/>
      <c r="E414" s="242"/>
      <c r="F414" s="242"/>
      <c r="G414" s="242"/>
      <c r="H414" s="24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42"/>
      <c r="D415" s="242"/>
      <c r="E415" s="242"/>
      <c r="F415" s="242"/>
      <c r="G415" s="242"/>
      <c r="H415" s="24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42"/>
      <c r="D416" s="242"/>
      <c r="E416" s="242"/>
      <c r="F416" s="242"/>
      <c r="G416" s="242"/>
      <c r="H416" s="24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42"/>
      <c r="D417" s="242"/>
      <c r="E417" s="242"/>
      <c r="F417" s="242"/>
      <c r="G417" s="242"/>
      <c r="H417" s="24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42"/>
      <c r="D418" s="242"/>
      <c r="E418" s="242"/>
      <c r="F418" s="242"/>
      <c r="G418" s="242"/>
      <c r="H418" s="24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42"/>
      <c r="D419" s="242"/>
      <c r="E419" s="242"/>
      <c r="F419" s="242"/>
      <c r="G419" s="242"/>
      <c r="H419" s="24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42"/>
      <c r="D420" s="242"/>
      <c r="E420" s="242"/>
      <c r="F420" s="242"/>
      <c r="G420" s="242"/>
      <c r="H420" s="24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42"/>
      <c r="D421" s="242"/>
      <c r="E421" s="242"/>
      <c r="F421" s="242"/>
      <c r="G421" s="242"/>
      <c r="H421" s="24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42"/>
      <c r="D422" s="242"/>
      <c r="E422" s="242"/>
      <c r="F422" s="242"/>
      <c r="G422" s="242"/>
      <c r="H422" s="24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42"/>
      <c r="D423" s="242"/>
      <c r="E423" s="242"/>
      <c r="F423" s="242"/>
      <c r="G423" s="242"/>
      <c r="H423" s="24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42"/>
      <c r="D424" s="242"/>
      <c r="E424" s="242"/>
      <c r="F424" s="242"/>
      <c r="G424" s="242"/>
      <c r="H424" s="24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42"/>
      <c r="D425" s="242"/>
      <c r="E425" s="242"/>
      <c r="F425" s="242"/>
      <c r="G425" s="242"/>
      <c r="H425" s="24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42"/>
      <c r="D426" s="242"/>
      <c r="E426" s="242"/>
      <c r="F426" s="242"/>
      <c r="G426" s="242"/>
      <c r="H426" s="24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42"/>
      <c r="D427" s="242"/>
      <c r="E427" s="242"/>
      <c r="F427" s="242"/>
      <c r="G427" s="242"/>
      <c r="H427" s="24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42"/>
      <c r="D428" s="242"/>
      <c r="E428" s="242"/>
      <c r="F428" s="242"/>
      <c r="G428" s="242"/>
      <c r="H428" s="24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42"/>
      <c r="D429" s="242"/>
      <c r="E429" s="242"/>
      <c r="F429" s="242"/>
      <c r="G429" s="242"/>
      <c r="H429" s="24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42"/>
      <c r="D430" s="242"/>
      <c r="E430" s="242"/>
      <c r="F430" s="242"/>
      <c r="G430" s="242"/>
      <c r="H430" s="24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42"/>
      <c r="D431" s="242"/>
      <c r="E431" s="242"/>
      <c r="F431" s="242"/>
      <c r="G431" s="242"/>
      <c r="H431" s="24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42"/>
      <c r="D432" s="242"/>
      <c r="E432" s="242"/>
      <c r="F432" s="242"/>
      <c r="G432" s="242"/>
      <c r="H432" s="24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42"/>
      <c r="D433" s="242"/>
      <c r="E433" s="242"/>
      <c r="F433" s="242"/>
      <c r="G433" s="242"/>
      <c r="H433" s="24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42"/>
      <c r="D434" s="242"/>
      <c r="E434" s="242"/>
      <c r="F434" s="242"/>
      <c r="G434" s="242"/>
      <c r="H434" s="24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42"/>
      <c r="D435" s="242"/>
      <c r="E435" s="242"/>
      <c r="F435" s="242"/>
      <c r="G435" s="242"/>
      <c r="H435" s="24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42"/>
      <c r="D436" s="242"/>
      <c r="E436" s="242"/>
      <c r="F436" s="242"/>
      <c r="G436" s="242"/>
      <c r="H436" s="24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42"/>
      <c r="D437" s="242"/>
      <c r="E437" s="242"/>
      <c r="F437" s="242"/>
      <c r="G437" s="242"/>
      <c r="H437" s="24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42"/>
      <c r="D438" s="242"/>
      <c r="E438" s="242"/>
      <c r="F438" s="242"/>
      <c r="G438" s="242"/>
      <c r="H438" s="24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42"/>
      <c r="D439" s="242"/>
      <c r="E439" s="242"/>
      <c r="F439" s="242"/>
      <c r="G439" s="242"/>
      <c r="H439" s="24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42"/>
      <c r="D440" s="242"/>
      <c r="E440" s="242"/>
      <c r="F440" s="242"/>
      <c r="G440" s="242"/>
      <c r="H440" s="24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42"/>
      <c r="D441" s="242"/>
      <c r="E441" s="242"/>
      <c r="F441" s="242"/>
      <c r="G441" s="242"/>
      <c r="H441" s="24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42"/>
      <c r="D442" s="242"/>
      <c r="E442" s="242"/>
      <c r="F442" s="242"/>
      <c r="G442" s="242"/>
      <c r="H442" s="24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42"/>
      <c r="D443" s="242"/>
      <c r="E443" s="242"/>
      <c r="F443" s="242"/>
      <c r="G443" s="242"/>
      <c r="H443" s="24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42"/>
      <c r="D444" s="242"/>
      <c r="E444" s="242"/>
      <c r="F444" s="242"/>
      <c r="G444" s="242"/>
      <c r="H444" s="24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42"/>
      <c r="D445" s="242"/>
      <c r="E445" s="242"/>
      <c r="F445" s="242"/>
      <c r="G445" s="242"/>
      <c r="H445" s="24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42"/>
      <c r="D446" s="242"/>
      <c r="E446" s="242"/>
      <c r="F446" s="242"/>
      <c r="G446" s="242"/>
      <c r="H446" s="24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42"/>
      <c r="D447" s="242"/>
      <c r="E447" s="242"/>
      <c r="F447" s="242"/>
      <c r="G447" s="242"/>
      <c r="H447" s="24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42"/>
      <c r="D448" s="242"/>
      <c r="E448" s="242"/>
      <c r="F448" s="242"/>
      <c r="G448" s="242"/>
      <c r="H448" s="24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42"/>
      <c r="D449" s="242"/>
      <c r="E449" s="242"/>
      <c r="F449" s="242"/>
      <c r="G449" s="242"/>
      <c r="H449" s="24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42"/>
      <c r="D450" s="242"/>
      <c r="E450" s="242"/>
      <c r="F450" s="242"/>
      <c r="G450" s="242"/>
      <c r="H450" s="24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42"/>
      <c r="D451" s="242"/>
      <c r="E451" s="242"/>
      <c r="F451" s="242"/>
      <c r="G451" s="242"/>
      <c r="H451" s="24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42"/>
      <c r="D452" s="242"/>
      <c r="E452" s="242"/>
      <c r="F452" s="242"/>
      <c r="G452" s="242"/>
      <c r="H452" s="24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42"/>
      <c r="D453" s="242"/>
      <c r="E453" s="242"/>
      <c r="F453" s="242"/>
      <c r="G453" s="242"/>
      <c r="H453" s="24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42"/>
      <c r="D454" s="242"/>
      <c r="E454" s="242"/>
      <c r="F454" s="242"/>
      <c r="G454" s="242"/>
      <c r="H454" s="24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42"/>
      <c r="D455" s="242"/>
      <c r="E455" s="242"/>
      <c r="F455" s="242"/>
      <c r="G455" s="242"/>
      <c r="H455" s="24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42"/>
      <c r="D456" s="242"/>
      <c r="E456" s="242"/>
      <c r="F456" s="242"/>
      <c r="G456" s="242"/>
      <c r="H456" s="24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42"/>
      <c r="D457" s="242"/>
      <c r="E457" s="242"/>
      <c r="F457" s="242"/>
      <c r="G457" s="242"/>
      <c r="H457" s="24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42"/>
      <c r="D458" s="242"/>
      <c r="E458" s="242"/>
      <c r="F458" s="242"/>
      <c r="G458" s="242"/>
      <c r="H458" s="24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42"/>
      <c r="D459" s="242"/>
      <c r="E459" s="242"/>
      <c r="F459" s="242"/>
      <c r="G459" s="242"/>
      <c r="H459" s="24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42"/>
      <c r="D460" s="242"/>
      <c r="E460" s="242"/>
      <c r="F460" s="242"/>
      <c r="G460" s="242"/>
      <c r="H460" s="24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42"/>
      <c r="D461" s="242"/>
      <c r="E461" s="242"/>
      <c r="F461" s="242"/>
      <c r="G461" s="242"/>
      <c r="H461" s="24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42"/>
      <c r="D462" s="242"/>
      <c r="E462" s="242"/>
      <c r="F462" s="242"/>
      <c r="G462" s="242"/>
      <c r="H462" s="24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42"/>
      <c r="D463" s="242"/>
      <c r="E463" s="242"/>
      <c r="F463" s="242"/>
      <c r="G463" s="242"/>
      <c r="H463" s="24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42"/>
      <c r="D464" s="242"/>
      <c r="E464" s="242"/>
      <c r="F464" s="242"/>
      <c r="G464" s="242"/>
      <c r="H464" s="24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42"/>
      <c r="D465" s="242"/>
      <c r="E465" s="242"/>
      <c r="F465" s="242"/>
      <c r="G465" s="242"/>
      <c r="H465" s="24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42"/>
      <c r="D466" s="242"/>
      <c r="E466" s="242"/>
      <c r="F466" s="242"/>
      <c r="G466" s="242"/>
      <c r="H466" s="24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42"/>
      <c r="D467" s="242"/>
      <c r="E467" s="242"/>
      <c r="F467" s="242"/>
      <c r="G467" s="242"/>
      <c r="H467" s="24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42"/>
      <c r="D468" s="242"/>
      <c r="E468" s="242"/>
      <c r="F468" s="242"/>
      <c r="G468" s="242"/>
      <c r="H468" s="24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42"/>
      <c r="D469" s="242"/>
      <c r="E469" s="242"/>
      <c r="F469" s="242"/>
      <c r="G469" s="242"/>
      <c r="H469" s="24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42"/>
      <c r="D470" s="242"/>
      <c r="E470" s="242"/>
      <c r="F470" s="242"/>
      <c r="G470" s="242"/>
      <c r="H470" s="24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42"/>
      <c r="D471" s="242"/>
      <c r="E471" s="242"/>
      <c r="F471" s="242"/>
      <c r="G471" s="242"/>
      <c r="H471" s="24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42"/>
      <c r="D472" s="242"/>
      <c r="E472" s="242"/>
      <c r="F472" s="242"/>
      <c r="G472" s="242"/>
      <c r="H472" s="24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42"/>
      <c r="D473" s="242"/>
      <c r="E473" s="242"/>
      <c r="F473" s="242"/>
      <c r="G473" s="242"/>
      <c r="H473" s="24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42"/>
      <c r="D474" s="242"/>
      <c r="E474" s="242"/>
      <c r="F474" s="242"/>
      <c r="G474" s="242"/>
      <c r="H474" s="24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42"/>
      <c r="D475" s="242"/>
      <c r="E475" s="242"/>
      <c r="F475" s="242"/>
      <c r="G475" s="242"/>
      <c r="H475" s="24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42"/>
      <c r="D476" s="242"/>
      <c r="E476" s="242"/>
      <c r="F476" s="242"/>
      <c r="G476" s="242"/>
      <c r="H476" s="24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42"/>
      <c r="D477" s="242"/>
      <c r="E477" s="242"/>
      <c r="F477" s="242"/>
      <c r="G477" s="242"/>
      <c r="H477" s="24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42"/>
      <c r="D478" s="242"/>
      <c r="E478" s="242"/>
      <c r="F478" s="242"/>
      <c r="G478" s="242"/>
      <c r="H478" s="24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42"/>
      <c r="D479" s="242"/>
      <c r="E479" s="242"/>
      <c r="F479" s="242"/>
      <c r="G479" s="242"/>
      <c r="H479" s="24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42"/>
      <c r="D480" s="242"/>
      <c r="E480" s="242"/>
      <c r="F480" s="242"/>
      <c r="G480" s="242"/>
      <c r="H480" s="24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42"/>
      <c r="D481" s="242"/>
      <c r="E481" s="242"/>
      <c r="F481" s="242"/>
      <c r="G481" s="242"/>
      <c r="H481" s="24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42"/>
      <c r="D482" s="242"/>
      <c r="E482" s="242"/>
      <c r="F482" s="242"/>
      <c r="G482" s="242"/>
      <c r="H482" s="24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42"/>
      <c r="D483" s="242"/>
      <c r="E483" s="242"/>
      <c r="F483" s="242"/>
      <c r="G483" s="242"/>
      <c r="H483" s="24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42"/>
      <c r="D484" s="242"/>
      <c r="E484" s="242"/>
      <c r="F484" s="242"/>
      <c r="G484" s="242"/>
      <c r="H484" s="24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42"/>
      <c r="D485" s="242"/>
      <c r="E485" s="242"/>
      <c r="F485" s="242"/>
      <c r="G485" s="242"/>
      <c r="H485" s="24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42"/>
      <c r="D486" s="242"/>
      <c r="E486" s="242"/>
      <c r="F486" s="242"/>
      <c r="G486" s="242"/>
      <c r="H486" s="24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42"/>
      <c r="D487" s="242"/>
      <c r="E487" s="242"/>
      <c r="F487" s="242"/>
      <c r="G487" s="242"/>
      <c r="H487" s="24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42"/>
      <c r="D488" s="242"/>
      <c r="E488" s="242"/>
      <c r="F488" s="242"/>
      <c r="G488" s="242"/>
      <c r="H488" s="24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42"/>
      <c r="D489" s="242"/>
      <c r="E489" s="242"/>
      <c r="F489" s="242"/>
      <c r="G489" s="242"/>
      <c r="H489" s="24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42"/>
      <c r="D490" s="242"/>
      <c r="E490" s="242"/>
      <c r="F490" s="242"/>
      <c r="G490" s="242"/>
      <c r="H490" s="24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42"/>
      <c r="D491" s="242"/>
      <c r="E491" s="242"/>
      <c r="F491" s="242"/>
      <c r="G491" s="242"/>
      <c r="H491" s="24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42"/>
      <c r="D492" s="242"/>
      <c r="E492" s="242"/>
      <c r="F492" s="242"/>
      <c r="G492" s="242"/>
      <c r="H492" s="24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42"/>
      <c r="D493" s="242"/>
      <c r="E493" s="242"/>
      <c r="F493" s="242"/>
      <c r="G493" s="242"/>
      <c r="H493" s="24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42"/>
      <c r="D494" s="242"/>
      <c r="E494" s="242"/>
      <c r="F494" s="242"/>
      <c r="G494" s="242"/>
      <c r="H494" s="24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42"/>
      <c r="D495" s="242"/>
      <c r="E495" s="242"/>
      <c r="F495" s="242"/>
      <c r="G495" s="242"/>
      <c r="H495" s="24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42"/>
      <c r="D496" s="242"/>
      <c r="E496" s="242"/>
      <c r="F496" s="242"/>
      <c r="G496" s="242"/>
      <c r="H496" s="24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42"/>
      <c r="D497" s="242"/>
      <c r="E497" s="242"/>
      <c r="F497" s="242"/>
      <c r="G497" s="242"/>
      <c r="H497" s="24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42"/>
      <c r="D498" s="242"/>
      <c r="E498" s="242"/>
      <c r="F498" s="242"/>
      <c r="G498" s="242"/>
      <c r="H498" s="24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42"/>
      <c r="D499" s="242"/>
      <c r="E499" s="242"/>
      <c r="F499" s="242"/>
      <c r="G499" s="242"/>
      <c r="H499" s="24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42"/>
      <c r="D500" s="242"/>
      <c r="E500" s="242"/>
      <c r="F500" s="242"/>
      <c r="G500" s="242"/>
      <c r="H500" s="24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42"/>
      <c r="D501" s="242"/>
      <c r="E501" s="242"/>
      <c r="F501" s="242"/>
      <c r="G501" s="242"/>
      <c r="H501" s="24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42"/>
      <c r="D502" s="242"/>
      <c r="E502" s="242"/>
      <c r="F502" s="242"/>
      <c r="G502" s="242"/>
      <c r="H502" s="24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42"/>
      <c r="D503" s="242"/>
      <c r="E503" s="242"/>
      <c r="F503" s="242"/>
      <c r="G503" s="242"/>
      <c r="H503" s="24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42"/>
      <c r="D504" s="242"/>
      <c r="E504" s="242"/>
      <c r="F504" s="242"/>
      <c r="G504" s="242"/>
      <c r="H504" s="24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42"/>
      <c r="D505" s="242"/>
      <c r="E505" s="242"/>
      <c r="F505" s="242"/>
      <c r="G505" s="242"/>
      <c r="H505" s="24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42"/>
      <c r="D506" s="242"/>
      <c r="E506" s="242"/>
      <c r="F506" s="242"/>
      <c r="G506" s="242"/>
      <c r="H506" s="24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42"/>
      <c r="D507" s="242"/>
      <c r="E507" s="242"/>
      <c r="F507" s="242"/>
      <c r="G507" s="242"/>
      <c r="H507" s="24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42"/>
      <c r="D508" s="242"/>
      <c r="E508" s="242"/>
      <c r="F508" s="242"/>
      <c r="G508" s="242"/>
      <c r="H508" s="24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42"/>
      <c r="D509" s="242"/>
      <c r="E509" s="242"/>
      <c r="F509" s="242"/>
      <c r="G509" s="242"/>
      <c r="H509" s="24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42"/>
      <c r="D510" s="242"/>
      <c r="E510" s="242"/>
      <c r="F510" s="242"/>
      <c r="G510" s="242"/>
      <c r="H510" s="24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42"/>
      <c r="D511" s="242"/>
      <c r="E511" s="242"/>
      <c r="F511" s="242"/>
      <c r="G511" s="242"/>
      <c r="H511" s="24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42"/>
      <c r="D512" s="242"/>
      <c r="E512" s="242"/>
      <c r="F512" s="242"/>
      <c r="G512" s="242"/>
      <c r="H512" s="24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42"/>
      <c r="D513" s="242"/>
      <c r="E513" s="242"/>
      <c r="F513" s="242"/>
      <c r="G513" s="242"/>
      <c r="H513" s="24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42"/>
      <c r="D514" s="242"/>
      <c r="E514" s="242"/>
      <c r="F514" s="242"/>
      <c r="G514" s="242"/>
      <c r="H514" s="24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42"/>
      <c r="D515" s="242"/>
      <c r="E515" s="242"/>
      <c r="F515" s="242"/>
      <c r="G515" s="242"/>
      <c r="H515" s="24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42"/>
      <c r="D516" s="242"/>
      <c r="E516" s="242"/>
      <c r="F516" s="242"/>
      <c r="G516" s="242"/>
      <c r="H516" s="24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42"/>
      <c r="D517" s="242"/>
      <c r="E517" s="242"/>
      <c r="F517" s="242"/>
      <c r="G517" s="242"/>
      <c r="H517" s="24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42"/>
      <c r="D518" s="242"/>
      <c r="E518" s="242"/>
      <c r="F518" s="242"/>
      <c r="G518" s="242"/>
      <c r="H518" s="24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42"/>
      <c r="D519" s="242"/>
      <c r="E519" s="242"/>
      <c r="F519" s="242"/>
      <c r="G519" s="242"/>
      <c r="H519" s="24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42"/>
      <c r="D520" s="242"/>
      <c r="E520" s="242"/>
      <c r="F520" s="242"/>
      <c r="G520" s="242"/>
      <c r="H520" s="24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42"/>
      <c r="D521" s="242"/>
      <c r="E521" s="242"/>
      <c r="F521" s="242"/>
      <c r="G521" s="242"/>
      <c r="H521" s="24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42"/>
      <c r="D522" s="242"/>
      <c r="E522" s="242"/>
      <c r="F522" s="242"/>
      <c r="G522" s="242"/>
      <c r="H522" s="24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42"/>
      <c r="D523" s="242"/>
      <c r="E523" s="242"/>
      <c r="F523" s="242"/>
      <c r="G523" s="242"/>
      <c r="H523" s="24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42"/>
      <c r="D524" s="242"/>
      <c r="E524" s="242"/>
      <c r="F524" s="242"/>
      <c r="G524" s="242"/>
      <c r="H524" s="24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42"/>
      <c r="D525" s="242"/>
      <c r="E525" s="242"/>
      <c r="F525" s="242"/>
      <c r="G525" s="242"/>
      <c r="H525" s="24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42"/>
      <c r="D526" s="242"/>
      <c r="E526" s="242"/>
      <c r="F526" s="242"/>
      <c r="G526" s="242"/>
      <c r="H526" s="24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42"/>
      <c r="D527" s="242"/>
      <c r="E527" s="242"/>
      <c r="F527" s="242"/>
      <c r="G527" s="242"/>
      <c r="H527" s="24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42"/>
      <c r="D528" s="242"/>
      <c r="E528" s="242"/>
      <c r="F528" s="242"/>
      <c r="G528" s="242"/>
      <c r="H528" s="24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42"/>
      <c r="D529" s="242"/>
      <c r="E529" s="242"/>
      <c r="F529" s="242"/>
      <c r="G529" s="242"/>
      <c r="H529" s="24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42"/>
      <c r="D530" s="242"/>
      <c r="E530" s="242"/>
      <c r="F530" s="242"/>
      <c r="G530" s="242"/>
      <c r="H530" s="24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42"/>
      <c r="D531" s="242"/>
      <c r="E531" s="242"/>
      <c r="F531" s="242"/>
      <c r="G531" s="242"/>
      <c r="H531" s="24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42"/>
      <c r="D532" s="242"/>
      <c r="E532" s="242"/>
      <c r="F532" s="242"/>
      <c r="G532" s="242"/>
      <c r="H532" s="24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42"/>
      <c r="D533" s="242"/>
      <c r="E533" s="242"/>
      <c r="F533" s="242"/>
      <c r="G533" s="242"/>
      <c r="H533" s="24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42"/>
      <c r="D534" s="242"/>
      <c r="E534" s="242"/>
      <c r="F534" s="242"/>
      <c r="G534" s="242"/>
      <c r="H534" s="24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42"/>
      <c r="D535" s="242"/>
      <c r="E535" s="242"/>
      <c r="F535" s="242"/>
      <c r="G535" s="242"/>
      <c r="H535" s="24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42"/>
      <c r="D536" s="242"/>
      <c r="E536" s="242"/>
      <c r="F536" s="242"/>
      <c r="G536" s="242"/>
      <c r="H536" s="24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42"/>
      <c r="D537" s="242"/>
      <c r="E537" s="242"/>
      <c r="F537" s="242"/>
      <c r="G537" s="242"/>
      <c r="H537" s="24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42"/>
      <c r="D538" s="242"/>
      <c r="E538" s="242"/>
      <c r="F538" s="242"/>
      <c r="G538" s="242"/>
      <c r="H538" s="24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42"/>
      <c r="D539" s="242"/>
      <c r="E539" s="242"/>
      <c r="F539" s="242"/>
      <c r="G539" s="242"/>
      <c r="H539" s="24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42"/>
      <c r="D540" s="242"/>
      <c r="E540" s="242"/>
      <c r="F540" s="242"/>
      <c r="G540" s="242"/>
      <c r="H540" s="24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42"/>
      <c r="D541" s="242"/>
      <c r="E541" s="242"/>
      <c r="F541" s="242"/>
      <c r="G541" s="242"/>
      <c r="H541" s="24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42"/>
      <c r="D542" s="242"/>
      <c r="E542" s="242"/>
      <c r="F542" s="242"/>
      <c r="G542" s="242"/>
      <c r="H542" s="24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42"/>
      <c r="D543" s="242"/>
      <c r="E543" s="242"/>
      <c r="F543" s="242"/>
      <c r="G543" s="242"/>
      <c r="H543" s="24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42"/>
      <c r="D544" s="242"/>
      <c r="E544" s="242"/>
      <c r="F544" s="242"/>
      <c r="G544" s="242"/>
      <c r="H544" s="24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42"/>
      <c r="D545" s="242"/>
      <c r="E545" s="242"/>
      <c r="F545" s="242"/>
      <c r="G545" s="242"/>
      <c r="H545" s="24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42"/>
      <c r="D546" s="242"/>
      <c r="E546" s="242"/>
      <c r="F546" s="242"/>
      <c r="G546" s="242"/>
      <c r="H546" s="24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42"/>
      <c r="D547" s="242"/>
      <c r="E547" s="242"/>
      <c r="F547" s="242"/>
      <c r="G547" s="242"/>
      <c r="H547" s="24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42"/>
      <c r="D548" s="242"/>
      <c r="E548" s="242"/>
      <c r="F548" s="242"/>
      <c r="G548" s="242"/>
      <c r="H548" s="24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42"/>
      <c r="D549" s="242"/>
      <c r="E549" s="242"/>
      <c r="F549" s="242"/>
      <c r="G549" s="242"/>
      <c r="H549" s="24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42"/>
      <c r="D550" s="242"/>
      <c r="E550" s="242"/>
      <c r="F550" s="242"/>
      <c r="G550" s="242"/>
      <c r="H550" s="24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42"/>
      <c r="D551" s="242"/>
      <c r="E551" s="242"/>
      <c r="F551" s="242"/>
      <c r="G551" s="242"/>
      <c r="H551" s="24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42"/>
      <c r="D552" s="242"/>
      <c r="E552" s="242"/>
      <c r="F552" s="242"/>
      <c r="G552" s="242"/>
      <c r="H552" s="24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42"/>
      <c r="D553" s="242"/>
      <c r="E553" s="242"/>
      <c r="F553" s="242"/>
      <c r="G553" s="242"/>
      <c r="H553" s="24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42"/>
      <c r="D554" s="242"/>
      <c r="E554" s="242"/>
      <c r="F554" s="242"/>
      <c r="G554" s="242"/>
      <c r="H554" s="24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42"/>
      <c r="D555" s="242"/>
      <c r="E555" s="242"/>
      <c r="F555" s="242"/>
      <c r="G555" s="242"/>
      <c r="H555" s="24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42"/>
      <c r="D556" s="242"/>
      <c r="E556" s="242"/>
      <c r="F556" s="242"/>
      <c r="G556" s="242"/>
      <c r="H556" s="24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42"/>
      <c r="D557" s="242"/>
      <c r="E557" s="242"/>
      <c r="F557" s="242"/>
      <c r="G557" s="242"/>
      <c r="H557" s="24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42"/>
      <c r="D558" s="242"/>
      <c r="E558" s="242"/>
      <c r="F558" s="242"/>
      <c r="G558" s="242"/>
      <c r="H558" s="24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42"/>
      <c r="D559" s="242"/>
      <c r="E559" s="242"/>
      <c r="F559" s="242"/>
      <c r="G559" s="242"/>
      <c r="H559" s="24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42"/>
      <c r="D560" s="242"/>
      <c r="E560" s="242"/>
      <c r="F560" s="242"/>
      <c r="G560" s="242"/>
      <c r="H560" s="24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42"/>
      <c r="D561" s="242"/>
      <c r="E561" s="242"/>
      <c r="F561" s="242"/>
      <c r="G561" s="242"/>
      <c r="H561" s="24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42"/>
      <c r="D562" s="242"/>
      <c r="E562" s="242"/>
      <c r="F562" s="242"/>
      <c r="G562" s="242"/>
      <c r="H562" s="24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42"/>
      <c r="D563" s="242"/>
      <c r="E563" s="242"/>
      <c r="F563" s="242"/>
      <c r="G563" s="242"/>
      <c r="H563" s="24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42"/>
      <c r="D564" s="242"/>
      <c r="E564" s="242"/>
      <c r="F564" s="242"/>
      <c r="G564" s="242"/>
      <c r="H564" s="24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42"/>
      <c r="D565" s="242"/>
      <c r="E565" s="242"/>
      <c r="F565" s="242"/>
      <c r="G565" s="242"/>
      <c r="H565" s="24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42"/>
      <c r="D566" s="242"/>
      <c r="E566" s="242"/>
      <c r="F566" s="242"/>
      <c r="G566" s="242"/>
      <c r="H566" s="24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42"/>
      <c r="D567" s="242"/>
      <c r="E567" s="242"/>
      <c r="F567" s="242"/>
      <c r="G567" s="242"/>
      <c r="H567" s="24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42"/>
      <c r="D568" s="242"/>
      <c r="E568" s="242"/>
      <c r="F568" s="242"/>
      <c r="G568" s="242"/>
      <c r="H568" s="24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42"/>
      <c r="D569" s="242"/>
      <c r="E569" s="242"/>
      <c r="F569" s="242"/>
      <c r="G569" s="242"/>
      <c r="H569" s="24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42"/>
      <c r="D570" s="242"/>
      <c r="E570" s="242"/>
      <c r="F570" s="242"/>
      <c r="G570" s="242"/>
      <c r="H570" s="24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42"/>
      <c r="D571" s="242"/>
      <c r="E571" s="242"/>
      <c r="F571" s="242"/>
      <c r="G571" s="242"/>
      <c r="H571" s="24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42"/>
      <c r="D572" s="242"/>
      <c r="E572" s="242"/>
      <c r="F572" s="242"/>
      <c r="G572" s="242"/>
      <c r="H572" s="24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42"/>
      <c r="D573" s="242"/>
      <c r="E573" s="242"/>
      <c r="F573" s="242"/>
      <c r="G573" s="242"/>
      <c r="H573" s="24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42"/>
      <c r="D574" s="242"/>
      <c r="E574" s="242"/>
      <c r="F574" s="242"/>
      <c r="G574" s="242"/>
      <c r="H574" s="24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42"/>
      <c r="D575" s="242"/>
      <c r="E575" s="242"/>
      <c r="F575" s="242"/>
      <c r="G575" s="242"/>
      <c r="H575" s="24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42"/>
      <c r="D576" s="242"/>
      <c r="E576" s="242"/>
      <c r="F576" s="242"/>
      <c r="G576" s="242"/>
      <c r="H576" s="24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42"/>
      <c r="D577" s="242"/>
      <c r="E577" s="242"/>
      <c r="F577" s="242"/>
      <c r="G577" s="242"/>
      <c r="H577" s="24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42"/>
      <c r="D578" s="242"/>
      <c r="E578" s="242"/>
      <c r="F578" s="242"/>
      <c r="G578" s="242"/>
      <c r="H578" s="24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42"/>
      <c r="D579" s="242"/>
      <c r="E579" s="242"/>
      <c r="F579" s="242"/>
      <c r="G579" s="242"/>
      <c r="H579" s="24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42"/>
      <c r="D580" s="242"/>
      <c r="E580" s="242"/>
      <c r="F580" s="242"/>
      <c r="G580" s="242"/>
      <c r="H580" s="24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42"/>
      <c r="D581" s="242"/>
      <c r="E581" s="242"/>
      <c r="F581" s="242"/>
      <c r="G581" s="242"/>
      <c r="H581" s="24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42"/>
      <c r="D582" s="242"/>
      <c r="E582" s="242"/>
      <c r="F582" s="242"/>
      <c r="G582" s="242"/>
      <c r="H582" s="24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42"/>
      <c r="D583" s="242"/>
      <c r="E583" s="242"/>
      <c r="F583" s="242"/>
      <c r="G583" s="242"/>
      <c r="H583" s="24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42"/>
      <c r="D584" s="242"/>
      <c r="E584" s="242"/>
      <c r="F584" s="242"/>
      <c r="G584" s="242"/>
      <c r="H584" s="24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42"/>
      <c r="D585" s="242"/>
      <c r="E585" s="242"/>
      <c r="F585" s="242"/>
      <c r="G585" s="242"/>
      <c r="H585" s="24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42"/>
      <c r="D586" s="242"/>
      <c r="E586" s="242"/>
      <c r="F586" s="242"/>
      <c r="G586" s="242"/>
      <c r="H586" s="24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42"/>
      <c r="D587" s="242"/>
      <c r="E587" s="242"/>
      <c r="F587" s="242"/>
      <c r="G587" s="242"/>
      <c r="H587" s="24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42"/>
      <c r="D588" s="242"/>
      <c r="E588" s="242"/>
      <c r="F588" s="242"/>
      <c r="G588" s="242"/>
      <c r="H588" s="24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42"/>
      <c r="D589" s="242"/>
      <c r="E589" s="242"/>
      <c r="F589" s="242"/>
      <c r="G589" s="242"/>
      <c r="H589" s="24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42"/>
      <c r="D590" s="242"/>
      <c r="E590" s="242"/>
      <c r="F590" s="242"/>
      <c r="G590" s="242"/>
      <c r="H590" s="24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42"/>
      <c r="D591" s="242"/>
      <c r="E591" s="242"/>
      <c r="F591" s="242"/>
      <c r="G591" s="242"/>
      <c r="H591" s="24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42"/>
      <c r="D592" s="242"/>
      <c r="E592" s="242"/>
      <c r="F592" s="242"/>
      <c r="G592" s="242"/>
      <c r="H592" s="24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42"/>
      <c r="D593" s="242"/>
      <c r="E593" s="242"/>
      <c r="F593" s="242"/>
      <c r="G593" s="242"/>
      <c r="H593" s="24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42"/>
      <c r="D594" s="242"/>
      <c r="E594" s="242"/>
      <c r="F594" s="242"/>
      <c r="G594" s="242"/>
      <c r="H594" s="24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42"/>
      <c r="D595" s="242"/>
      <c r="E595" s="242"/>
      <c r="F595" s="242"/>
      <c r="G595" s="242"/>
      <c r="H595" s="24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42"/>
      <c r="D596" s="242"/>
      <c r="E596" s="242"/>
      <c r="F596" s="242"/>
      <c r="G596" s="242"/>
      <c r="H596" s="24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42"/>
      <c r="D597" s="242"/>
      <c r="E597" s="242"/>
      <c r="F597" s="242"/>
      <c r="G597" s="242"/>
      <c r="H597" s="24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42"/>
      <c r="D598" s="242"/>
      <c r="E598" s="242"/>
      <c r="F598" s="242"/>
      <c r="G598" s="242"/>
      <c r="H598" s="24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42"/>
      <c r="D599" s="242"/>
      <c r="E599" s="242"/>
      <c r="F599" s="242"/>
      <c r="G599" s="242"/>
      <c r="H599" s="24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42"/>
      <c r="D600" s="242"/>
      <c r="E600" s="242"/>
      <c r="F600" s="242"/>
      <c r="G600" s="242"/>
      <c r="H600" s="24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42"/>
      <c r="D601" s="242"/>
      <c r="E601" s="242"/>
      <c r="F601" s="242"/>
      <c r="G601" s="242"/>
      <c r="H601" s="24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42"/>
      <c r="D602" s="242"/>
      <c r="E602" s="242"/>
      <c r="F602" s="242"/>
      <c r="G602" s="242"/>
      <c r="H602" s="24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42"/>
      <c r="D603" s="242"/>
      <c r="E603" s="242"/>
      <c r="F603" s="242"/>
      <c r="G603" s="242"/>
      <c r="H603" s="24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42"/>
      <c r="D604" s="242"/>
      <c r="E604" s="242"/>
      <c r="F604" s="242"/>
      <c r="G604" s="242"/>
      <c r="H604" s="24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42"/>
      <c r="D605" s="242"/>
      <c r="E605" s="242"/>
      <c r="F605" s="242"/>
      <c r="G605" s="242"/>
      <c r="H605" s="24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42"/>
      <c r="D606" s="242"/>
      <c r="E606" s="242"/>
      <c r="F606" s="242"/>
      <c r="G606" s="242"/>
      <c r="H606" s="24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42"/>
      <c r="D607" s="242"/>
      <c r="E607" s="242"/>
      <c r="F607" s="242"/>
      <c r="G607" s="242"/>
      <c r="H607" s="24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42"/>
      <c r="D608" s="242"/>
      <c r="E608" s="242"/>
      <c r="F608" s="242"/>
      <c r="G608" s="242"/>
      <c r="H608" s="24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42"/>
      <c r="D609" s="242"/>
      <c r="E609" s="242"/>
      <c r="F609" s="242"/>
      <c r="G609" s="242"/>
      <c r="H609" s="24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42"/>
      <c r="D610" s="242"/>
      <c r="E610" s="242"/>
      <c r="F610" s="242"/>
      <c r="G610" s="242"/>
      <c r="H610" s="24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42"/>
      <c r="D611" s="242"/>
      <c r="E611" s="242"/>
      <c r="F611" s="242"/>
      <c r="G611" s="242"/>
      <c r="H611" s="24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42"/>
      <c r="D612" s="242"/>
      <c r="E612" s="242"/>
      <c r="F612" s="242"/>
      <c r="G612" s="242"/>
      <c r="H612" s="24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42"/>
      <c r="D613" s="242"/>
      <c r="E613" s="242"/>
      <c r="F613" s="242"/>
      <c r="G613" s="242"/>
      <c r="H613" s="24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42"/>
      <c r="D614" s="242"/>
      <c r="E614" s="242"/>
      <c r="F614" s="242"/>
      <c r="G614" s="242"/>
      <c r="H614" s="24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42"/>
      <c r="D615" s="242"/>
      <c r="E615" s="242"/>
      <c r="F615" s="242"/>
      <c r="G615" s="242"/>
      <c r="H615" s="24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42"/>
      <c r="D616" s="242"/>
      <c r="E616" s="242"/>
      <c r="F616" s="242"/>
      <c r="G616" s="242"/>
      <c r="H616" s="24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42"/>
      <c r="D617" s="242"/>
      <c r="E617" s="242"/>
      <c r="F617" s="242"/>
      <c r="G617" s="242"/>
      <c r="H617" s="24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42"/>
      <c r="D618" s="242"/>
      <c r="E618" s="242"/>
      <c r="F618" s="242"/>
      <c r="G618" s="242"/>
      <c r="H618" s="24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42"/>
      <c r="D619" s="242"/>
      <c r="E619" s="242"/>
      <c r="F619" s="242"/>
      <c r="G619" s="242"/>
      <c r="H619" s="24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42"/>
      <c r="D620" s="242"/>
      <c r="E620" s="242"/>
      <c r="F620" s="242"/>
      <c r="G620" s="242"/>
      <c r="H620" s="24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42"/>
      <c r="D621" s="242"/>
      <c r="E621" s="242"/>
      <c r="F621" s="242"/>
      <c r="G621" s="242"/>
      <c r="H621" s="24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42"/>
      <c r="D622" s="242"/>
      <c r="E622" s="242"/>
      <c r="F622" s="242"/>
      <c r="G622" s="242"/>
      <c r="H622" s="24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42"/>
      <c r="D623" s="242"/>
      <c r="E623" s="242"/>
      <c r="F623" s="242"/>
      <c r="G623" s="242"/>
      <c r="H623" s="24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42"/>
      <c r="D624" s="242"/>
      <c r="E624" s="242"/>
      <c r="F624" s="242"/>
      <c r="G624" s="242"/>
      <c r="H624" s="24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42"/>
      <c r="D625" s="242"/>
      <c r="E625" s="242"/>
      <c r="F625" s="242"/>
      <c r="G625" s="242"/>
      <c r="H625" s="24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  <c r="B626" s="2"/>
      <c r="C626" s="242"/>
      <c r="D626" s="242"/>
      <c r="E626" s="242"/>
      <c r="F626" s="242"/>
      <c r="G626" s="242"/>
      <c r="H626" s="24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 x14ac:dyDescent="0.2">
      <c r="A627"/>
      <c r="B627" s="2"/>
      <c r="C627" s="242"/>
      <c r="D627" s="242"/>
      <c r="E627" s="242"/>
      <c r="F627" s="242"/>
      <c r="G627" s="242"/>
      <c r="H627" s="24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 x14ac:dyDescent="0.2">
      <c r="A628"/>
      <c r="B628" s="2"/>
      <c r="C628" s="242"/>
      <c r="D628" s="242"/>
      <c r="E628" s="242"/>
      <c r="F628" s="242"/>
      <c r="G628" s="242"/>
      <c r="H628" s="24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 x14ac:dyDescent="0.2">
      <c r="A629"/>
      <c r="B629" s="2"/>
      <c r="C629" s="242"/>
      <c r="D629" s="242"/>
      <c r="E629" s="242"/>
      <c r="F629" s="242"/>
      <c r="G629" s="242"/>
      <c r="H629" s="24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 x14ac:dyDescent="0.2">
      <c r="A630"/>
      <c r="B630" s="2"/>
      <c r="C630" s="242"/>
      <c r="D630" s="242"/>
      <c r="E630" s="242"/>
      <c r="F630" s="242"/>
      <c r="G630" s="242"/>
      <c r="H630" s="24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 x14ac:dyDescent="0.2">
      <c r="A631"/>
      <c r="B631" s="2"/>
      <c r="C631" s="242"/>
      <c r="D631" s="242"/>
      <c r="E631" s="242"/>
      <c r="F631" s="242"/>
      <c r="G631" s="242"/>
      <c r="H631" s="24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 x14ac:dyDescent="0.2">
      <c r="A632"/>
      <c r="B632" s="2"/>
      <c r="C632" s="242"/>
      <c r="D632" s="242"/>
      <c r="E632" s="242"/>
      <c r="F632" s="242"/>
      <c r="G632" s="242"/>
      <c r="H632" s="24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 x14ac:dyDescent="0.2">
      <c r="A633"/>
      <c r="B633" s="2"/>
      <c r="C633" s="242"/>
      <c r="D633" s="242"/>
      <c r="E633" s="242"/>
      <c r="F633" s="242"/>
      <c r="G633" s="242"/>
      <c r="H633" s="24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 x14ac:dyDescent="0.2">
      <c r="A634"/>
      <c r="B634" s="2"/>
      <c r="C634" s="242"/>
      <c r="D634" s="242"/>
      <c r="E634" s="242"/>
      <c r="F634" s="242"/>
      <c r="G634" s="242"/>
      <c r="H634" s="24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 x14ac:dyDescent="0.2">
      <c r="A635"/>
      <c r="B635" s="2"/>
      <c r="C635" s="242"/>
      <c r="D635" s="242"/>
      <c r="E635" s="242"/>
      <c r="F635" s="242"/>
      <c r="G635" s="242"/>
      <c r="H635" s="24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 x14ac:dyDescent="0.2">
      <c r="A636"/>
      <c r="B636" s="2"/>
      <c r="C636" s="242"/>
      <c r="D636" s="242"/>
      <c r="E636" s="242"/>
      <c r="F636" s="242"/>
      <c r="G636" s="242"/>
      <c r="H636" s="24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 x14ac:dyDescent="0.2">
      <c r="A637"/>
      <c r="B637" s="2"/>
      <c r="C637" s="242"/>
      <c r="D637" s="242"/>
      <c r="E637" s="242"/>
      <c r="F637" s="242"/>
      <c r="G637" s="242"/>
      <c r="H637" s="24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 x14ac:dyDescent="0.2">
      <c r="A638"/>
      <c r="B638" s="2"/>
      <c r="C638" s="242"/>
      <c r="D638" s="242"/>
      <c r="E638" s="242"/>
      <c r="F638" s="242"/>
      <c r="G638" s="242"/>
      <c r="H638" s="24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 x14ac:dyDescent="0.2">
      <c r="A639"/>
      <c r="B639" s="2"/>
      <c r="C639" s="242"/>
      <c r="D639" s="242"/>
      <c r="E639" s="242"/>
      <c r="F639" s="242"/>
      <c r="G639" s="242"/>
      <c r="H639" s="24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 x14ac:dyDescent="0.2">
      <c r="A640"/>
      <c r="B640" s="2"/>
      <c r="C640" s="242"/>
      <c r="D640" s="242"/>
      <c r="E640" s="242"/>
      <c r="F640" s="242"/>
      <c r="G640" s="242"/>
      <c r="H640" s="24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 x14ac:dyDescent="0.2">
      <c r="A641"/>
      <c r="B641" s="2"/>
      <c r="C641" s="242"/>
      <c r="D641" s="242"/>
      <c r="E641" s="242"/>
      <c r="F641" s="242"/>
      <c r="G641" s="242"/>
      <c r="H641" s="24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 x14ac:dyDescent="0.2">
      <c r="A642"/>
      <c r="B642" s="2"/>
      <c r="C642" s="242"/>
      <c r="D642" s="242"/>
      <c r="E642" s="242"/>
      <c r="F642" s="242"/>
      <c r="G642" s="242"/>
      <c r="H642" s="24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 x14ac:dyDescent="0.2">
      <c r="A643"/>
    </row>
    <row r="644" spans="1:42" ht="15.75" customHeight="1" x14ac:dyDescent="0.2">
      <c r="A644"/>
    </row>
    <row r="645" spans="1:42" ht="15.75" customHeight="1" x14ac:dyDescent="0.2">
      <c r="A645"/>
    </row>
    <row r="646" spans="1:42" ht="15.75" customHeight="1" x14ac:dyDescent="0.2">
      <c r="A646"/>
    </row>
    <row r="647" spans="1:42" ht="15.75" customHeight="1" x14ac:dyDescent="0.2">
      <c r="A647"/>
      <c r="C647" s="91"/>
      <c r="D647" s="91"/>
      <c r="E647" s="91"/>
      <c r="F647" s="91"/>
      <c r="G647" s="91"/>
      <c r="H647" s="91"/>
    </row>
    <row r="648" spans="1:42" ht="15.75" customHeight="1" x14ac:dyDescent="0.2">
      <c r="A648"/>
      <c r="C648" s="91"/>
      <c r="D648" s="91"/>
      <c r="E648" s="91"/>
      <c r="F648" s="91"/>
      <c r="G648" s="91"/>
      <c r="H648" s="91"/>
    </row>
    <row r="649" spans="1:42" ht="15.75" customHeight="1" x14ac:dyDescent="0.2">
      <c r="A649"/>
      <c r="C649" s="91"/>
      <c r="D649" s="91"/>
      <c r="E649" s="91"/>
      <c r="F649" s="91"/>
      <c r="G649" s="91"/>
      <c r="H649" s="91"/>
    </row>
    <row r="650" spans="1:42" ht="15.75" customHeight="1" x14ac:dyDescent="0.2">
      <c r="A650"/>
      <c r="C650" s="91"/>
      <c r="D650" s="91"/>
      <c r="E650" s="91"/>
      <c r="F650" s="91"/>
      <c r="G650" s="91"/>
      <c r="H650" s="91"/>
    </row>
    <row r="651" spans="1:42" ht="15.75" customHeight="1" x14ac:dyDescent="0.2">
      <c r="A651"/>
      <c r="C651" s="91"/>
      <c r="D651" s="91"/>
      <c r="E651" s="91"/>
      <c r="F651" s="91"/>
      <c r="G651" s="91"/>
      <c r="H651" s="91"/>
    </row>
    <row r="652" spans="1:42" ht="15.75" customHeight="1" x14ac:dyDescent="0.2">
      <c r="A652"/>
      <c r="C652" s="91"/>
      <c r="D652" s="91"/>
      <c r="E652" s="91"/>
      <c r="F652" s="91"/>
      <c r="G652" s="91"/>
      <c r="H652" s="91"/>
    </row>
    <row r="653" spans="1:42" ht="15.75" customHeight="1" x14ac:dyDescent="0.2">
      <c r="A653"/>
      <c r="C653" s="91"/>
      <c r="D653" s="91"/>
      <c r="E653" s="91"/>
      <c r="F653" s="91"/>
      <c r="G653" s="91"/>
      <c r="H653" s="91"/>
    </row>
    <row r="654" spans="1:42" ht="15.75" customHeight="1" x14ac:dyDescent="0.2">
      <c r="A654"/>
      <c r="C654" s="91"/>
      <c r="D654" s="91"/>
      <c r="E654" s="91"/>
      <c r="F654" s="91"/>
      <c r="G654" s="91"/>
      <c r="H654" s="91"/>
    </row>
    <row r="655" spans="1:42" ht="15.75" customHeight="1" x14ac:dyDescent="0.2">
      <c r="A655"/>
      <c r="C655" s="91"/>
      <c r="D655" s="91"/>
      <c r="E655" s="91"/>
      <c r="F655" s="91"/>
      <c r="G655" s="91"/>
      <c r="H655" s="91"/>
    </row>
    <row r="656" spans="1:42" ht="15.75" customHeight="1" x14ac:dyDescent="0.2">
      <c r="A656"/>
      <c r="C656" s="91"/>
      <c r="D656" s="91"/>
      <c r="E656" s="91"/>
      <c r="F656" s="91"/>
      <c r="G656" s="91"/>
      <c r="H656" s="91"/>
    </row>
    <row r="657" spans="1:8" ht="15.75" customHeight="1" x14ac:dyDescent="0.2">
      <c r="A657"/>
      <c r="C657" s="91"/>
      <c r="D657" s="91"/>
      <c r="E657" s="91"/>
      <c r="F657" s="91"/>
      <c r="G657" s="91"/>
      <c r="H657" s="91"/>
    </row>
    <row r="658" spans="1:8" ht="15.75" customHeight="1" x14ac:dyDescent="0.2">
      <c r="A658"/>
      <c r="C658" s="91"/>
      <c r="D658" s="91"/>
      <c r="E658" s="91"/>
      <c r="F658" s="91"/>
      <c r="G658" s="91"/>
      <c r="H658" s="91"/>
    </row>
    <row r="659" spans="1:8" ht="15.75" customHeight="1" x14ac:dyDescent="0.2">
      <c r="A659"/>
      <c r="C659" s="91"/>
      <c r="D659" s="91"/>
      <c r="E659" s="91"/>
      <c r="F659" s="91"/>
      <c r="G659" s="91"/>
      <c r="H659" s="91"/>
    </row>
    <row r="660" spans="1:8" ht="15.75" customHeight="1" x14ac:dyDescent="0.2">
      <c r="A660"/>
      <c r="C660" s="91"/>
      <c r="D660" s="91"/>
      <c r="E660" s="91"/>
      <c r="F660" s="91"/>
      <c r="G660" s="91"/>
      <c r="H660" s="91"/>
    </row>
    <row r="661" spans="1:8" ht="15.75" customHeight="1" x14ac:dyDescent="0.2">
      <c r="A661"/>
      <c r="C661" s="91"/>
      <c r="D661" s="91"/>
      <c r="E661" s="91"/>
      <c r="F661" s="91"/>
      <c r="G661" s="91"/>
      <c r="H661" s="91"/>
    </row>
    <row r="662" spans="1:8" ht="15.75" customHeight="1" x14ac:dyDescent="0.2">
      <c r="A662"/>
      <c r="C662" s="91"/>
      <c r="D662" s="91"/>
      <c r="E662" s="91"/>
      <c r="F662" s="91"/>
      <c r="G662" s="91"/>
      <c r="H662" s="91"/>
    </row>
    <row r="663" spans="1:8" ht="15.75" customHeight="1" x14ac:dyDescent="0.2">
      <c r="A663"/>
      <c r="C663" s="91"/>
      <c r="D663" s="91"/>
      <c r="E663" s="91"/>
      <c r="F663" s="91"/>
      <c r="G663" s="91"/>
      <c r="H663" s="91"/>
    </row>
    <row r="664" spans="1:8" ht="15.75" customHeight="1" x14ac:dyDescent="0.2">
      <c r="A664"/>
      <c r="C664" s="91"/>
      <c r="D664" s="91"/>
      <c r="E664" s="91"/>
      <c r="F664" s="91"/>
      <c r="G664" s="91"/>
      <c r="H664" s="91"/>
    </row>
    <row r="665" spans="1:8" ht="15.75" customHeight="1" x14ac:dyDescent="0.2">
      <c r="A665"/>
      <c r="C665" s="91"/>
      <c r="D665" s="91"/>
      <c r="E665" s="91"/>
      <c r="F665" s="91"/>
      <c r="G665" s="91"/>
      <c r="H665" s="91"/>
    </row>
    <row r="666" spans="1:8" ht="15.75" customHeight="1" x14ac:dyDescent="0.2">
      <c r="A666"/>
      <c r="C666" s="91"/>
      <c r="D666" s="91"/>
      <c r="E666" s="91"/>
      <c r="F666" s="91"/>
      <c r="G666" s="91"/>
      <c r="H666" s="91"/>
    </row>
    <row r="667" spans="1:8" ht="15.75" customHeight="1" x14ac:dyDescent="0.2">
      <c r="A667"/>
      <c r="C667" s="91"/>
      <c r="D667" s="91"/>
      <c r="E667" s="91"/>
      <c r="F667" s="91"/>
      <c r="G667" s="91"/>
      <c r="H667" s="91"/>
    </row>
    <row r="668" spans="1:8" ht="15.75" customHeight="1" x14ac:dyDescent="0.2">
      <c r="A668"/>
      <c r="C668" s="91"/>
      <c r="D668" s="91"/>
      <c r="E668" s="91"/>
      <c r="F668" s="91"/>
      <c r="G668" s="91"/>
      <c r="H668" s="91"/>
    </row>
    <row r="669" spans="1:8" ht="15.75" customHeight="1" x14ac:dyDescent="0.2">
      <c r="A669"/>
      <c r="C669" s="91"/>
      <c r="D669" s="91"/>
      <c r="E669" s="91"/>
      <c r="F669" s="91"/>
      <c r="G669" s="91"/>
      <c r="H669" s="91"/>
    </row>
    <row r="670" spans="1:8" ht="15.75" customHeight="1" x14ac:dyDescent="0.2">
      <c r="A670"/>
      <c r="C670" s="91"/>
      <c r="D670" s="91"/>
      <c r="E670" s="91"/>
      <c r="F670" s="91"/>
      <c r="G670" s="91"/>
      <c r="H670" s="91"/>
    </row>
    <row r="671" spans="1:8" ht="15.75" customHeight="1" x14ac:dyDescent="0.2">
      <c r="A671"/>
      <c r="C671" s="91"/>
      <c r="D671" s="91"/>
      <c r="E671" s="91"/>
      <c r="F671" s="91"/>
      <c r="G671" s="91"/>
      <c r="H671" s="91"/>
    </row>
    <row r="672" spans="1:8" ht="15.75" customHeight="1" x14ac:dyDescent="0.2">
      <c r="A672"/>
      <c r="C672" s="91"/>
      <c r="D672" s="91"/>
      <c r="E672" s="91"/>
      <c r="F672" s="91"/>
      <c r="G672" s="91"/>
      <c r="H672" s="91"/>
    </row>
    <row r="673" spans="1:8" ht="15.75" customHeight="1" x14ac:dyDescent="0.2">
      <c r="A673"/>
      <c r="C673" s="91"/>
      <c r="D673" s="91"/>
      <c r="E673" s="91"/>
      <c r="F673" s="91"/>
      <c r="G673" s="91"/>
      <c r="H673" s="91"/>
    </row>
    <row r="674" spans="1:8" ht="15.75" customHeight="1" x14ac:dyDescent="0.2">
      <c r="A674"/>
      <c r="C674" s="91"/>
      <c r="D674" s="91"/>
      <c r="E674" s="91"/>
      <c r="F674" s="91"/>
      <c r="G674" s="91"/>
      <c r="H674" s="91"/>
    </row>
    <row r="675" spans="1:8" ht="15.75" customHeight="1" x14ac:dyDescent="0.2">
      <c r="A675"/>
      <c r="C675" s="91"/>
      <c r="D675" s="91"/>
      <c r="E675" s="91"/>
      <c r="F675" s="91"/>
      <c r="G675" s="91"/>
      <c r="H675" s="91"/>
    </row>
    <row r="676" spans="1:8" ht="15.75" customHeight="1" x14ac:dyDescent="0.2">
      <c r="A676"/>
      <c r="C676" s="91"/>
      <c r="D676" s="91"/>
      <c r="E676" s="91"/>
      <c r="F676" s="91"/>
      <c r="G676" s="91"/>
      <c r="H676" s="91"/>
    </row>
    <row r="677" spans="1:8" ht="15.75" customHeight="1" x14ac:dyDescent="0.2">
      <c r="A677"/>
      <c r="C677" s="91"/>
      <c r="D677" s="91"/>
      <c r="E677" s="91"/>
      <c r="F677" s="91"/>
      <c r="G677" s="91"/>
      <c r="H677" s="91"/>
    </row>
    <row r="678" spans="1:8" ht="15.75" customHeight="1" x14ac:dyDescent="0.2">
      <c r="A678"/>
      <c r="C678" s="91"/>
      <c r="D678" s="91"/>
      <c r="E678" s="91"/>
      <c r="F678" s="91"/>
      <c r="G678" s="91"/>
      <c r="H678" s="91"/>
    </row>
    <row r="679" spans="1:8" ht="15.75" customHeight="1" x14ac:dyDescent="0.2">
      <c r="A679"/>
      <c r="C679" s="91"/>
      <c r="D679" s="91"/>
      <c r="E679" s="91"/>
      <c r="F679" s="91"/>
      <c r="G679" s="91"/>
      <c r="H679" s="91"/>
    </row>
    <row r="680" spans="1:8" ht="15.75" customHeight="1" x14ac:dyDescent="0.2">
      <c r="A680"/>
      <c r="C680" s="91"/>
      <c r="D680" s="91"/>
      <c r="E680" s="91"/>
      <c r="F680" s="91"/>
      <c r="G680" s="91"/>
      <c r="H680" s="91"/>
    </row>
    <row r="681" spans="1:8" ht="15.75" customHeight="1" x14ac:dyDescent="0.2">
      <c r="A681"/>
      <c r="C681" s="91"/>
      <c r="D681" s="91"/>
      <c r="E681" s="91"/>
      <c r="F681" s="91"/>
      <c r="G681" s="91"/>
      <c r="H681" s="91"/>
    </row>
    <row r="682" spans="1:8" ht="15.75" customHeight="1" x14ac:dyDescent="0.2">
      <c r="A682"/>
      <c r="C682" s="91"/>
      <c r="D682" s="91"/>
      <c r="E682" s="91"/>
      <c r="F682" s="91"/>
      <c r="G682" s="91"/>
      <c r="H682" s="91"/>
    </row>
    <row r="683" spans="1:8" ht="15.75" customHeight="1" x14ac:dyDescent="0.2">
      <c r="A683"/>
      <c r="C683" s="91"/>
      <c r="D683" s="91"/>
      <c r="E683" s="91"/>
      <c r="F683" s="91"/>
      <c r="G683" s="91"/>
      <c r="H683" s="91"/>
    </row>
    <row r="684" spans="1:8" ht="15.75" customHeight="1" x14ac:dyDescent="0.2">
      <c r="A684"/>
      <c r="C684" s="91"/>
      <c r="D684" s="91"/>
      <c r="E684" s="91"/>
      <c r="F684" s="91"/>
      <c r="G684" s="91"/>
      <c r="H684" s="91"/>
    </row>
    <row r="685" spans="1:8" ht="15.75" customHeight="1" x14ac:dyDescent="0.2">
      <c r="A685"/>
      <c r="C685" s="91"/>
      <c r="D685" s="91"/>
      <c r="E685" s="91"/>
      <c r="F685" s="91"/>
      <c r="G685" s="91"/>
      <c r="H685" s="91"/>
    </row>
    <row r="686" spans="1:8" ht="15.75" customHeight="1" x14ac:dyDescent="0.2">
      <c r="A686"/>
      <c r="C686" s="91"/>
      <c r="D686" s="91"/>
      <c r="E686" s="91"/>
      <c r="F686" s="91"/>
      <c r="G686" s="91"/>
      <c r="H686" s="91"/>
    </row>
    <row r="687" spans="1:8" ht="15.75" customHeight="1" x14ac:dyDescent="0.2">
      <c r="A687"/>
      <c r="C687" s="91"/>
      <c r="D687" s="91"/>
      <c r="E687" s="91"/>
      <c r="F687" s="91"/>
      <c r="G687" s="91"/>
      <c r="H687" s="91"/>
    </row>
    <row r="688" spans="1:8" ht="15.75" customHeight="1" x14ac:dyDescent="0.2">
      <c r="A688"/>
      <c r="C688" s="91"/>
      <c r="D688" s="91"/>
      <c r="E688" s="91"/>
      <c r="F688" s="91"/>
      <c r="G688" s="91"/>
      <c r="H688" s="91"/>
    </row>
    <row r="689" spans="1:8" ht="15.75" customHeight="1" x14ac:dyDescent="0.2">
      <c r="A689"/>
      <c r="C689" s="91"/>
      <c r="D689" s="91"/>
      <c r="E689" s="91"/>
      <c r="F689" s="91"/>
      <c r="G689" s="91"/>
      <c r="H689" s="91"/>
    </row>
    <row r="690" spans="1:8" ht="15.75" customHeight="1" x14ac:dyDescent="0.2">
      <c r="A690"/>
      <c r="C690" s="91"/>
      <c r="D690" s="91"/>
      <c r="E690" s="91"/>
      <c r="F690" s="91"/>
      <c r="G690" s="91"/>
      <c r="H690" s="91"/>
    </row>
    <row r="691" spans="1:8" ht="15.75" customHeight="1" x14ac:dyDescent="0.2">
      <c r="A691"/>
      <c r="C691" s="91"/>
      <c r="D691" s="91"/>
      <c r="E691" s="91"/>
      <c r="F691" s="91"/>
      <c r="G691" s="91"/>
      <c r="H691" s="91"/>
    </row>
    <row r="692" spans="1:8" ht="15.75" customHeight="1" x14ac:dyDescent="0.2">
      <c r="A692"/>
      <c r="C692" s="91"/>
      <c r="D692" s="91"/>
      <c r="E692" s="91"/>
      <c r="F692" s="91"/>
      <c r="G692" s="91"/>
      <c r="H692" s="91"/>
    </row>
    <row r="693" spans="1:8" ht="15.75" customHeight="1" x14ac:dyDescent="0.2">
      <c r="A693"/>
      <c r="C693" s="91"/>
      <c r="D693" s="91"/>
      <c r="E693" s="91"/>
      <c r="F693" s="91"/>
      <c r="G693" s="91"/>
      <c r="H693" s="91"/>
    </row>
    <row r="694" spans="1:8" ht="15.75" customHeight="1" x14ac:dyDescent="0.2">
      <c r="A694"/>
      <c r="C694" s="91"/>
      <c r="D694" s="91"/>
      <c r="E694" s="91"/>
      <c r="F694" s="91"/>
      <c r="G694" s="91"/>
      <c r="H694" s="91"/>
    </row>
    <row r="695" spans="1:8" ht="15.75" customHeight="1" x14ac:dyDescent="0.2">
      <c r="A695"/>
      <c r="C695" s="91"/>
      <c r="D695" s="91"/>
      <c r="E695" s="91"/>
      <c r="F695" s="91"/>
      <c r="G695" s="91"/>
      <c r="H695" s="91"/>
    </row>
    <row r="696" spans="1:8" ht="15.75" customHeight="1" x14ac:dyDescent="0.2">
      <c r="A696"/>
      <c r="C696" s="91"/>
      <c r="D696" s="91"/>
      <c r="E696" s="91"/>
      <c r="F696" s="91"/>
      <c r="G696" s="91"/>
      <c r="H696" s="91"/>
    </row>
    <row r="697" spans="1:8" ht="15.75" customHeight="1" x14ac:dyDescent="0.2">
      <c r="A697"/>
      <c r="C697" s="91"/>
      <c r="D697" s="91"/>
      <c r="E697" s="91"/>
      <c r="F697" s="91"/>
      <c r="G697" s="91"/>
      <c r="H697" s="91"/>
    </row>
    <row r="698" spans="1:8" ht="15.75" customHeight="1" x14ac:dyDescent="0.2">
      <c r="A698"/>
      <c r="C698" s="91"/>
      <c r="D698" s="91"/>
      <c r="E698" s="91"/>
      <c r="F698" s="91"/>
      <c r="G698" s="91"/>
      <c r="H698" s="91"/>
    </row>
    <row r="699" spans="1:8" ht="15.75" customHeight="1" x14ac:dyDescent="0.2">
      <c r="A699"/>
      <c r="C699" s="91"/>
      <c r="D699" s="91"/>
      <c r="E699" s="91"/>
      <c r="F699" s="91"/>
      <c r="G699" s="91"/>
      <c r="H699" s="91"/>
    </row>
    <row r="700" spans="1:8" ht="15.75" customHeight="1" x14ac:dyDescent="0.2">
      <c r="A700"/>
      <c r="C700" s="91"/>
      <c r="D700" s="91"/>
      <c r="E700" s="91"/>
      <c r="F700" s="91"/>
      <c r="G700" s="91"/>
      <c r="H700" s="91"/>
    </row>
    <row r="701" spans="1:8" ht="15.75" customHeight="1" x14ac:dyDescent="0.2">
      <c r="A701"/>
      <c r="C701" s="91"/>
      <c r="D701" s="91"/>
      <c r="E701" s="91"/>
      <c r="F701" s="91"/>
      <c r="G701" s="91"/>
      <c r="H701" s="91"/>
    </row>
    <row r="702" spans="1:8" ht="15.75" customHeight="1" x14ac:dyDescent="0.2">
      <c r="A702"/>
      <c r="C702" s="91"/>
      <c r="D702" s="91"/>
      <c r="E702" s="91"/>
      <c r="F702" s="91"/>
      <c r="G702" s="91"/>
      <c r="H702" s="91"/>
    </row>
    <row r="703" spans="1:8" ht="15.75" customHeight="1" x14ac:dyDescent="0.2">
      <c r="A703"/>
      <c r="C703" s="91"/>
      <c r="D703" s="91"/>
      <c r="E703" s="91"/>
      <c r="F703" s="91"/>
      <c r="G703" s="91"/>
      <c r="H703" s="91"/>
    </row>
    <row r="704" spans="1:8" ht="15.75" customHeight="1" x14ac:dyDescent="0.2">
      <c r="A704"/>
      <c r="C704" s="91"/>
      <c r="D704" s="91"/>
      <c r="E704" s="91"/>
      <c r="F704" s="91"/>
      <c r="G704" s="91"/>
      <c r="H704" s="91"/>
    </row>
    <row r="705" spans="1:8" ht="15.75" customHeight="1" x14ac:dyDescent="0.2">
      <c r="A705"/>
      <c r="C705" s="91"/>
      <c r="D705" s="91"/>
      <c r="E705" s="91"/>
      <c r="F705" s="91"/>
      <c r="G705" s="91"/>
      <c r="H705" s="91"/>
    </row>
    <row r="706" spans="1:8" ht="15.75" customHeight="1" x14ac:dyDescent="0.2">
      <c r="A706"/>
      <c r="C706" s="91"/>
      <c r="D706" s="91"/>
      <c r="E706" s="91"/>
      <c r="F706" s="91"/>
      <c r="G706" s="91"/>
      <c r="H706" s="91"/>
    </row>
    <row r="707" spans="1:8" ht="15.75" customHeight="1" x14ac:dyDescent="0.2">
      <c r="A707"/>
      <c r="C707" s="91"/>
      <c r="D707" s="91"/>
      <c r="E707" s="91"/>
      <c r="F707" s="91"/>
      <c r="G707" s="91"/>
      <c r="H707" s="91"/>
    </row>
    <row r="708" spans="1:8" ht="15.75" customHeight="1" x14ac:dyDescent="0.2">
      <c r="A708"/>
      <c r="C708" s="91"/>
      <c r="D708" s="91"/>
      <c r="E708" s="91"/>
      <c r="F708" s="91"/>
      <c r="G708" s="91"/>
      <c r="H708" s="91"/>
    </row>
    <row r="709" spans="1:8" ht="15.75" customHeight="1" x14ac:dyDescent="0.2">
      <c r="A709"/>
      <c r="C709" s="91"/>
      <c r="D709" s="91"/>
      <c r="E709" s="91"/>
      <c r="F709" s="91"/>
      <c r="G709" s="91"/>
      <c r="H709" s="91"/>
    </row>
    <row r="710" spans="1:8" ht="15.75" customHeight="1" x14ac:dyDescent="0.2">
      <c r="A710"/>
      <c r="C710" s="91"/>
      <c r="D710" s="91"/>
      <c r="E710" s="91"/>
      <c r="F710" s="91"/>
      <c r="G710" s="91"/>
      <c r="H710" s="91"/>
    </row>
    <row r="711" spans="1:8" ht="15.75" customHeight="1" x14ac:dyDescent="0.2">
      <c r="A711"/>
      <c r="C711" s="91"/>
      <c r="D711" s="91"/>
      <c r="E711" s="91"/>
      <c r="F711" s="91"/>
      <c r="G711" s="91"/>
      <c r="H711" s="91"/>
    </row>
    <row r="712" spans="1:8" ht="15.75" customHeight="1" x14ac:dyDescent="0.2">
      <c r="A712"/>
      <c r="C712" s="91"/>
      <c r="D712" s="91"/>
      <c r="E712" s="91"/>
      <c r="F712" s="91"/>
      <c r="G712" s="91"/>
      <c r="H712" s="91"/>
    </row>
    <row r="713" spans="1:8" ht="15.75" customHeight="1" x14ac:dyDescent="0.2">
      <c r="A713"/>
      <c r="C713" s="91"/>
      <c r="D713" s="91"/>
      <c r="E713" s="91"/>
      <c r="F713" s="91"/>
      <c r="G713" s="91"/>
      <c r="H713" s="91"/>
    </row>
    <row r="714" spans="1:8" ht="15.75" customHeight="1" x14ac:dyDescent="0.2">
      <c r="A714"/>
      <c r="C714" s="91"/>
      <c r="D714" s="91"/>
      <c r="E714" s="91"/>
      <c r="F714" s="91"/>
      <c r="G714" s="91"/>
      <c r="H714" s="91"/>
    </row>
    <row r="715" spans="1:8" ht="15.75" customHeight="1" x14ac:dyDescent="0.2">
      <c r="A715"/>
      <c r="C715" s="91"/>
      <c r="D715" s="91"/>
      <c r="E715" s="91"/>
      <c r="F715" s="91"/>
      <c r="G715" s="91"/>
      <c r="H715" s="91"/>
    </row>
    <row r="716" spans="1:8" ht="15.75" customHeight="1" x14ac:dyDescent="0.2">
      <c r="A716"/>
      <c r="C716" s="91"/>
      <c r="D716" s="91"/>
      <c r="E716" s="91"/>
      <c r="F716" s="91"/>
      <c r="G716" s="91"/>
      <c r="H716" s="91"/>
    </row>
    <row r="717" spans="1:8" ht="15.75" customHeight="1" x14ac:dyDescent="0.2">
      <c r="A717"/>
      <c r="C717" s="91"/>
      <c r="D717" s="91"/>
      <c r="E717" s="91"/>
      <c r="F717" s="91"/>
      <c r="G717" s="91"/>
      <c r="H717" s="91"/>
    </row>
    <row r="718" spans="1:8" ht="15.75" customHeight="1" x14ac:dyDescent="0.2">
      <c r="A718"/>
      <c r="C718" s="91"/>
      <c r="D718" s="91"/>
      <c r="E718" s="91"/>
      <c r="F718" s="91"/>
      <c r="G718" s="91"/>
      <c r="H718" s="91"/>
    </row>
    <row r="719" spans="1:8" ht="15.75" customHeight="1" x14ac:dyDescent="0.2">
      <c r="A719"/>
      <c r="C719" s="91"/>
      <c r="D719" s="91"/>
      <c r="E719" s="91"/>
      <c r="F719" s="91"/>
      <c r="G719" s="91"/>
      <c r="H719" s="91"/>
    </row>
    <row r="720" spans="1:8" ht="15.75" customHeight="1" x14ac:dyDescent="0.2">
      <c r="A720"/>
      <c r="C720" s="91"/>
      <c r="D720" s="91"/>
      <c r="E720" s="91"/>
      <c r="F720" s="91"/>
      <c r="G720" s="91"/>
      <c r="H720" s="91"/>
    </row>
    <row r="721" spans="1:8" ht="15.75" customHeight="1" x14ac:dyDescent="0.2">
      <c r="A721"/>
      <c r="C721" s="91"/>
      <c r="D721" s="91"/>
      <c r="E721" s="91"/>
      <c r="F721" s="91"/>
      <c r="G721" s="91"/>
      <c r="H721" s="91"/>
    </row>
    <row r="722" spans="1:8" ht="15.75" customHeight="1" x14ac:dyDescent="0.2">
      <c r="A722"/>
      <c r="C722" s="91"/>
      <c r="D722" s="91"/>
      <c r="E722" s="91"/>
      <c r="F722" s="91"/>
      <c r="G722" s="91"/>
      <c r="H722" s="91"/>
    </row>
    <row r="723" spans="1:8" ht="15.75" customHeight="1" x14ac:dyDescent="0.2">
      <c r="A723"/>
      <c r="C723" s="91"/>
      <c r="D723" s="91"/>
      <c r="E723" s="91"/>
      <c r="F723" s="91"/>
      <c r="G723" s="91"/>
      <c r="H723" s="91"/>
    </row>
    <row r="724" spans="1:8" ht="15.75" customHeight="1" x14ac:dyDescent="0.2">
      <c r="A724"/>
      <c r="C724" s="91"/>
      <c r="D724" s="91"/>
      <c r="E724" s="91"/>
      <c r="F724" s="91"/>
      <c r="G724" s="91"/>
      <c r="H724" s="91"/>
    </row>
    <row r="725" spans="1:8" ht="15.75" customHeight="1" x14ac:dyDescent="0.2">
      <c r="A725"/>
      <c r="C725" s="91"/>
      <c r="D725" s="91"/>
      <c r="E725" s="91"/>
      <c r="F725" s="91"/>
      <c r="G725" s="91"/>
      <c r="H725" s="91"/>
    </row>
    <row r="726" spans="1:8" ht="15.75" customHeight="1" x14ac:dyDescent="0.2">
      <c r="A726"/>
      <c r="C726" s="91"/>
      <c r="D726" s="91"/>
      <c r="E726" s="91"/>
      <c r="F726" s="91"/>
      <c r="G726" s="91"/>
      <c r="H726" s="91"/>
    </row>
    <row r="727" spans="1:8" ht="15.75" customHeight="1" x14ac:dyDescent="0.2">
      <c r="A727"/>
      <c r="C727" s="91"/>
      <c r="D727" s="91"/>
      <c r="E727" s="91"/>
      <c r="F727" s="91"/>
      <c r="G727" s="91"/>
      <c r="H727" s="91"/>
    </row>
    <row r="728" spans="1:8" ht="15.75" customHeight="1" x14ac:dyDescent="0.2">
      <c r="A728"/>
      <c r="C728" s="91"/>
      <c r="D728" s="91"/>
      <c r="E728" s="91"/>
      <c r="F728" s="91"/>
      <c r="G728" s="91"/>
      <c r="H728" s="91"/>
    </row>
    <row r="729" spans="1:8" ht="15.75" customHeight="1" x14ac:dyDescent="0.2">
      <c r="A729"/>
      <c r="C729" s="91"/>
      <c r="D729" s="91"/>
      <c r="E729" s="91"/>
      <c r="F729" s="91"/>
      <c r="G729" s="91"/>
      <c r="H729" s="91"/>
    </row>
    <row r="730" spans="1:8" ht="15.75" customHeight="1" x14ac:dyDescent="0.2">
      <c r="A730"/>
      <c r="C730" s="91"/>
      <c r="D730" s="91"/>
      <c r="E730" s="91"/>
      <c r="F730" s="91"/>
      <c r="G730" s="91"/>
      <c r="H730" s="91"/>
    </row>
    <row r="731" spans="1:8" ht="15.75" customHeight="1" x14ac:dyDescent="0.2">
      <c r="A731"/>
      <c r="C731" s="91"/>
      <c r="D731" s="91"/>
      <c r="E731" s="91"/>
      <c r="F731" s="91"/>
      <c r="G731" s="91"/>
      <c r="H731" s="91"/>
    </row>
    <row r="732" spans="1:8" ht="15.75" customHeight="1" x14ac:dyDescent="0.2">
      <c r="A732"/>
      <c r="C732" s="91"/>
      <c r="D732" s="91"/>
      <c r="E732" s="91"/>
      <c r="F732" s="91"/>
      <c r="G732" s="91"/>
      <c r="H732" s="91"/>
    </row>
    <row r="733" spans="1:8" ht="15.75" customHeight="1" x14ac:dyDescent="0.2">
      <c r="A733"/>
      <c r="C733" s="91"/>
      <c r="D733" s="91"/>
      <c r="E733" s="91"/>
      <c r="F733" s="91"/>
      <c r="G733" s="91"/>
      <c r="H733" s="91"/>
    </row>
    <row r="734" spans="1:8" ht="15.75" customHeight="1" x14ac:dyDescent="0.2">
      <c r="A734"/>
      <c r="C734" s="91"/>
      <c r="D734" s="91"/>
      <c r="E734" s="91"/>
      <c r="F734" s="91"/>
      <c r="G734" s="91"/>
      <c r="H734" s="91"/>
    </row>
    <row r="735" spans="1:8" ht="15.75" customHeight="1" x14ac:dyDescent="0.2">
      <c r="A735"/>
      <c r="C735" s="91"/>
      <c r="D735" s="91"/>
      <c r="E735" s="91"/>
      <c r="F735" s="91"/>
      <c r="G735" s="91"/>
      <c r="H735" s="91"/>
    </row>
    <row r="736" spans="1:8" ht="15.75" customHeight="1" x14ac:dyDescent="0.2">
      <c r="A736"/>
      <c r="C736" s="91"/>
      <c r="D736" s="91"/>
      <c r="E736" s="91"/>
      <c r="F736" s="91"/>
      <c r="G736" s="91"/>
      <c r="H736" s="91"/>
    </row>
    <row r="737" spans="1:8" ht="15.75" customHeight="1" x14ac:dyDescent="0.2">
      <c r="A737"/>
      <c r="C737" s="91"/>
      <c r="D737" s="91"/>
      <c r="E737" s="91"/>
      <c r="F737" s="91"/>
      <c r="G737" s="91"/>
      <c r="H737" s="91"/>
    </row>
    <row r="738" spans="1:8" ht="15.75" customHeight="1" x14ac:dyDescent="0.2">
      <c r="A738"/>
      <c r="C738" s="91"/>
      <c r="D738" s="91"/>
      <c r="E738" s="91"/>
      <c r="F738" s="91"/>
      <c r="G738" s="91"/>
      <c r="H738" s="91"/>
    </row>
    <row r="739" spans="1:8" ht="15.75" customHeight="1" x14ac:dyDescent="0.2">
      <c r="A739"/>
      <c r="C739" s="91"/>
      <c r="D739" s="91"/>
      <c r="E739" s="91"/>
      <c r="F739" s="91"/>
      <c r="G739" s="91"/>
      <c r="H739" s="91"/>
    </row>
    <row r="740" spans="1:8" ht="15.75" customHeight="1" x14ac:dyDescent="0.2">
      <c r="A740"/>
      <c r="C740" s="91"/>
      <c r="D740" s="91"/>
      <c r="E740" s="91"/>
      <c r="F740" s="91"/>
      <c r="G740" s="91"/>
      <c r="H740" s="91"/>
    </row>
    <row r="741" spans="1:8" ht="15.75" customHeight="1" x14ac:dyDescent="0.2">
      <c r="A741"/>
      <c r="C741" s="91"/>
      <c r="D741" s="91"/>
      <c r="E741" s="91"/>
      <c r="F741" s="91"/>
      <c r="G741" s="91"/>
      <c r="H741" s="91"/>
    </row>
    <row r="742" spans="1:8" ht="15.75" customHeight="1" x14ac:dyDescent="0.2">
      <c r="A742"/>
      <c r="C742" s="91"/>
      <c r="D742" s="91"/>
      <c r="E742" s="91"/>
      <c r="F742" s="91"/>
      <c r="G742" s="91"/>
      <c r="H742" s="91"/>
    </row>
    <row r="743" spans="1:8" ht="15.75" customHeight="1" x14ac:dyDescent="0.2">
      <c r="A743"/>
      <c r="C743" s="91"/>
      <c r="D743" s="91"/>
      <c r="E743" s="91"/>
      <c r="F743" s="91"/>
      <c r="G743" s="91"/>
      <c r="H743" s="91"/>
    </row>
    <row r="744" spans="1:8" ht="15.75" customHeight="1" x14ac:dyDescent="0.2">
      <c r="A744"/>
      <c r="C744" s="91"/>
      <c r="D744" s="91"/>
      <c r="E744" s="91"/>
      <c r="F744" s="91"/>
      <c r="G744" s="91"/>
      <c r="H744" s="91"/>
    </row>
    <row r="745" spans="1:8" ht="15.75" customHeight="1" x14ac:dyDescent="0.2">
      <c r="A745"/>
      <c r="C745" s="91"/>
      <c r="D745" s="91"/>
      <c r="E745" s="91"/>
      <c r="F745" s="91"/>
      <c r="G745" s="91"/>
      <c r="H745" s="91"/>
    </row>
    <row r="746" spans="1:8" ht="15.75" customHeight="1" x14ac:dyDescent="0.2">
      <c r="A746"/>
      <c r="C746" s="91"/>
      <c r="D746" s="91"/>
      <c r="E746" s="91"/>
      <c r="F746" s="91"/>
      <c r="G746" s="91"/>
      <c r="H746" s="91"/>
    </row>
  </sheetData>
  <mergeCells count="4">
    <mergeCell ref="A2:H2"/>
    <mergeCell ref="A3:H3"/>
    <mergeCell ref="I38:T38"/>
    <mergeCell ref="I41:P41"/>
  </mergeCells>
  <pageMargins left="1.2204724409448819" right="0.15748031496062992" top="0.15748031496062992" bottom="0.15748031496062992" header="0.15748031496062992" footer="0.15748031496062992"/>
  <pageSetup paperSize="9" scale="7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41"/>
  <sheetViews>
    <sheetView topLeftCell="A16" zoomScaleNormal="100" workbookViewId="0">
      <selection activeCell="P3" sqref="P3"/>
    </sheetView>
  </sheetViews>
  <sheetFormatPr defaultRowHeight="15" x14ac:dyDescent="0.25"/>
  <cols>
    <col min="1" max="1" width="21.140625" style="542" customWidth="1"/>
    <col min="2" max="2" width="10.28515625" style="542" customWidth="1"/>
    <col min="3" max="4" width="10.42578125" style="542" customWidth="1"/>
    <col min="5" max="5" width="9.7109375" style="542" customWidth="1"/>
    <col min="6" max="6" width="9.42578125" style="542" customWidth="1"/>
    <col min="7" max="7" width="9.85546875" style="542" customWidth="1"/>
    <col min="8" max="8" width="10.28515625" style="542" customWidth="1"/>
    <col min="9" max="9" width="9.7109375" style="542" customWidth="1"/>
    <col min="10" max="10" width="9.85546875" style="542" customWidth="1"/>
    <col min="11" max="11" width="10.42578125" style="542" customWidth="1"/>
    <col min="12" max="12" width="9" style="542" customWidth="1"/>
    <col min="13" max="13" width="9.85546875" style="542" customWidth="1"/>
    <col min="14" max="14" width="10.7109375" style="542" customWidth="1"/>
    <col min="15" max="15" width="9.7109375" style="542" customWidth="1"/>
    <col min="16" max="16" width="11.28515625" style="542" customWidth="1"/>
    <col min="17" max="16384" width="9.140625" style="542"/>
  </cols>
  <sheetData>
    <row r="1" spans="1:20" ht="15.75" x14ac:dyDescent="0.25">
      <c r="A1" s="1102" t="s">
        <v>769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</row>
    <row r="2" spans="1:20" x14ac:dyDescent="0.25">
      <c r="A2" s="543"/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98" t="s">
        <v>868</v>
      </c>
    </row>
    <row r="3" spans="1:20" ht="15" customHeight="1" x14ac:dyDescent="0.25">
      <c r="A3" s="544" t="s">
        <v>770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</row>
    <row r="4" spans="1:20" x14ac:dyDescent="0.25">
      <c r="A4" s="544" t="s">
        <v>771</v>
      </c>
    </row>
    <row r="5" spans="1:20" x14ac:dyDescent="0.25">
      <c r="A5" s="544" t="s">
        <v>772</v>
      </c>
    </row>
    <row r="6" spans="1:20" x14ac:dyDescent="0.25">
      <c r="A6" s="544" t="s">
        <v>773</v>
      </c>
    </row>
    <row r="7" spans="1:20" ht="15.75" thickBot="1" x14ac:dyDescent="0.3"/>
    <row r="8" spans="1:20" x14ac:dyDescent="0.25">
      <c r="A8" s="1103" t="s">
        <v>774</v>
      </c>
      <c r="B8" s="1105" t="s">
        <v>775</v>
      </c>
      <c r="C8" s="1106"/>
      <c r="D8" s="1107"/>
      <c r="E8" s="1105" t="s">
        <v>776</v>
      </c>
      <c r="F8" s="1106"/>
      <c r="G8" s="1107"/>
      <c r="H8" s="1105" t="s">
        <v>777</v>
      </c>
      <c r="I8" s="1106"/>
      <c r="J8" s="1107"/>
      <c r="K8" s="1105" t="s">
        <v>778</v>
      </c>
      <c r="L8" s="1106"/>
      <c r="M8" s="1107"/>
      <c r="N8" s="1108" t="s">
        <v>47</v>
      </c>
      <c r="O8" s="1108"/>
      <c r="P8" s="1109"/>
      <c r="Q8" s="546"/>
      <c r="R8" s="546"/>
      <c r="S8" s="546"/>
    </row>
    <row r="9" spans="1:20" ht="15.75" thickBot="1" x14ac:dyDescent="0.3">
      <c r="A9" s="1104"/>
      <c r="B9" s="547" t="s">
        <v>779</v>
      </c>
      <c r="C9" s="547" t="s">
        <v>780</v>
      </c>
      <c r="D9" s="547" t="s">
        <v>781</v>
      </c>
      <c r="E9" s="547" t="s">
        <v>779</v>
      </c>
      <c r="F9" s="547" t="s">
        <v>780</v>
      </c>
      <c r="G9" s="547" t="s">
        <v>781</v>
      </c>
      <c r="H9" s="547" t="s">
        <v>779</v>
      </c>
      <c r="I9" s="547" t="s">
        <v>780</v>
      </c>
      <c r="J9" s="547" t="s">
        <v>781</v>
      </c>
      <c r="K9" s="547" t="s">
        <v>779</v>
      </c>
      <c r="L9" s="547" t="s">
        <v>780</v>
      </c>
      <c r="M9" s="547" t="s">
        <v>781</v>
      </c>
      <c r="N9" s="547" t="s">
        <v>779</v>
      </c>
      <c r="O9" s="547" t="s">
        <v>780</v>
      </c>
      <c r="P9" s="548" t="s">
        <v>781</v>
      </c>
    </row>
    <row r="10" spans="1:20" x14ac:dyDescent="0.25">
      <c r="A10" s="549" t="s">
        <v>782</v>
      </c>
      <c r="B10" s="550">
        <v>3472866</v>
      </c>
      <c r="C10" s="550">
        <v>937674</v>
      </c>
      <c r="D10" s="550">
        <f>SUM(B10:C10)</f>
        <v>4410540</v>
      </c>
      <c r="E10" s="550">
        <v>7725555</v>
      </c>
      <c r="F10" s="550">
        <v>2085900</v>
      </c>
      <c r="G10" s="550">
        <f>SUM(E10:F10)</f>
        <v>9811455</v>
      </c>
      <c r="H10" s="550">
        <v>52964743</v>
      </c>
      <c r="I10" s="550">
        <v>14300481</v>
      </c>
      <c r="J10" s="550">
        <f>SUM(H10:I10)</f>
        <v>67265224</v>
      </c>
      <c r="K10" s="550">
        <v>32800000</v>
      </c>
      <c r="L10" s="550">
        <v>8856000</v>
      </c>
      <c r="M10" s="550">
        <f>SUM(K10:L10)</f>
        <v>41656000</v>
      </c>
      <c r="N10" s="550">
        <f>SUM(K10+H10+E10+B10)</f>
        <v>96963164</v>
      </c>
      <c r="O10" s="550">
        <f>SUM(L10+I10+F10+C10)</f>
        <v>26180055</v>
      </c>
      <c r="P10" s="550">
        <f>SUM(M10+J10+G10+D10)</f>
        <v>123143219</v>
      </c>
      <c r="Q10" s="551"/>
      <c r="R10" s="551"/>
      <c r="S10" s="551"/>
      <c r="T10" s="551"/>
    </row>
    <row r="11" spans="1:20" x14ac:dyDescent="0.25">
      <c r="A11" s="549" t="s">
        <v>782</v>
      </c>
      <c r="B11" s="552">
        <v>430635392</v>
      </c>
      <c r="C11" s="552">
        <v>116271555</v>
      </c>
      <c r="D11" s="552">
        <f t="shared" ref="D11:D25" si="0">SUM(B11:C11)</f>
        <v>546906947</v>
      </c>
      <c r="E11" s="552">
        <v>3282500</v>
      </c>
      <c r="F11" s="552">
        <v>886275</v>
      </c>
      <c r="G11" s="552">
        <f t="shared" ref="G11:G25" si="1">SUM(E11:F11)</f>
        <v>4168775</v>
      </c>
      <c r="H11" s="552">
        <v>11795100</v>
      </c>
      <c r="I11" s="552">
        <v>3184676</v>
      </c>
      <c r="J11" s="552">
        <f t="shared" ref="J11:J25" si="2">SUM(H11:I11)</f>
        <v>14979776</v>
      </c>
      <c r="K11" s="552">
        <v>45872441</v>
      </c>
      <c r="L11" s="552">
        <v>12385559</v>
      </c>
      <c r="M11" s="552">
        <f t="shared" ref="M11:M25" si="3">SUM(K11:L11)</f>
        <v>58258000</v>
      </c>
      <c r="N11" s="552">
        <f t="shared" ref="N11:N25" si="4">SUM(K11+H11+E11+B11)</f>
        <v>491585433</v>
      </c>
      <c r="O11" s="552">
        <f t="shared" ref="O11:O25" si="5">SUM(L11+I11+F11+C11)</f>
        <v>132728065</v>
      </c>
      <c r="P11" s="552">
        <f t="shared" ref="P11:P25" si="6">SUM(M11+J11+G11+D11)</f>
        <v>624313498</v>
      </c>
      <c r="Q11" s="551"/>
      <c r="R11" s="551"/>
      <c r="S11" s="551"/>
      <c r="T11" s="551"/>
    </row>
    <row r="12" spans="1:20" x14ac:dyDescent="0.25">
      <c r="A12" s="549" t="s">
        <v>782</v>
      </c>
      <c r="B12" s="552">
        <v>13891465</v>
      </c>
      <c r="C12" s="552">
        <v>3750695</v>
      </c>
      <c r="D12" s="552">
        <f t="shared" si="0"/>
        <v>17642160</v>
      </c>
      <c r="E12" s="552">
        <v>56551000</v>
      </c>
      <c r="F12" s="552">
        <v>15268770</v>
      </c>
      <c r="G12" s="552">
        <f t="shared" si="1"/>
        <v>71819770</v>
      </c>
      <c r="H12" s="552">
        <v>9500000</v>
      </c>
      <c r="I12" s="552">
        <v>2565000</v>
      </c>
      <c r="J12" s="552">
        <f t="shared" si="2"/>
        <v>12065000</v>
      </c>
      <c r="K12" s="552">
        <v>48540158</v>
      </c>
      <c r="L12" s="552">
        <v>13105842</v>
      </c>
      <c r="M12" s="552">
        <f t="shared" si="3"/>
        <v>61646000</v>
      </c>
      <c r="N12" s="552">
        <f t="shared" si="4"/>
        <v>128482623</v>
      </c>
      <c r="O12" s="552">
        <f t="shared" si="5"/>
        <v>34690307</v>
      </c>
      <c r="P12" s="552">
        <f t="shared" si="6"/>
        <v>163172930</v>
      </c>
      <c r="Q12" s="551"/>
      <c r="R12" s="551"/>
      <c r="S12" s="551"/>
      <c r="T12" s="551"/>
    </row>
    <row r="13" spans="1:20" x14ac:dyDescent="0.25">
      <c r="A13" s="549" t="s">
        <v>782</v>
      </c>
      <c r="B13" s="552">
        <v>23181381</v>
      </c>
      <c r="C13" s="552">
        <v>6258972</v>
      </c>
      <c r="D13" s="552">
        <f t="shared" si="0"/>
        <v>29440353</v>
      </c>
      <c r="E13" s="552">
        <v>0</v>
      </c>
      <c r="F13" s="552">
        <v>0</v>
      </c>
      <c r="G13" s="552">
        <f t="shared" si="1"/>
        <v>0</v>
      </c>
      <c r="H13" s="552">
        <v>22000000</v>
      </c>
      <c r="I13" s="552">
        <v>5940000</v>
      </c>
      <c r="J13" s="552">
        <f t="shared" si="2"/>
        <v>27940000</v>
      </c>
      <c r="K13" s="552">
        <v>8500000</v>
      </c>
      <c r="L13" s="552">
        <v>2295000</v>
      </c>
      <c r="M13" s="552">
        <f t="shared" si="3"/>
        <v>10795000</v>
      </c>
      <c r="N13" s="552">
        <f t="shared" si="4"/>
        <v>53681381</v>
      </c>
      <c r="O13" s="552">
        <f t="shared" si="5"/>
        <v>14493972</v>
      </c>
      <c r="P13" s="552">
        <f t="shared" si="6"/>
        <v>68175353</v>
      </c>
      <c r="Q13" s="551"/>
      <c r="R13" s="551"/>
      <c r="S13" s="551"/>
      <c r="T13" s="551"/>
    </row>
    <row r="14" spans="1:20" x14ac:dyDescent="0.25">
      <c r="A14" s="553" t="s">
        <v>782</v>
      </c>
      <c r="B14" s="554">
        <v>0</v>
      </c>
      <c r="C14" s="554">
        <v>0</v>
      </c>
      <c r="D14" s="554">
        <f t="shared" si="0"/>
        <v>0</v>
      </c>
      <c r="E14" s="554">
        <v>0</v>
      </c>
      <c r="F14" s="554">
        <v>0</v>
      </c>
      <c r="G14" s="554">
        <f t="shared" si="1"/>
        <v>0</v>
      </c>
      <c r="H14" s="554">
        <v>0</v>
      </c>
      <c r="I14" s="554">
        <v>0</v>
      </c>
      <c r="J14" s="554">
        <f t="shared" si="2"/>
        <v>0</v>
      </c>
      <c r="K14" s="554">
        <v>31842520</v>
      </c>
      <c r="L14" s="554">
        <v>8597480</v>
      </c>
      <c r="M14" s="555">
        <f t="shared" si="3"/>
        <v>40440000</v>
      </c>
      <c r="N14" s="555">
        <f t="shared" si="4"/>
        <v>31842520</v>
      </c>
      <c r="O14" s="555">
        <f t="shared" si="5"/>
        <v>8597480</v>
      </c>
      <c r="P14" s="555">
        <f t="shared" si="6"/>
        <v>40440000</v>
      </c>
      <c r="Q14" s="551"/>
      <c r="R14" s="551"/>
      <c r="S14" s="551"/>
      <c r="T14" s="551"/>
    </row>
    <row r="15" spans="1:20" x14ac:dyDescent="0.25">
      <c r="A15" s="556" t="s">
        <v>783</v>
      </c>
      <c r="B15" s="557">
        <f>SUM(B10:B14)</f>
        <v>471181104</v>
      </c>
      <c r="C15" s="557">
        <f>SUM(C10:C14)</f>
        <v>127218896</v>
      </c>
      <c r="D15" s="557">
        <f>SUM(D10:D14)</f>
        <v>598400000</v>
      </c>
      <c r="E15" s="557">
        <f t="shared" ref="E15:P15" si="7">SUM(E10:E14)</f>
        <v>67559055</v>
      </c>
      <c r="F15" s="557">
        <f t="shared" si="7"/>
        <v>18240945</v>
      </c>
      <c r="G15" s="557">
        <f t="shared" si="7"/>
        <v>85800000</v>
      </c>
      <c r="H15" s="557">
        <f t="shared" si="7"/>
        <v>96259843</v>
      </c>
      <c r="I15" s="557">
        <f t="shared" si="7"/>
        <v>25990157</v>
      </c>
      <c r="J15" s="557">
        <f t="shared" si="7"/>
        <v>122250000</v>
      </c>
      <c r="K15" s="557">
        <f t="shared" si="7"/>
        <v>167555119</v>
      </c>
      <c r="L15" s="557">
        <f t="shared" si="7"/>
        <v>45239881</v>
      </c>
      <c r="M15" s="557">
        <f t="shared" si="7"/>
        <v>212795000</v>
      </c>
      <c r="N15" s="557">
        <f t="shared" si="7"/>
        <v>802555121</v>
      </c>
      <c r="O15" s="557">
        <f t="shared" si="7"/>
        <v>216689879</v>
      </c>
      <c r="P15" s="557">
        <f t="shared" si="7"/>
        <v>1019245000</v>
      </c>
      <c r="Q15" s="551"/>
      <c r="R15" s="551"/>
      <c r="S15" s="551"/>
      <c r="T15" s="551"/>
    </row>
    <row r="16" spans="1:20" x14ac:dyDescent="0.25">
      <c r="A16" s="558" t="s">
        <v>784</v>
      </c>
      <c r="B16" s="559">
        <v>0</v>
      </c>
      <c r="C16" s="559">
        <v>0</v>
      </c>
      <c r="D16" s="559">
        <f t="shared" si="0"/>
        <v>0</v>
      </c>
      <c r="E16" s="559">
        <v>9448819</v>
      </c>
      <c r="F16" s="559">
        <v>2551181</v>
      </c>
      <c r="G16" s="559">
        <f t="shared" si="1"/>
        <v>12000000</v>
      </c>
      <c r="H16" s="559">
        <v>0</v>
      </c>
      <c r="I16" s="559">
        <v>0</v>
      </c>
      <c r="J16" s="559">
        <f t="shared" si="2"/>
        <v>0</v>
      </c>
      <c r="K16" s="559">
        <v>0</v>
      </c>
      <c r="L16" s="559">
        <v>0</v>
      </c>
      <c r="M16" s="559">
        <f t="shared" si="3"/>
        <v>0</v>
      </c>
      <c r="N16" s="552">
        <f t="shared" si="4"/>
        <v>9448819</v>
      </c>
      <c r="O16" s="552">
        <f t="shared" si="5"/>
        <v>2551181</v>
      </c>
      <c r="P16" s="552">
        <f t="shared" si="6"/>
        <v>12000000</v>
      </c>
      <c r="Q16" s="551"/>
      <c r="R16" s="551"/>
      <c r="S16" s="551"/>
      <c r="T16" s="551"/>
    </row>
    <row r="17" spans="1:21" x14ac:dyDescent="0.25">
      <c r="A17" s="560" t="s">
        <v>785</v>
      </c>
      <c r="B17" s="1098">
        <f>6521654-2100000</f>
        <v>4421654</v>
      </c>
      <c r="C17" s="1098">
        <f>7228346-5467500-567000</f>
        <v>1193846</v>
      </c>
      <c r="D17" s="561">
        <f t="shared" si="0"/>
        <v>5615500</v>
      </c>
      <c r="E17" s="1098">
        <v>779528</v>
      </c>
      <c r="F17" s="1098">
        <v>210472</v>
      </c>
      <c r="G17" s="561">
        <f t="shared" si="1"/>
        <v>990000</v>
      </c>
      <c r="H17" s="1098">
        <f>4724410-3550000</f>
        <v>1174410</v>
      </c>
      <c r="I17" s="1098">
        <f>1275590-958500</f>
        <v>317090</v>
      </c>
      <c r="J17" s="561">
        <f t="shared" si="2"/>
        <v>1491500</v>
      </c>
      <c r="K17" s="1098">
        <v>8661417</v>
      </c>
      <c r="L17" s="1098">
        <v>2338583</v>
      </c>
      <c r="M17" s="561">
        <f t="shared" si="3"/>
        <v>11000000</v>
      </c>
      <c r="N17" s="550">
        <f t="shared" si="4"/>
        <v>15037009</v>
      </c>
      <c r="O17" s="550">
        <f t="shared" si="5"/>
        <v>4059991</v>
      </c>
      <c r="P17" s="550">
        <f t="shared" si="6"/>
        <v>19097000</v>
      </c>
      <c r="Q17" s="551"/>
      <c r="R17" s="551"/>
      <c r="S17" s="551"/>
      <c r="T17" s="551"/>
    </row>
    <row r="18" spans="1:21" x14ac:dyDescent="0.25">
      <c r="A18" s="562" t="s">
        <v>786</v>
      </c>
      <c r="B18" s="1099"/>
      <c r="C18" s="1099"/>
      <c r="D18" s="563">
        <f t="shared" si="0"/>
        <v>0</v>
      </c>
      <c r="E18" s="1099"/>
      <c r="F18" s="1099"/>
      <c r="G18" s="563">
        <f t="shared" si="1"/>
        <v>0</v>
      </c>
      <c r="H18" s="1099"/>
      <c r="I18" s="1099"/>
      <c r="J18" s="563">
        <f t="shared" si="2"/>
        <v>0</v>
      </c>
      <c r="K18" s="1099"/>
      <c r="L18" s="1099"/>
      <c r="M18" s="563">
        <f t="shared" si="3"/>
        <v>0</v>
      </c>
      <c r="N18" s="552">
        <f t="shared" si="4"/>
        <v>0</v>
      </c>
      <c r="O18" s="552">
        <f t="shared" si="5"/>
        <v>0</v>
      </c>
      <c r="P18" s="552">
        <f t="shared" si="6"/>
        <v>0</v>
      </c>
      <c r="Q18" s="564"/>
      <c r="R18" s="564"/>
      <c r="S18" s="564"/>
      <c r="T18" s="564"/>
    </row>
    <row r="19" spans="1:21" x14ac:dyDescent="0.25">
      <c r="A19" s="562" t="s">
        <v>787</v>
      </c>
      <c r="B19" s="563">
        <v>20250000</v>
      </c>
      <c r="C19" s="563">
        <v>5467500</v>
      </c>
      <c r="D19" s="563">
        <f t="shared" si="0"/>
        <v>25717500</v>
      </c>
      <c r="E19" s="563">
        <v>3000000</v>
      </c>
      <c r="F19" s="563">
        <v>810000</v>
      </c>
      <c r="G19" s="563">
        <f t="shared" si="1"/>
        <v>3810000</v>
      </c>
      <c r="H19" s="563">
        <v>3550000</v>
      </c>
      <c r="I19" s="563">
        <v>958500</v>
      </c>
      <c r="J19" s="563">
        <f t="shared" si="2"/>
        <v>4508500</v>
      </c>
      <c r="K19" s="1099"/>
      <c r="L19" s="1099"/>
      <c r="M19" s="563">
        <f t="shared" si="3"/>
        <v>0</v>
      </c>
      <c r="N19" s="552">
        <f t="shared" si="4"/>
        <v>26800000</v>
      </c>
      <c r="O19" s="552">
        <f t="shared" si="5"/>
        <v>7236000</v>
      </c>
      <c r="P19" s="552">
        <f t="shared" si="6"/>
        <v>34036000</v>
      </c>
      <c r="Q19" s="564"/>
      <c r="R19" s="564"/>
      <c r="S19" s="564"/>
      <c r="T19" s="564"/>
    </row>
    <row r="20" spans="1:21" x14ac:dyDescent="0.25">
      <c r="A20" s="562" t="s">
        <v>788</v>
      </c>
      <c r="B20" s="563">
        <v>5354331</v>
      </c>
      <c r="C20" s="563">
        <v>1445669</v>
      </c>
      <c r="D20" s="563">
        <f t="shared" si="0"/>
        <v>6800000</v>
      </c>
      <c r="E20" s="563">
        <v>944882</v>
      </c>
      <c r="F20" s="563">
        <v>255118</v>
      </c>
      <c r="G20" s="563">
        <f t="shared" si="1"/>
        <v>1200000</v>
      </c>
      <c r="H20" s="563">
        <v>1181102</v>
      </c>
      <c r="I20" s="563">
        <v>318898</v>
      </c>
      <c r="J20" s="563">
        <f t="shared" si="2"/>
        <v>1500000</v>
      </c>
      <c r="K20" s="563">
        <v>1732283</v>
      </c>
      <c r="L20" s="563">
        <v>467716</v>
      </c>
      <c r="M20" s="563">
        <f t="shared" si="3"/>
        <v>2199999</v>
      </c>
      <c r="N20" s="552">
        <f t="shared" si="4"/>
        <v>9212598</v>
      </c>
      <c r="O20" s="552">
        <f t="shared" si="5"/>
        <v>2487401</v>
      </c>
      <c r="P20" s="552">
        <f t="shared" si="6"/>
        <v>11699999</v>
      </c>
      <c r="Q20" s="564"/>
      <c r="R20" s="564"/>
      <c r="S20" s="564"/>
      <c r="T20" s="564"/>
    </row>
    <row r="21" spans="1:21" x14ac:dyDescent="0.25">
      <c r="A21" s="562" t="s">
        <v>789</v>
      </c>
      <c r="B21" s="563">
        <v>5354331</v>
      </c>
      <c r="C21" s="563">
        <v>1445669</v>
      </c>
      <c r="D21" s="563">
        <f t="shared" si="0"/>
        <v>6800000</v>
      </c>
      <c r="E21" s="563">
        <v>944882</v>
      </c>
      <c r="F21" s="563">
        <f>(E21*0.27)</f>
        <v>255118.14</v>
      </c>
      <c r="G21" s="563">
        <f>SUM(E21:F21)</f>
        <v>1200000.1400000001</v>
      </c>
      <c r="H21" s="563">
        <v>1200000</v>
      </c>
      <c r="I21" s="563">
        <v>300000</v>
      </c>
      <c r="J21" s="563">
        <f t="shared" si="2"/>
        <v>1500000</v>
      </c>
      <c r="K21" s="563">
        <v>1732283</v>
      </c>
      <c r="L21" s="563">
        <v>467716</v>
      </c>
      <c r="M21" s="563">
        <f t="shared" si="3"/>
        <v>2199999</v>
      </c>
      <c r="N21" s="552">
        <f t="shared" si="4"/>
        <v>9231496</v>
      </c>
      <c r="O21" s="552">
        <f t="shared" si="5"/>
        <v>2468503.14</v>
      </c>
      <c r="P21" s="552">
        <f t="shared" si="6"/>
        <v>11699999.140000001</v>
      </c>
      <c r="Q21" s="564"/>
      <c r="R21" s="564"/>
      <c r="S21" s="564"/>
      <c r="T21" s="564"/>
    </row>
    <row r="22" spans="1:21" x14ac:dyDescent="0.25">
      <c r="A22" s="562" t="s">
        <v>790</v>
      </c>
      <c r="B22" s="563">
        <v>2677165</v>
      </c>
      <c r="C22" s="563">
        <v>722835</v>
      </c>
      <c r="D22" s="563">
        <f t="shared" si="0"/>
        <v>3400000</v>
      </c>
      <c r="E22" s="563">
        <v>472441</v>
      </c>
      <c r="F22" s="563">
        <f>(E22*0.27)</f>
        <v>127559.07</v>
      </c>
      <c r="G22" s="563">
        <f>SUM(E22:F22)</f>
        <v>600000.07000000007</v>
      </c>
      <c r="H22" s="563">
        <v>590551</v>
      </c>
      <c r="I22" s="563">
        <f>(H22*0.27)</f>
        <v>159448.77000000002</v>
      </c>
      <c r="J22" s="563">
        <f t="shared" si="2"/>
        <v>749999.77</v>
      </c>
      <c r="K22" s="563">
        <v>130000</v>
      </c>
      <c r="L22" s="563">
        <v>35100</v>
      </c>
      <c r="M22" s="563">
        <f t="shared" si="3"/>
        <v>165100</v>
      </c>
      <c r="N22" s="552">
        <f t="shared" si="4"/>
        <v>3870157</v>
      </c>
      <c r="O22" s="552">
        <f t="shared" si="5"/>
        <v>1044942.8400000001</v>
      </c>
      <c r="P22" s="552">
        <f t="shared" si="6"/>
        <v>4915099.84</v>
      </c>
      <c r="Q22" s="564"/>
      <c r="R22" s="564"/>
      <c r="S22" s="564"/>
      <c r="T22" s="564"/>
    </row>
    <row r="23" spans="1:21" x14ac:dyDescent="0.25">
      <c r="A23" s="565" t="s">
        <v>791</v>
      </c>
      <c r="B23" s="563">
        <v>2100000</v>
      </c>
      <c r="C23" s="563">
        <v>567000</v>
      </c>
      <c r="D23" s="563">
        <f t="shared" si="0"/>
        <v>2667000</v>
      </c>
      <c r="E23" s="563">
        <v>0</v>
      </c>
      <c r="F23" s="563">
        <v>0</v>
      </c>
      <c r="G23" s="563">
        <f t="shared" si="1"/>
        <v>0</v>
      </c>
      <c r="H23" s="563">
        <v>0</v>
      </c>
      <c r="I23" s="563">
        <v>0</v>
      </c>
      <c r="J23" s="563">
        <f t="shared" si="2"/>
        <v>0</v>
      </c>
      <c r="K23" s="563">
        <v>0</v>
      </c>
      <c r="L23" s="563">
        <v>0</v>
      </c>
      <c r="M23" s="563">
        <f t="shared" si="3"/>
        <v>0</v>
      </c>
      <c r="N23" s="552">
        <f t="shared" si="4"/>
        <v>2100000</v>
      </c>
      <c r="O23" s="552">
        <f t="shared" si="5"/>
        <v>567000</v>
      </c>
      <c r="P23" s="552">
        <f t="shared" si="6"/>
        <v>2667000</v>
      </c>
      <c r="Q23" s="551"/>
      <c r="R23" s="551"/>
      <c r="S23" s="551"/>
      <c r="T23" s="551"/>
    </row>
    <row r="24" spans="1:21" x14ac:dyDescent="0.25">
      <c r="A24" s="566" t="s">
        <v>792</v>
      </c>
      <c r="B24" s="563">
        <v>0</v>
      </c>
      <c r="C24" s="563">
        <v>0</v>
      </c>
      <c r="D24" s="563">
        <f t="shared" si="0"/>
        <v>0</v>
      </c>
      <c r="E24" s="563">
        <v>472441</v>
      </c>
      <c r="F24" s="563">
        <v>127559</v>
      </c>
      <c r="G24" s="563">
        <f t="shared" si="1"/>
        <v>600000</v>
      </c>
      <c r="H24" s="563">
        <v>590551</v>
      </c>
      <c r="I24" s="563">
        <v>159449</v>
      </c>
      <c r="J24" s="563">
        <f t="shared" si="2"/>
        <v>750000</v>
      </c>
      <c r="K24" s="563">
        <v>0</v>
      </c>
      <c r="L24" s="563">
        <v>0</v>
      </c>
      <c r="M24" s="563">
        <f t="shared" si="3"/>
        <v>0</v>
      </c>
      <c r="N24" s="552">
        <f t="shared" si="4"/>
        <v>1062992</v>
      </c>
      <c r="O24" s="552">
        <f t="shared" si="5"/>
        <v>287008</v>
      </c>
      <c r="P24" s="552">
        <f t="shared" si="6"/>
        <v>1350000</v>
      </c>
      <c r="Q24" s="551"/>
      <c r="R24" s="551"/>
      <c r="S24" s="551"/>
      <c r="T24" s="551"/>
    </row>
    <row r="25" spans="1:21" ht="24.75" x14ac:dyDescent="0.25">
      <c r="A25" s="566" t="s">
        <v>793</v>
      </c>
      <c r="B25" s="563">
        <v>0</v>
      </c>
      <c r="C25" s="563">
        <v>0</v>
      </c>
      <c r="D25" s="563">
        <f t="shared" si="0"/>
        <v>0</v>
      </c>
      <c r="E25" s="563">
        <v>0</v>
      </c>
      <c r="F25" s="563">
        <v>0</v>
      </c>
      <c r="G25" s="563">
        <f t="shared" si="1"/>
        <v>0</v>
      </c>
      <c r="H25" s="563">
        <v>0</v>
      </c>
      <c r="I25" s="563">
        <v>0</v>
      </c>
      <c r="J25" s="563">
        <f t="shared" si="2"/>
        <v>0</v>
      </c>
      <c r="K25" s="563">
        <v>100000</v>
      </c>
      <c r="L25" s="563">
        <v>27000</v>
      </c>
      <c r="M25" s="563">
        <f t="shared" si="3"/>
        <v>127000</v>
      </c>
      <c r="N25" s="552">
        <f t="shared" si="4"/>
        <v>100000</v>
      </c>
      <c r="O25" s="552">
        <f t="shared" si="5"/>
        <v>27000</v>
      </c>
      <c r="P25" s="552">
        <f t="shared" si="6"/>
        <v>127000</v>
      </c>
      <c r="Q25" s="564"/>
      <c r="R25" s="564"/>
      <c r="S25" s="564"/>
      <c r="T25" s="564"/>
    </row>
    <row r="26" spans="1:21" ht="24" x14ac:dyDescent="0.25">
      <c r="A26" s="567" t="s">
        <v>794</v>
      </c>
      <c r="B26" s="563">
        <v>10708662</v>
      </c>
      <c r="C26" s="563">
        <v>2891338</v>
      </c>
      <c r="D26" s="563">
        <f>SUM(B26:C26)</f>
        <v>13600000</v>
      </c>
      <c r="E26" s="563">
        <v>7559055</v>
      </c>
      <c r="F26" s="563">
        <f>(E26*0.27)</f>
        <v>2040944.85</v>
      </c>
      <c r="G26" s="563">
        <f>SUM(E26:F26)</f>
        <v>9599999.8499999996</v>
      </c>
      <c r="H26" s="563">
        <v>9448819</v>
      </c>
      <c r="I26" s="563">
        <f>(H26*0.27)</f>
        <v>2551181.1300000004</v>
      </c>
      <c r="J26" s="563">
        <f>SUM(H26:I26)</f>
        <v>12000000.130000001</v>
      </c>
      <c r="K26" s="563">
        <v>636142</v>
      </c>
      <c r="L26" s="563">
        <v>171758</v>
      </c>
      <c r="M26" s="563">
        <f>SUM(K26:L26)</f>
        <v>807900</v>
      </c>
      <c r="N26" s="552">
        <f>SUM(K26+H26+E26+B26)</f>
        <v>28352678</v>
      </c>
      <c r="O26" s="552">
        <f>SUM(L26+I26+F26+C26)</f>
        <v>7655221.9800000004</v>
      </c>
      <c r="P26" s="552">
        <f>SUM(M26+J26+G26+D26)</f>
        <v>36007899.980000004</v>
      </c>
      <c r="Q26" s="564"/>
      <c r="R26" s="564"/>
      <c r="S26" s="564"/>
      <c r="T26" s="564"/>
    </row>
    <row r="27" spans="1:21" x14ac:dyDescent="0.25">
      <c r="A27" s="568" t="s">
        <v>31</v>
      </c>
      <c r="B27" s="569">
        <f>SUM(B17:B26)</f>
        <v>50866143</v>
      </c>
      <c r="C27" s="569">
        <f>SUM(C17:C26)</f>
        <v>13733857</v>
      </c>
      <c r="D27" s="569">
        <f t="shared" ref="D27:P27" si="8">SUM(D17:D26)</f>
        <v>64600000</v>
      </c>
      <c r="E27" s="569">
        <f t="shared" si="8"/>
        <v>14173229</v>
      </c>
      <c r="F27" s="569">
        <f t="shared" si="8"/>
        <v>3826771.0600000005</v>
      </c>
      <c r="G27" s="569">
        <f t="shared" si="8"/>
        <v>18000000.060000002</v>
      </c>
      <c r="H27" s="569">
        <f t="shared" si="8"/>
        <v>17735433</v>
      </c>
      <c r="I27" s="569">
        <f t="shared" si="8"/>
        <v>4764566.9000000004</v>
      </c>
      <c r="J27" s="569">
        <f t="shared" si="8"/>
        <v>22499999.899999999</v>
      </c>
      <c r="K27" s="569">
        <f t="shared" si="8"/>
        <v>12992125</v>
      </c>
      <c r="L27" s="569">
        <f t="shared" si="8"/>
        <v>3507873</v>
      </c>
      <c r="M27" s="569">
        <f t="shared" si="8"/>
        <v>16499998</v>
      </c>
      <c r="N27" s="569">
        <f t="shared" si="8"/>
        <v>95766930</v>
      </c>
      <c r="O27" s="569">
        <f t="shared" si="8"/>
        <v>25833067.960000001</v>
      </c>
      <c r="P27" s="569">
        <f t="shared" si="8"/>
        <v>121599997.96000001</v>
      </c>
      <c r="Q27" s="564"/>
      <c r="R27" s="564"/>
      <c r="S27" s="564"/>
      <c r="T27" s="564"/>
    </row>
    <row r="28" spans="1:21" ht="27.75" customHeight="1" thickBot="1" x14ac:dyDescent="0.3">
      <c r="A28" s="570" t="s">
        <v>795</v>
      </c>
      <c r="B28" s="571">
        <v>1639344</v>
      </c>
      <c r="C28" s="571">
        <v>360656</v>
      </c>
      <c r="D28" s="571">
        <f>SUM(B28:C28)</f>
        <v>2000000</v>
      </c>
      <c r="E28" s="571"/>
      <c r="F28" s="571"/>
      <c r="G28" s="571"/>
      <c r="H28" s="571"/>
      <c r="I28" s="571"/>
      <c r="J28" s="571"/>
      <c r="K28" s="571"/>
      <c r="L28" s="571"/>
      <c r="M28" s="571"/>
      <c r="N28" s="572">
        <f>SUM(K28+H28+E28+B28)</f>
        <v>1639344</v>
      </c>
      <c r="O28" s="572">
        <f>SUM(L28+I28+F28+C28)</f>
        <v>360656</v>
      </c>
      <c r="P28" s="572">
        <f>SUM(M28+J28+G28+D28)</f>
        <v>2000000</v>
      </c>
      <c r="Q28" s="564"/>
      <c r="R28" s="564"/>
      <c r="S28" s="564"/>
      <c r="T28" s="564"/>
    </row>
    <row r="29" spans="1:21" ht="15.75" thickBot="1" x14ac:dyDescent="0.3">
      <c r="A29" s="573" t="s">
        <v>444</v>
      </c>
      <c r="B29" s="574">
        <f>SUM(B15+B16+B27+B28)</f>
        <v>523686591</v>
      </c>
      <c r="C29" s="574">
        <f t="shared" ref="C29:P29" si="9">SUM(C15+C16+C27+C28)</f>
        <v>141313409</v>
      </c>
      <c r="D29" s="574">
        <f t="shared" si="9"/>
        <v>665000000</v>
      </c>
      <c r="E29" s="574">
        <f t="shared" si="9"/>
        <v>91181103</v>
      </c>
      <c r="F29" s="574">
        <f t="shared" si="9"/>
        <v>24618897.060000002</v>
      </c>
      <c r="G29" s="574">
        <f t="shared" si="9"/>
        <v>115800000.06</v>
      </c>
      <c r="H29" s="574">
        <f t="shared" si="9"/>
        <v>113995276</v>
      </c>
      <c r="I29" s="574">
        <f t="shared" si="9"/>
        <v>30754723.899999999</v>
      </c>
      <c r="J29" s="574">
        <f t="shared" si="9"/>
        <v>144749999.90000001</v>
      </c>
      <c r="K29" s="574">
        <f t="shared" si="9"/>
        <v>180547244</v>
      </c>
      <c r="L29" s="574">
        <f t="shared" si="9"/>
        <v>48747754</v>
      </c>
      <c r="M29" s="574">
        <f t="shared" si="9"/>
        <v>229294998</v>
      </c>
      <c r="N29" s="574">
        <f t="shared" si="9"/>
        <v>909410214</v>
      </c>
      <c r="O29" s="574">
        <f t="shared" si="9"/>
        <v>245434783.96000001</v>
      </c>
      <c r="P29" s="575">
        <f t="shared" si="9"/>
        <v>1154844997.96</v>
      </c>
      <c r="Q29" s="551"/>
      <c r="R29" s="551"/>
      <c r="S29" s="576"/>
      <c r="T29" s="576"/>
    </row>
    <row r="30" spans="1:21" ht="24.75" x14ac:dyDescent="0.25">
      <c r="A30" s="577" t="s">
        <v>796</v>
      </c>
      <c r="B30" s="578"/>
      <c r="C30" s="579"/>
      <c r="D30" s="580">
        <f>SUM(B29:C29)</f>
        <v>665000000</v>
      </c>
      <c r="E30" s="580"/>
      <c r="F30" s="581"/>
      <c r="G30" s="582">
        <f>SUM(E29+F29)</f>
        <v>115800000.06</v>
      </c>
      <c r="H30" s="580"/>
      <c r="I30" s="581"/>
      <c r="J30" s="582">
        <f>SUM(H29+I29)</f>
        <v>144749999.90000001</v>
      </c>
      <c r="K30" s="580"/>
      <c r="L30" s="581"/>
      <c r="M30" s="582">
        <f>SUM(K29+L29)</f>
        <v>229294998</v>
      </c>
      <c r="N30" s="1100"/>
      <c r="O30" s="1101"/>
      <c r="P30" s="582">
        <f>SUM(N29+O29)</f>
        <v>1154844997.96</v>
      </c>
      <c r="Q30" s="551"/>
      <c r="R30" s="551"/>
      <c r="S30" s="576"/>
      <c r="T30" s="576"/>
    </row>
    <row r="31" spans="1:21" x14ac:dyDescent="0.25">
      <c r="A31" s="583" t="s">
        <v>797</v>
      </c>
      <c r="B31" s="584"/>
      <c r="C31" s="585"/>
      <c r="D31" s="586">
        <v>633766800</v>
      </c>
      <c r="E31" s="587"/>
      <c r="F31" s="588"/>
      <c r="G31" s="586">
        <v>104400000</v>
      </c>
      <c r="H31" s="587"/>
      <c r="I31" s="588"/>
      <c r="J31" s="586">
        <v>130500000</v>
      </c>
      <c r="K31" s="587"/>
      <c r="L31" s="588"/>
      <c r="M31" s="586">
        <v>226929899</v>
      </c>
      <c r="N31" s="586"/>
      <c r="O31" s="586"/>
      <c r="P31" s="586">
        <f>SUM(D31+G31+J31+M31)</f>
        <v>1095596699</v>
      </c>
      <c r="Q31" s="589"/>
      <c r="R31" s="589"/>
    </row>
    <row r="32" spans="1:21" x14ac:dyDescent="0.25">
      <c r="A32" s="590" t="s">
        <v>798</v>
      </c>
      <c r="B32" s="591"/>
      <c r="C32" s="592"/>
      <c r="D32" s="593">
        <f>SUM(D30-D31)</f>
        <v>31233200</v>
      </c>
      <c r="E32" s="594"/>
      <c r="F32" s="595"/>
      <c r="G32" s="593">
        <f>SUM(G30-G31)</f>
        <v>11400000.060000002</v>
      </c>
      <c r="H32" s="594"/>
      <c r="I32" s="595"/>
      <c r="J32" s="593">
        <f>SUM(J30-J31)</f>
        <v>14249999.900000006</v>
      </c>
      <c r="K32" s="594"/>
      <c r="L32" s="595"/>
      <c r="M32" s="593">
        <f>SUM(M30-M31)</f>
        <v>2365099</v>
      </c>
      <c r="N32" s="593"/>
      <c r="O32" s="593"/>
      <c r="P32" s="593">
        <f>SUM(P30-P31)</f>
        <v>59248298.960000038</v>
      </c>
      <c r="Q32" s="589"/>
      <c r="R32" s="589"/>
      <c r="S32" s="589"/>
      <c r="T32" s="589"/>
      <c r="U32" s="589"/>
    </row>
    <row r="33" spans="1:21" x14ac:dyDescent="0.25">
      <c r="B33" s="589"/>
      <c r="C33" s="589"/>
      <c r="D33" s="551">
        <f>SUM(B29:C29)</f>
        <v>665000000</v>
      </c>
      <c r="E33" s="589"/>
      <c r="F33" s="589"/>
      <c r="G33" s="551">
        <f>SUM(G15+G16+G17+G18+G19+G20+G21+G22+G23+G24+G25+G28+G26)</f>
        <v>115800000.05999999</v>
      </c>
      <c r="H33" s="589"/>
      <c r="I33" s="589"/>
      <c r="J33" s="551">
        <f>SUM(J15+J16+J17+J18+J19+J20+J21+J22+J23+J24+J25+J28+J26)</f>
        <v>144749999.90000001</v>
      </c>
      <c r="K33" s="589"/>
      <c r="L33" s="589"/>
      <c r="M33" s="551">
        <f>SUM(M15+M16+M17+M18+M19+M20+M21+M22+M23+M24+M25+M28+M26)</f>
        <v>229294998</v>
      </c>
      <c r="N33" s="551"/>
      <c r="O33" s="551"/>
      <c r="P33" s="596">
        <f>SUM(N29:O29)</f>
        <v>1154844997.96</v>
      </c>
      <c r="Q33" s="589"/>
      <c r="R33" s="589"/>
      <c r="S33" s="589"/>
      <c r="T33" s="589"/>
      <c r="U33" s="589"/>
    </row>
    <row r="34" spans="1:21" x14ac:dyDescent="0.25">
      <c r="B34" s="589"/>
      <c r="C34" s="589"/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97">
        <f>SUM(D32+G32+J32+M32)</f>
        <v>59248298.960000008</v>
      </c>
      <c r="Q34" s="589"/>
      <c r="R34" s="589"/>
      <c r="S34" s="589"/>
      <c r="T34" s="589"/>
      <c r="U34" s="589"/>
    </row>
    <row r="35" spans="1:21" ht="27" thickBot="1" x14ac:dyDescent="0.3">
      <c r="A35" s="598" t="s">
        <v>799</v>
      </c>
      <c r="B35" s="551">
        <f>(D35/1.27)</f>
        <v>28577874.015748031</v>
      </c>
      <c r="C35" s="551">
        <f>(B35*0.27)</f>
        <v>7716025.9842519686</v>
      </c>
      <c r="D35" s="551">
        <v>36293900</v>
      </c>
      <c r="E35" s="551">
        <f>(G35/1.27)</f>
        <v>3165000</v>
      </c>
      <c r="F35" s="551">
        <f>(E35*0.27)</f>
        <v>854550</v>
      </c>
      <c r="G35" s="551">
        <v>4019550</v>
      </c>
      <c r="H35" s="551">
        <f>(J35/1.27)</f>
        <v>3985000</v>
      </c>
      <c r="I35" s="551">
        <f>(H35*0.27)</f>
        <v>1075950</v>
      </c>
      <c r="J35" s="551">
        <v>5060950</v>
      </c>
      <c r="K35" s="551">
        <f>(M35/1.27)</f>
        <v>6067007.8740157476</v>
      </c>
      <c r="L35" s="551">
        <f>(K35*0.27)</f>
        <v>1638092.125984252</v>
      </c>
      <c r="M35" s="551">
        <v>7705100</v>
      </c>
      <c r="N35" s="599">
        <f>(P35/1.27)</f>
        <v>41794881.88976378</v>
      </c>
      <c r="O35" s="599">
        <f>(N35*0.27)</f>
        <v>11284618.110236222</v>
      </c>
      <c r="P35" s="599">
        <f>SUM(D35+G35+J35+M35)</f>
        <v>53079500</v>
      </c>
    </row>
    <row r="36" spans="1:21" ht="27" thickBot="1" x14ac:dyDescent="0.3">
      <c r="A36" s="600" t="s">
        <v>800</v>
      </c>
      <c r="B36" s="564">
        <f t="shared" ref="B36:M36" si="10">SUM(B27-B35)</f>
        <v>22288268.984251969</v>
      </c>
      <c r="C36" s="564">
        <f t="shared" si="10"/>
        <v>6017831.0157480314</v>
      </c>
      <c r="D36" s="564">
        <f t="shared" si="10"/>
        <v>28306100</v>
      </c>
      <c r="E36" s="564">
        <f t="shared" si="10"/>
        <v>11008229</v>
      </c>
      <c r="F36" s="564">
        <f t="shared" si="10"/>
        <v>2972221.0600000005</v>
      </c>
      <c r="G36" s="564">
        <f t="shared" si="10"/>
        <v>13980450.060000002</v>
      </c>
      <c r="H36" s="564">
        <f t="shared" si="10"/>
        <v>13750433</v>
      </c>
      <c r="I36" s="564">
        <f t="shared" si="10"/>
        <v>3688616.9000000004</v>
      </c>
      <c r="J36" s="564">
        <f t="shared" si="10"/>
        <v>17439049.899999999</v>
      </c>
      <c r="K36" s="564">
        <f t="shared" si="10"/>
        <v>6925117.1259842524</v>
      </c>
      <c r="L36" s="564">
        <f t="shared" si="10"/>
        <v>1869780.874015748</v>
      </c>
      <c r="M36" s="564">
        <f t="shared" si="10"/>
        <v>8794898</v>
      </c>
      <c r="N36" s="601">
        <f>SUM(B36+E36+H36+K36)</f>
        <v>53972048.11023622</v>
      </c>
      <c r="O36" s="602">
        <f>SUM(C36+F36+I36+L36)</f>
        <v>14548449.849763781</v>
      </c>
      <c r="P36" s="603">
        <f>SUM(D36+G36+J36+M36)</f>
        <v>68520497.960000008</v>
      </c>
    </row>
    <row r="37" spans="1:21" x14ac:dyDescent="0.25"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</row>
    <row r="38" spans="1:21" x14ac:dyDescent="0.25">
      <c r="B38" s="576"/>
      <c r="C38" s="576"/>
      <c r="D38" s="576"/>
      <c r="E38" s="576"/>
      <c r="F38" s="576"/>
      <c r="G38" s="576"/>
      <c r="H38" s="576">
        <v>95970495</v>
      </c>
      <c r="I38" s="576"/>
      <c r="J38" s="576"/>
      <c r="K38" s="576"/>
      <c r="L38" s="576"/>
      <c r="M38" s="576"/>
      <c r="N38" s="576"/>
      <c r="O38" s="576"/>
      <c r="P38" s="576"/>
    </row>
    <row r="39" spans="1:21" x14ac:dyDescent="0.25"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</row>
    <row r="40" spans="1:21" x14ac:dyDescent="0.25"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</row>
    <row r="41" spans="1:21" x14ac:dyDescent="0.25">
      <c r="B41" s="576"/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</row>
  </sheetData>
  <mergeCells count="16">
    <mergeCell ref="A1:P1"/>
    <mergeCell ref="A8:A9"/>
    <mergeCell ref="B8:D8"/>
    <mergeCell ref="E8:G8"/>
    <mergeCell ref="H8:J8"/>
    <mergeCell ref="K8:M8"/>
    <mergeCell ref="N8:P8"/>
    <mergeCell ref="K17:K19"/>
    <mergeCell ref="L17:L19"/>
    <mergeCell ref="N30:O30"/>
    <mergeCell ref="B17:B18"/>
    <mergeCell ref="C17:C18"/>
    <mergeCell ref="E17:E18"/>
    <mergeCell ref="F17:F18"/>
    <mergeCell ref="H17:H18"/>
    <mergeCell ref="I17:I1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23</vt:i4>
      </vt:variant>
    </vt:vector>
  </HeadingPairs>
  <TitlesOfParts>
    <vt:vector size="47" baseType="lpstr">
      <vt:lpstr>Összesítő</vt:lpstr>
      <vt:lpstr>1.Bev-kiad.</vt:lpstr>
      <vt:lpstr>2.működés</vt:lpstr>
      <vt:lpstr>3.felh</vt:lpstr>
      <vt:lpstr>4. Átadott p.eszk.</vt:lpstr>
      <vt:lpstr>5.Bev.össz</vt:lpstr>
      <vt:lpstr>6.Kiad.össz. </vt:lpstr>
      <vt:lpstr>7.finanszírozás.</vt:lpstr>
      <vt:lpstr>8.Önk.</vt:lpstr>
      <vt:lpstr>zöld város</vt:lpstr>
      <vt:lpstr>9.Hivatal</vt:lpstr>
      <vt:lpstr>10.Többéves, adósság</vt:lpstr>
      <vt:lpstr>12. Maradványkimutatás</vt:lpstr>
      <vt:lpstr>13.Mérleg</vt:lpstr>
      <vt:lpstr>14. Eredménykimutatás</vt:lpstr>
      <vt:lpstr>15. Vagyonkimutatás</vt:lpstr>
      <vt:lpstr>16. Előirányzat felh.terv</vt:lpstr>
      <vt:lpstr>17. Részesedések</vt:lpstr>
      <vt:lpstr>10.Likviditás</vt:lpstr>
      <vt:lpstr>12. gördülő tervezés</vt:lpstr>
      <vt:lpstr>13. Eu projekt</vt:lpstr>
      <vt:lpstr>Társulási fel. tájékoztatásul</vt:lpstr>
      <vt:lpstr>beruházások</vt:lpstr>
      <vt:lpstr>13.2.EU projekt részletesen</vt:lpstr>
      <vt:lpstr>'2.működés'!Nyomtatási_cím</vt:lpstr>
      <vt:lpstr>'6.Kiad.össz. '!Nyomtatási_cím</vt:lpstr>
      <vt:lpstr>'7.finanszírozás.'!Nyomtatási_cím</vt:lpstr>
      <vt:lpstr>'8.Önk.'!Nyomtatási_cím</vt:lpstr>
      <vt:lpstr>'9.Hivatal'!Nyomtatási_cím</vt:lpstr>
      <vt:lpstr>Összesítő!Nyomtatási_cím</vt:lpstr>
      <vt:lpstr>'1.Bev-kiad.'!Nyomtatási_terület</vt:lpstr>
      <vt:lpstr>'10.Likviditás'!Nyomtatási_terület</vt:lpstr>
      <vt:lpstr>'10.Többéves, adósság'!Nyomtatási_terület</vt:lpstr>
      <vt:lpstr>'12. gördülő tervezés'!Nyomtatási_terület</vt:lpstr>
      <vt:lpstr>'12. Maradványkimutatás'!Nyomtatási_terület</vt:lpstr>
      <vt:lpstr>'13. Eu projekt'!Nyomtatási_terület</vt:lpstr>
      <vt:lpstr>'15. Vagyonkimutatás'!Nyomtatási_terület</vt:lpstr>
      <vt:lpstr>'2.működés'!Nyomtatási_terület</vt:lpstr>
      <vt:lpstr>'3.felh'!Nyomtatási_terület</vt:lpstr>
      <vt:lpstr>'4. Átadott p.eszk.'!Nyomtatási_terület</vt:lpstr>
      <vt:lpstr>'6.Kiad.össz. '!Nyomtatási_terület</vt:lpstr>
      <vt:lpstr>'7.finanszírozás.'!Nyomtatási_terület</vt:lpstr>
      <vt:lpstr>'8.Önk.'!Nyomtatási_terület</vt:lpstr>
      <vt:lpstr>'9.Hivatal'!Nyomtatási_terület</vt:lpstr>
      <vt:lpstr>beruházások!Nyomtatási_terület</vt:lpstr>
      <vt:lpstr>Összesítő!Nyomtatási_terület</vt:lpstr>
      <vt:lpstr>'Társulási fel.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MagorineA</cp:lastModifiedBy>
  <cp:lastPrinted>2021-06-14T10:47:38Z</cp:lastPrinted>
  <dcterms:created xsi:type="dcterms:W3CDTF">2009-11-11T14:39:35Z</dcterms:created>
  <dcterms:modified xsi:type="dcterms:W3CDTF">2021-06-15T05:51:46Z</dcterms:modified>
</cp:coreProperties>
</file>