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2023\2023_BALATONFÖLDVÁR\2023_ktgvetés_Bf\"/>
    </mc:Choice>
  </mc:AlternateContent>
  <xr:revisionPtr revIDLastSave="0" documentId="13_ncr:1_{8ABB510A-2103-4B68-B12E-DD7EC453959A}" xr6:coauthVersionLast="47" xr6:coauthVersionMax="47" xr10:uidLastSave="{00000000-0000-0000-0000-000000000000}"/>
  <bookViews>
    <workbookView xWindow="-120" yWindow="-120" windowWidth="29040" windowHeight="15840" tabRatio="843" firstSheet="1" activeTab="1" xr2:uid="{00000000-000D-0000-FFFF-FFFF00000000}"/>
  </bookViews>
  <sheets>
    <sheet name="Összesítő" sheetId="96" state="hidden" r:id="rId1"/>
    <sheet name="1.Bev-kiad." sheetId="36" r:id="rId2"/>
    <sheet name="2.működés" sheetId="57" r:id="rId3"/>
    <sheet name="3.felh" sheetId="58" r:id="rId4"/>
    <sheet name="4. Átadott p.eszk." sheetId="39" r:id="rId5"/>
    <sheet name="5.Bev.össz" sheetId="99" state="hidden" r:id="rId6"/>
    <sheet name="6.Kiad.össz. " sheetId="80" state="hidden" r:id="rId7"/>
    <sheet name="7.finanszírozás." sheetId="81" state="hidden" r:id="rId8"/>
    <sheet name="8.Önk." sheetId="82" r:id="rId9"/>
    <sheet name="zöld város" sheetId="100" state="hidden" r:id="rId10"/>
    <sheet name="9.Hivatal" sheetId="83" r:id="rId11"/>
    <sheet name="10.Többéves, adósság" sheetId="52" state="hidden" r:id="rId12"/>
    <sheet name="12. Maradványkimutatás" sheetId="88" state="hidden" r:id="rId13"/>
    <sheet name="13.Mérleg" sheetId="94" state="hidden" r:id="rId14"/>
    <sheet name="14. Eredménykimutatás" sheetId="90" state="hidden" r:id="rId15"/>
    <sheet name="15. Vagyonkimutatás" sheetId="91" state="hidden" r:id="rId16"/>
    <sheet name="16. Előirányzat felh.terv" sheetId="92" state="hidden" r:id="rId17"/>
    <sheet name="17. Részesedések" sheetId="93" state="hidden" r:id="rId18"/>
    <sheet name="11.Likviditás" sheetId="53" state="hidden" r:id="rId19"/>
    <sheet name="12. gördülő tervezés" sheetId="97" state="hidden" r:id="rId20"/>
    <sheet name="13. Eu projekt" sheetId="56" state="hidden" r:id="rId21"/>
    <sheet name="14.mérlegszerű kimutatás" sheetId="102" state="hidden" r:id="rId22"/>
    <sheet name="Társulási fel. tájékoztatásul" sheetId="101" state="hidden" r:id="rId23"/>
    <sheet name="beruházások" sheetId="98" state="hidden" r:id="rId24"/>
    <sheet name="13.2.EU projekt részletesen" sheetId="95" state="hidden" r:id="rId25"/>
  </sheets>
  <externalReferences>
    <externalReference r:id="rId26"/>
    <externalReference r:id="rId27"/>
    <externalReference r:id="rId28"/>
    <externalReference r:id="rId29"/>
    <externalReference r:id="rId30"/>
  </externalReferences>
  <definedNames>
    <definedName name="_xlnm._FilterDatabase" localSheetId="1" hidden="1">'1.Bev-kiad.'!$B$1:$B$64</definedName>
    <definedName name="_xlnm._FilterDatabase" localSheetId="19" hidden="1">'12. gördülő tervezés'!$B$1:$B$64</definedName>
    <definedName name="_xlnm._FilterDatabase" localSheetId="2" hidden="1">'2.működés'!$B$1:$B$111</definedName>
    <definedName name="_xlnm._FilterDatabase" localSheetId="3" hidden="1">'3.felh'!$B$1:$B$43</definedName>
    <definedName name="_xlnm._FilterDatabase" localSheetId="23" hidden="1">beruházások!$B$1:$B$39</definedName>
    <definedName name="adfadf">'[1]4.1. táj.'!#REF!</definedName>
    <definedName name="beruh" localSheetId="19">'[1]4.1. táj.'!#REF!</definedName>
    <definedName name="beruh" localSheetId="20">'[1]4.1. táj.'!#REF!</definedName>
    <definedName name="beruh" localSheetId="2">'[1]4.1. táj.'!#REF!</definedName>
    <definedName name="beruh" localSheetId="3">'[1]4.1. táj.'!#REF!</definedName>
    <definedName name="beruh" localSheetId="6">'[1]4.1. táj.'!#REF!</definedName>
    <definedName name="beruh" localSheetId="7">'[1]4.1. táj.'!#REF!</definedName>
    <definedName name="beruh" localSheetId="8">'[1]4.1. táj.'!#REF!</definedName>
    <definedName name="beruh" localSheetId="10">'[1]4.1. táj.'!#REF!</definedName>
    <definedName name="beruh" localSheetId="23">'[1]4.1. táj.'!#REF!</definedName>
    <definedName name="beruh">'[1]4.1. táj.'!#REF!</definedName>
    <definedName name="intézmények" localSheetId="19">'[2]4.1. táj.'!#REF!</definedName>
    <definedName name="intézmények" localSheetId="20">'[2]4.1. táj.'!#REF!</definedName>
    <definedName name="intézmények" localSheetId="2">'[2]4.1. táj.'!#REF!</definedName>
    <definedName name="intézmények" localSheetId="3">'[2]4.1. táj.'!#REF!</definedName>
    <definedName name="intézmények" localSheetId="6">'[2]4.1. táj.'!#REF!</definedName>
    <definedName name="intézmények" localSheetId="7">'[2]4.1. táj.'!#REF!</definedName>
    <definedName name="intézmények" localSheetId="8">'[2]4.1. táj.'!#REF!</definedName>
    <definedName name="intézmények" localSheetId="10">'[2]4.1. táj.'!#REF!</definedName>
    <definedName name="intézmények" localSheetId="23">'[2]4.1. táj.'!#REF!</definedName>
    <definedName name="intézmények">'[2]4.1. táj.'!#REF!</definedName>
    <definedName name="_xlnm.Print_Titles" localSheetId="2">'2.működés'!$7:$7</definedName>
    <definedName name="_xlnm.Print_Titles" localSheetId="6">'6.Kiad.össz. '!$A:$A</definedName>
    <definedName name="_xlnm.Print_Titles" localSheetId="7">'7.finanszírozás.'!$7:$8</definedName>
    <definedName name="_xlnm.Print_Titles" localSheetId="8">'8.Önk.'!$A:$B,'8.Önk.'!$5:$10</definedName>
    <definedName name="_xlnm.Print_Titles" localSheetId="10">'9.Hivatal'!$8:$9</definedName>
    <definedName name="_xlnm.Print_Titles" localSheetId="0">Összesítő!$5:$7</definedName>
    <definedName name="_xlnm.Print_Area" localSheetId="1">'1.Bev-kiad.'!$A$1:$C$90</definedName>
    <definedName name="_xlnm.Print_Area" localSheetId="11">'10.Többéves, adósság'!$A$1:$O$30</definedName>
    <definedName name="_xlnm.Print_Area" localSheetId="18">'11.Likviditás'!$A$1:$N$30</definedName>
    <definedName name="_xlnm.Print_Area" localSheetId="19">'12. gördülő tervezés'!$A$1:$G$85</definedName>
    <definedName name="_xlnm.Print_Area" localSheetId="12">'12. Maradványkimutatás'!$A$1:$E$15</definedName>
    <definedName name="_xlnm.Print_Area" localSheetId="20">'13. Eu projekt'!$A$1:$O$15</definedName>
    <definedName name="_xlnm.Print_Area" localSheetId="15">'15. Vagyonkimutatás'!$A$1:$E$133</definedName>
    <definedName name="_xlnm.Print_Area" localSheetId="2">'2.működés'!$A$1:$C$136</definedName>
    <definedName name="_xlnm.Print_Area" localSheetId="3">'3.felh'!$A$1:$C$91</definedName>
    <definedName name="_xlnm.Print_Area" localSheetId="4">'4. Átadott p.eszk.'!$A$1:$B$76</definedName>
    <definedName name="_xlnm.Print_Area" localSheetId="6">'6.Kiad.össz. '!$A$1:$P$50</definedName>
    <definedName name="_xlnm.Print_Area" localSheetId="7">'7.finanszírozás.'!$A$1:$F$149</definedName>
    <definedName name="_xlnm.Print_Area" localSheetId="8">'8.Önk.'!$A$1:$U$141</definedName>
    <definedName name="_xlnm.Print_Area" localSheetId="10">'9.Hivatal'!$A$1:$J$93</definedName>
    <definedName name="_xlnm.Print_Area" localSheetId="23">beruházások!$A$1:$H$109</definedName>
    <definedName name="_xlnm.Print_Area" localSheetId="0">Összesítő!$A$1:$F$188</definedName>
    <definedName name="_xlnm.Print_Area" localSheetId="22">'Társulási fel. tájékoztatásul'!$A$1:$S$38</definedName>
    <definedName name="qewrqewr" localSheetId="19">'[1]4.1. táj.'!#REF!</definedName>
    <definedName name="qewrqewr" localSheetId="6">'[1]4.1. táj.'!#REF!</definedName>
    <definedName name="qewrqewr" localSheetId="7">'[1]4.1. táj.'!#REF!</definedName>
    <definedName name="qewrqewr" localSheetId="8">'[1]4.1. táj.'!#REF!</definedName>
    <definedName name="qewrqewr" localSheetId="10">'[1]4.1. táj.'!#REF!</definedName>
    <definedName name="qewrqewr" localSheetId="23">'[1]4.1. táj.'!#REF!</definedName>
    <definedName name="qewrqewr">'[1]4.1. táj.'!#REF!</definedName>
    <definedName name="Z_ABF21C5C_6078_4D03_96DF_78390D4F8F84_.wvu.Cols" localSheetId="4" hidden="1">'4. Átadott p.eszk.'!#REF!,'4. Átadott p.eszk.'!$HL:$IO</definedName>
    <definedName name="Z_ABF21C5C_6078_4D03_96DF_78390D4F8F84_.wvu.FilterData" localSheetId="1" hidden="1">'1.Bev-kiad.'!$B$1:$B$64</definedName>
    <definedName name="Z_ABF21C5C_6078_4D03_96DF_78390D4F8F84_.wvu.FilterData" localSheetId="19" hidden="1">'12. gördülő tervezés'!$B$1:$B$64</definedName>
    <definedName name="Z_ABF21C5C_6078_4D03_96DF_78390D4F8F84_.wvu.FilterData" localSheetId="2" hidden="1">'2.működés'!$B$1:$B$111</definedName>
    <definedName name="Z_ABF21C5C_6078_4D03_96DF_78390D4F8F84_.wvu.FilterData" localSheetId="3" hidden="1">'3.felh'!$B$1:$B$43</definedName>
    <definedName name="Z_ABF21C5C_6078_4D03_96DF_78390D4F8F84_.wvu.FilterData" localSheetId="23" hidden="1">beruházások!$B$1:$B$39</definedName>
    <definedName name="Z_ABF21C5C_6078_4D03_96DF_78390D4F8F84_.wvu.PrintArea" localSheetId="1" hidden="1">'1.Bev-kiad.'!$B$1:$B$84</definedName>
    <definedName name="Z_ABF21C5C_6078_4D03_96DF_78390D4F8F84_.wvu.PrintArea" localSheetId="19" hidden="1">'12. gördülő tervezés'!$B$1:$B$83</definedName>
    <definedName name="Z_ABF21C5C_6078_4D03_96DF_78390D4F8F84_.wvu.PrintArea" localSheetId="2" hidden="1">'2.működés'!$B$1:$B$131</definedName>
    <definedName name="Z_ABF21C5C_6078_4D03_96DF_78390D4F8F84_.wvu.PrintArea" localSheetId="3" hidden="1">'3.felh'!$B$1:$B$80</definedName>
    <definedName name="Z_ABF21C5C_6078_4D03_96DF_78390D4F8F84_.wvu.PrintArea" localSheetId="4" hidden="1">'4. Átadott p.eszk.'!$A$1:$A$65</definedName>
    <definedName name="Z_ABF21C5C_6078_4D03_96DF_78390D4F8F84_.wvu.PrintArea" localSheetId="8" hidden="1">'8.Önk.'!$B$1:$B$7</definedName>
    <definedName name="Z_ABF21C5C_6078_4D03_96DF_78390D4F8F84_.wvu.PrintArea" localSheetId="10" hidden="1">'9.Hivatal'!$B$1:$B$6</definedName>
    <definedName name="Z_ABF21C5C_6078_4D03_96DF_78390D4F8F84_.wvu.PrintArea" localSheetId="23" hidden="1">beruházások!$B$1:$B$93</definedName>
    <definedName name="Z_ABF21C5C_6078_4D03_96DF_78390D4F8F84_.wvu.Rows" localSheetId="1" hidden="1">'1.Bev-kiad.'!#REF!</definedName>
    <definedName name="Z_ABF21C5C_6078_4D03_96DF_78390D4F8F84_.wvu.Rows" localSheetId="19" hidden="1">'12. gördülő tervezés'!#REF!</definedName>
    <definedName name="Z_ABF21C5C_6078_4D03_96DF_78390D4F8F84_.wvu.Rows" localSheetId="2" hidden="1">'2.működés'!#REF!</definedName>
    <definedName name="Z_ABF21C5C_6078_4D03_96DF_78390D4F8F84_.wvu.Rows" localSheetId="3" hidden="1">'3.felh'!#REF!</definedName>
    <definedName name="Z_ABF21C5C_6078_4D03_96DF_78390D4F8F84_.wvu.Rows" localSheetId="4" hidden="1">'4. Átadott p.eszk.'!#REF!,'4. Átadott p.eszk.'!#REF!,'4. Átadott p.eszk.'!#REF!,'4. Átadott p.eszk.'!#REF!,'4. Átadott p.eszk.'!#REF!</definedName>
    <definedName name="Z_ABF21C5C_6078_4D03_96DF_78390D4F8F84_.wvu.Rows" localSheetId="8" hidden="1">'8.Önk.'!#REF!,'8.Önk.'!#REF!</definedName>
    <definedName name="Z_ABF21C5C_6078_4D03_96DF_78390D4F8F84_.wvu.Rows" localSheetId="10" hidden="1">'9.Hivatal'!#REF!,'9.Hivatal'!#REF!</definedName>
    <definedName name="Z_ABF21C5C_6078_4D03_96DF_78390D4F8F84_.wvu.Rows" localSheetId="23" hidden="1">beruházások!#REF!</definedName>
  </definedNames>
  <calcPr calcId="181029"/>
  <customWorkbookViews>
    <customWorkbookView name="Belovics Emilné - Egyéni látvány" guid="{ABF21C5C-6078-4D03-96DF-78390D4F8F84}" mergeInterval="0" personalView="1" maximized="1" windowWidth="1020" windowHeight="625" activeSheetId="1" showStatusbar="0"/>
  </customWorkbookViews>
</workbook>
</file>

<file path=xl/calcChain.xml><?xml version="1.0" encoding="utf-8"?>
<calcChain xmlns="http://schemas.openxmlformats.org/spreadsheetml/2006/main">
  <c r="C90" i="82" l="1"/>
  <c r="C69" i="83"/>
  <c r="C124" i="57"/>
  <c r="C37" i="58" l="1"/>
  <c r="C102" i="57"/>
  <c r="C85" i="57"/>
  <c r="K140" i="83" l="1"/>
  <c r="S112" i="82"/>
  <c r="C140" i="82"/>
  <c r="C59" i="57"/>
  <c r="J85" i="83" l="1"/>
  <c r="H140" i="82"/>
  <c r="T140" i="82"/>
  <c r="D140" i="82"/>
  <c r="E140" i="82"/>
  <c r="F140" i="82"/>
  <c r="I140" i="82"/>
  <c r="J140" i="82"/>
  <c r="K140" i="82"/>
  <c r="L140" i="82"/>
  <c r="M140" i="82"/>
  <c r="N140" i="82"/>
  <c r="O140" i="82"/>
  <c r="P140" i="82"/>
  <c r="Q140" i="82"/>
  <c r="R140" i="82"/>
  <c r="S140" i="82"/>
  <c r="B140" i="82"/>
  <c r="C87" i="57"/>
  <c r="E110" i="82" l="1"/>
  <c r="G65" i="82"/>
  <c r="E131" i="82" l="1"/>
  <c r="E133" i="82"/>
  <c r="E134" i="82"/>
  <c r="E135" i="82"/>
  <c r="E136" i="82"/>
  <c r="C17" i="83" l="1"/>
  <c r="E129" i="82"/>
  <c r="E127" i="82" l="1"/>
  <c r="E126" i="82"/>
  <c r="E124" i="82"/>
  <c r="E122" i="82"/>
  <c r="E120" i="82"/>
  <c r="E118" i="82"/>
  <c r="E117" i="82"/>
  <c r="E115" i="82"/>
  <c r="E114" i="82"/>
  <c r="E113" i="82"/>
  <c r="E112" i="82"/>
  <c r="E109" i="82"/>
  <c r="C67" i="58"/>
  <c r="G82" i="82"/>
  <c r="C55" i="82" l="1"/>
  <c r="C27" i="58" l="1"/>
  <c r="C86" i="82" l="1"/>
  <c r="G90" i="82" l="1"/>
  <c r="C92" i="57"/>
  <c r="C22" i="83" l="1"/>
  <c r="D17" i="83" l="1"/>
  <c r="C18" i="83" l="1"/>
  <c r="U34" i="82" l="1"/>
  <c r="T62" i="82"/>
  <c r="C89" i="57"/>
  <c r="C80" i="57"/>
  <c r="B29" i="39" l="1"/>
  <c r="B16" i="39" s="1"/>
  <c r="C58" i="57" l="1"/>
  <c r="C57" i="36" l="1"/>
  <c r="C24" i="57" l="1"/>
  <c r="J18" i="83" l="1"/>
  <c r="J19" i="83"/>
  <c r="J20" i="83"/>
  <c r="J21" i="83"/>
  <c r="D58" i="83" l="1"/>
  <c r="C17" i="57" l="1"/>
  <c r="C45" i="57"/>
  <c r="C32" i="57"/>
  <c r="C30" i="57"/>
  <c r="C28" i="57"/>
  <c r="C18" i="57"/>
  <c r="C16" i="57"/>
  <c r="C15" i="57"/>
  <c r="C14" i="57"/>
  <c r="C13" i="57"/>
  <c r="B42" i="39" l="1"/>
  <c r="U22" i="82"/>
  <c r="U23" i="82"/>
  <c r="U24" i="82"/>
  <c r="U25" i="82"/>
  <c r="U26" i="82"/>
  <c r="U13" i="82"/>
  <c r="U14" i="82"/>
  <c r="U15" i="82"/>
  <c r="U16" i="82"/>
  <c r="U17" i="82"/>
  <c r="U18" i="82"/>
  <c r="J22" i="83" l="1"/>
  <c r="J57" i="83"/>
  <c r="J56" i="83"/>
  <c r="J55" i="83"/>
  <c r="J54" i="83"/>
  <c r="J53" i="83"/>
  <c r="J35" i="83"/>
  <c r="J32" i="83"/>
  <c r="J2" i="102"/>
  <c r="O2" i="56"/>
  <c r="G2" i="97"/>
  <c r="H29" i="52"/>
  <c r="J29" i="52"/>
  <c r="L29" i="52"/>
  <c r="F29" i="52"/>
  <c r="D29" i="52"/>
  <c r="J17" i="83"/>
  <c r="J16" i="83"/>
  <c r="J14" i="83"/>
  <c r="J13" i="83"/>
  <c r="J12" i="83"/>
  <c r="G85" i="82" l="1"/>
  <c r="J15" i="83"/>
  <c r="F83" i="82" l="1"/>
  <c r="F80" i="82"/>
  <c r="F45" i="82"/>
  <c r="F42" i="82"/>
  <c r="F33" i="82"/>
  <c r="F19" i="82"/>
  <c r="F11" i="82"/>
  <c r="F32" i="82"/>
  <c r="F10" i="82"/>
  <c r="S83" i="82"/>
  <c r="S80" i="82"/>
  <c r="S45" i="82"/>
  <c r="S42" i="82"/>
  <c r="S33" i="82"/>
  <c r="S32" i="82"/>
  <c r="S19" i="82"/>
  <c r="S11" i="82"/>
  <c r="A29" i="99"/>
  <c r="A42" i="99"/>
  <c r="A36" i="99"/>
  <c r="F28" i="82" l="1"/>
  <c r="S28" i="82"/>
  <c r="S92" i="82"/>
  <c r="E93" i="96"/>
  <c r="E75" i="96"/>
  <c r="E85" i="96"/>
  <c r="M20" i="53"/>
  <c r="M24" i="53"/>
  <c r="E78" i="96"/>
  <c r="D160" i="96"/>
  <c r="K13" i="53"/>
  <c r="L12" i="53"/>
  <c r="S95" i="82" l="1"/>
  <c r="S97" i="82" s="1"/>
  <c r="I17" i="80"/>
  <c r="I11" i="80" s="1"/>
  <c r="E30" i="80"/>
  <c r="G30" i="80"/>
  <c r="H30" i="80"/>
  <c r="I30" i="80"/>
  <c r="L30" i="80"/>
  <c r="M30" i="80"/>
  <c r="P30" i="80"/>
  <c r="A44" i="80"/>
  <c r="A30" i="80"/>
  <c r="A23" i="80"/>
  <c r="A17" i="80"/>
  <c r="P11" i="80"/>
  <c r="A11" i="80"/>
  <c r="A38" i="99"/>
  <c r="A36" i="80" s="1"/>
  <c r="P44" i="80" l="1"/>
  <c r="I44" i="80"/>
  <c r="E18" i="99" l="1"/>
  <c r="F23" i="80"/>
  <c r="J23" i="80" s="1"/>
  <c r="O23" i="80" s="1"/>
  <c r="D88" i="96" l="1"/>
  <c r="D44" i="96"/>
  <c r="F44" i="96" s="1"/>
  <c r="D109" i="96"/>
  <c r="D136" i="96"/>
  <c r="E97" i="96"/>
  <c r="E107" i="96"/>
  <c r="E92" i="96"/>
  <c r="E76" i="96"/>
  <c r="F52" i="96"/>
  <c r="J90" i="83"/>
  <c r="J89" i="83"/>
  <c r="D184" i="96"/>
  <c r="D139" i="96"/>
  <c r="D126" i="96"/>
  <c r="D103" i="96"/>
  <c r="D96" i="96"/>
  <c r="D74" i="96"/>
  <c r="D89" i="96"/>
  <c r="F51" i="96"/>
  <c r="C93" i="57"/>
  <c r="D18" i="99"/>
  <c r="F47" i="96"/>
  <c r="D104" i="96"/>
  <c r="F95" i="96"/>
  <c r="F144" i="96"/>
  <c r="E128" i="82"/>
  <c r="K25" i="99" l="1"/>
  <c r="H25" i="99"/>
  <c r="G64" i="83"/>
  <c r="G61" i="83"/>
  <c r="G44" i="83"/>
  <c r="G36" i="83"/>
  <c r="M11" i="53"/>
  <c r="C22" i="58"/>
  <c r="F110" i="96"/>
  <c r="F45" i="96"/>
  <c r="F22" i="80"/>
  <c r="G42" i="99"/>
  <c r="M42" i="99" s="1"/>
  <c r="G43" i="99"/>
  <c r="M43" i="99" s="1"/>
  <c r="D31" i="99"/>
  <c r="D32" i="99"/>
  <c r="D33" i="99"/>
  <c r="D34" i="99"/>
  <c r="D35" i="99"/>
  <c r="L29" i="99"/>
  <c r="I25" i="99" l="1"/>
  <c r="L25" i="99"/>
  <c r="M25" i="99" s="1"/>
  <c r="C11" i="99"/>
  <c r="C12" i="99"/>
  <c r="D12" i="99"/>
  <c r="D46" i="99" s="1"/>
  <c r="E12" i="99"/>
  <c r="H12" i="99"/>
  <c r="H46" i="99" s="1"/>
  <c r="I12" i="99"/>
  <c r="I46" i="99" s="1"/>
  <c r="K12" i="99"/>
  <c r="K46" i="99" s="1"/>
  <c r="C13" i="99"/>
  <c r="B14" i="99"/>
  <c r="C14" i="99"/>
  <c r="D14" i="99"/>
  <c r="D48" i="99" s="1"/>
  <c r="E14" i="99"/>
  <c r="F14" i="99"/>
  <c r="H14" i="99"/>
  <c r="H48" i="99" s="1"/>
  <c r="I14" i="99"/>
  <c r="I48" i="99" s="1"/>
  <c r="J14" i="99"/>
  <c r="J48" i="99" s="1"/>
  <c r="K14" i="99"/>
  <c r="K48" i="99" s="1"/>
  <c r="C15" i="99"/>
  <c r="N2" i="53"/>
  <c r="N2" i="52"/>
  <c r="F2" i="81"/>
  <c r="O2" i="80"/>
  <c r="M2" i="99"/>
  <c r="C2" i="57"/>
  <c r="K17" i="80" l="1"/>
  <c r="K11" i="80" s="1"/>
  <c r="L17" i="80"/>
  <c r="L11" i="80" s="1"/>
  <c r="L44" i="80" s="1"/>
  <c r="F131" i="96"/>
  <c r="F123" i="96"/>
  <c r="F122" i="96"/>
  <c r="F130" i="96"/>
  <c r="F99" i="96"/>
  <c r="F92" i="96"/>
  <c r="F100" i="96"/>
  <c r="J34" i="83"/>
  <c r="F101" i="96"/>
  <c r="F167" i="96"/>
  <c r="F139" i="96"/>
  <c r="F135" i="96"/>
  <c r="F129" i="96"/>
  <c r="F121" i="96"/>
  <c r="F120" i="96"/>
  <c r="F119" i="96"/>
  <c r="F105" i="96"/>
  <c r="F106" i="96"/>
  <c r="F98" i="96"/>
  <c r="F147" i="96"/>
  <c r="F146" i="96"/>
  <c r="F166" i="96"/>
  <c r="F134" i="96"/>
  <c r="F133" i="96"/>
  <c r="U67" i="82"/>
  <c r="U68" i="82"/>
  <c r="U69" i="82"/>
  <c r="U66" i="82"/>
  <c r="C14" i="58"/>
  <c r="B15" i="39"/>
  <c r="D181" i="96" l="1"/>
  <c r="D162" i="96" s="1"/>
  <c r="F9" i="83"/>
  <c r="G27" i="83"/>
  <c r="G26" i="83"/>
  <c r="G23" i="83"/>
  <c r="F64" i="83"/>
  <c r="F61" i="83"/>
  <c r="F44" i="83"/>
  <c r="F36" i="83"/>
  <c r="F27" i="83"/>
  <c r="F26" i="83"/>
  <c r="F23" i="83"/>
  <c r="H24" i="99"/>
  <c r="H11" i="99" s="1"/>
  <c r="H45" i="99" s="1"/>
  <c r="G42" i="82"/>
  <c r="M17" i="80" l="1"/>
  <c r="I24" i="99"/>
  <c r="I11" i="99" s="1"/>
  <c r="I45" i="99" s="1"/>
  <c r="F73" i="83"/>
  <c r="G73" i="83"/>
  <c r="D11" i="81"/>
  <c r="C24" i="102"/>
  <c r="C22" i="102"/>
  <c r="H21" i="102"/>
  <c r="C21" i="102"/>
  <c r="H20" i="102"/>
  <c r="E20" i="102"/>
  <c r="D20" i="102"/>
  <c r="D19" i="102" s="1"/>
  <c r="D18" i="102" s="1"/>
  <c r="J19" i="102"/>
  <c r="I19" i="102"/>
  <c r="I18" i="102" s="1"/>
  <c r="E19" i="102"/>
  <c r="E18" i="102" s="1"/>
  <c r="J18" i="102"/>
  <c r="H17" i="102"/>
  <c r="C17" i="102"/>
  <c r="H16" i="102"/>
  <c r="C16" i="102"/>
  <c r="H15" i="102"/>
  <c r="C15" i="102"/>
  <c r="J14" i="102"/>
  <c r="I14" i="102"/>
  <c r="E14" i="102"/>
  <c r="D14" i="102"/>
  <c r="H13" i="102"/>
  <c r="H12" i="102"/>
  <c r="C12" i="102"/>
  <c r="H11" i="102"/>
  <c r="C11" i="102"/>
  <c r="H10" i="102"/>
  <c r="C10" i="102"/>
  <c r="H9" i="102"/>
  <c r="C9" i="102"/>
  <c r="J8" i="102"/>
  <c r="I8" i="102"/>
  <c r="E8" i="102"/>
  <c r="D8" i="102"/>
  <c r="D7" i="102" s="1"/>
  <c r="J7" i="102"/>
  <c r="J25" i="102" s="1"/>
  <c r="D25" i="102" l="1"/>
  <c r="E7" i="102"/>
  <c r="E25" i="102" s="1"/>
  <c r="M11" i="80"/>
  <c r="N17" i="80"/>
  <c r="O17" i="80" s="1"/>
  <c r="H17" i="80"/>
  <c r="H11" i="80" s="1"/>
  <c r="H44" i="80" s="1"/>
  <c r="D12" i="81"/>
  <c r="C20" i="102"/>
  <c r="C19" i="102" s="1"/>
  <c r="C18" i="102" s="1"/>
  <c r="H8" i="102"/>
  <c r="I7" i="102"/>
  <c r="I25" i="102" s="1"/>
  <c r="H19" i="102"/>
  <c r="H18" i="102" s="1"/>
  <c r="C8" i="102"/>
  <c r="H14" i="102"/>
  <c r="C14" i="102"/>
  <c r="M44" i="80" l="1"/>
  <c r="N11" i="80"/>
  <c r="C7" i="102"/>
  <c r="C25" i="102" s="1"/>
  <c r="H7" i="102"/>
  <c r="H25" i="102" s="1"/>
  <c r="D25" i="53" l="1"/>
  <c r="E25" i="53"/>
  <c r="H25" i="53"/>
  <c r="C25" i="53"/>
  <c r="F25" i="53"/>
  <c r="G25" i="53"/>
  <c r="I25" i="53"/>
  <c r="J25" i="53"/>
  <c r="K25" i="53"/>
  <c r="L25" i="53"/>
  <c r="M25" i="53"/>
  <c r="M11" i="56"/>
  <c r="I15" i="80"/>
  <c r="F21" i="80"/>
  <c r="U89" i="82" l="1"/>
  <c r="F16" i="99" l="1"/>
  <c r="J86" i="83" l="1"/>
  <c r="J25" i="83"/>
  <c r="J18" i="99"/>
  <c r="D36" i="81"/>
  <c r="C60" i="81"/>
  <c r="F60" i="81" s="1"/>
  <c r="D44" i="81"/>
  <c r="C38" i="99" s="1"/>
  <c r="C32" i="99" s="1"/>
  <c r="C46" i="99" s="1"/>
  <c r="D131" i="81"/>
  <c r="F36" i="80" s="1"/>
  <c r="F30" i="80" s="1"/>
  <c r="G77" i="83"/>
  <c r="B14" i="39"/>
  <c r="C31" i="57"/>
  <c r="C36" i="57"/>
  <c r="C35" i="57" s="1"/>
  <c r="B13" i="39" s="1"/>
  <c r="C41" i="57"/>
  <c r="C50" i="57"/>
  <c r="C57" i="57"/>
  <c r="C72" i="57"/>
  <c r="C76" i="57"/>
  <c r="C81" i="57"/>
  <c r="C29" i="36" s="1"/>
  <c r="O12" i="53" s="1"/>
  <c r="C25" i="58"/>
  <c r="D30" i="52" s="1"/>
  <c r="C46" i="36"/>
  <c r="C31" i="58"/>
  <c r="C50" i="36" s="1"/>
  <c r="O15" i="53" s="1"/>
  <c r="C36" i="58"/>
  <c r="C59" i="36"/>
  <c r="C40" i="58"/>
  <c r="E106" i="82"/>
  <c r="E107" i="82"/>
  <c r="E108" i="82"/>
  <c r="C2" i="58"/>
  <c r="U55" i="82"/>
  <c r="J11" i="83"/>
  <c r="C23" i="83"/>
  <c r="C11" i="82"/>
  <c r="C21" i="82"/>
  <c r="U21" i="82" s="1"/>
  <c r="D11" i="82"/>
  <c r="D19" i="82"/>
  <c r="E11" i="82"/>
  <c r="E19" i="82"/>
  <c r="G11" i="82"/>
  <c r="G19" i="82"/>
  <c r="H11" i="82"/>
  <c r="H19" i="82"/>
  <c r="I11" i="82"/>
  <c r="I19" i="82"/>
  <c r="N11" i="82"/>
  <c r="N19" i="82"/>
  <c r="T11" i="82"/>
  <c r="T19" i="82"/>
  <c r="U31" i="82"/>
  <c r="D32" i="82"/>
  <c r="E32" i="82"/>
  <c r="G32" i="82"/>
  <c r="H32" i="82"/>
  <c r="I32" i="82"/>
  <c r="N32" i="82"/>
  <c r="T32" i="82"/>
  <c r="J24" i="83"/>
  <c r="C138" i="82"/>
  <c r="U36" i="82"/>
  <c r="U37" i="82"/>
  <c r="U39" i="82"/>
  <c r="C42" i="82"/>
  <c r="C80" i="82"/>
  <c r="D33" i="82"/>
  <c r="D42" i="82"/>
  <c r="D45" i="82"/>
  <c r="D80" i="82"/>
  <c r="D83" i="82"/>
  <c r="E33" i="82"/>
  <c r="E42" i="82"/>
  <c r="E45" i="82"/>
  <c r="E80" i="82"/>
  <c r="E83" i="82"/>
  <c r="G33" i="82"/>
  <c r="G80" i="82"/>
  <c r="G83" i="82"/>
  <c r="H33" i="82"/>
  <c r="H42" i="82"/>
  <c r="H45" i="82"/>
  <c r="H80" i="82"/>
  <c r="H83" i="82"/>
  <c r="I33" i="82"/>
  <c r="I42" i="82"/>
  <c r="I45" i="82"/>
  <c r="I80" i="82"/>
  <c r="I83" i="82"/>
  <c r="N33" i="82"/>
  <c r="N42" i="82"/>
  <c r="N80" i="82"/>
  <c r="N83" i="82"/>
  <c r="T33" i="82"/>
  <c r="T42" i="82"/>
  <c r="T45" i="82"/>
  <c r="T80" i="82"/>
  <c r="T83" i="82"/>
  <c r="D27" i="83"/>
  <c r="D36" i="83"/>
  <c r="D44" i="83"/>
  <c r="D61" i="83"/>
  <c r="D64" i="83"/>
  <c r="C27" i="83"/>
  <c r="C36" i="83"/>
  <c r="C44" i="83"/>
  <c r="C61" i="83"/>
  <c r="C64" i="83"/>
  <c r="E27" i="83"/>
  <c r="E36" i="83"/>
  <c r="E44" i="83"/>
  <c r="E61" i="83"/>
  <c r="E64" i="83"/>
  <c r="U93" i="82"/>
  <c r="B12" i="39"/>
  <c r="B39" i="39"/>
  <c r="B38" i="39" s="1"/>
  <c r="B50" i="39"/>
  <c r="B60" i="39"/>
  <c r="C127" i="57"/>
  <c r="C126" i="57" s="1"/>
  <c r="C101" i="57"/>
  <c r="C100" i="57" s="1"/>
  <c r="C79" i="36"/>
  <c r="D78" i="97" s="1"/>
  <c r="C81" i="36"/>
  <c r="J74" i="83"/>
  <c r="J75" i="83"/>
  <c r="D129" i="81" s="1"/>
  <c r="E129" i="81" s="1"/>
  <c r="D77" i="83"/>
  <c r="C77" i="83"/>
  <c r="E77" i="83"/>
  <c r="J84" i="83"/>
  <c r="C70" i="58"/>
  <c r="C46" i="58"/>
  <c r="M12" i="56" s="1"/>
  <c r="C50" i="58"/>
  <c r="C74" i="36"/>
  <c r="C68" i="36"/>
  <c r="D68" i="97" s="1"/>
  <c r="J2" i="83"/>
  <c r="B2" i="39"/>
  <c r="C63" i="58"/>
  <c r="C86" i="58"/>
  <c r="C85" i="58" s="1"/>
  <c r="L30" i="52"/>
  <c r="L26" i="52"/>
  <c r="A41" i="80"/>
  <c r="G80" i="97"/>
  <c r="F80" i="97"/>
  <c r="E80" i="97"/>
  <c r="G68" i="97"/>
  <c r="F68" i="97"/>
  <c r="E68" i="97"/>
  <c r="N25" i="52"/>
  <c r="N24" i="52"/>
  <c r="M27" i="52"/>
  <c r="K27" i="52"/>
  <c r="J27" i="52"/>
  <c r="C63" i="81"/>
  <c r="F63" i="81" s="1"/>
  <c r="F91" i="96"/>
  <c r="F184" i="96"/>
  <c r="F108" i="96"/>
  <c r="F107" i="96"/>
  <c r="F125" i="96"/>
  <c r="F160" i="96"/>
  <c r="F109" i="96"/>
  <c r="F55" i="96"/>
  <c r="F54" i="96" s="1"/>
  <c r="F40" i="96"/>
  <c r="F25" i="96"/>
  <c r="F93" i="96"/>
  <c r="F90" i="96"/>
  <c r="F87" i="96"/>
  <c r="E57" i="96"/>
  <c r="D57" i="96"/>
  <c r="D17" i="99"/>
  <c r="D11" i="99" s="1"/>
  <c r="D45" i="99" s="1"/>
  <c r="F59" i="96"/>
  <c r="F60" i="96"/>
  <c r="F58" i="96"/>
  <c r="F140" i="96"/>
  <c r="F85" i="96"/>
  <c r="F86" i="96"/>
  <c r="F169" i="96"/>
  <c r="F170" i="96"/>
  <c r="U90" i="82"/>
  <c r="F111" i="96"/>
  <c r="F104" i="96"/>
  <c r="F22" i="96"/>
  <c r="F145" i="96"/>
  <c r="D43" i="81"/>
  <c r="C37" i="99" s="1"/>
  <c r="C31" i="99" s="1"/>
  <c r="C45" i="99" s="1"/>
  <c r="U79" i="82"/>
  <c r="C123" i="81"/>
  <c r="F123" i="81" s="1"/>
  <c r="K24" i="99"/>
  <c r="K11" i="99" s="1"/>
  <c r="K45" i="99" s="1"/>
  <c r="D50" i="97"/>
  <c r="E75" i="97"/>
  <c r="E73" i="97" s="1"/>
  <c r="B10" i="52"/>
  <c r="N38" i="101"/>
  <c r="M38" i="101"/>
  <c r="K38" i="101"/>
  <c r="I38" i="101"/>
  <c r="J37" i="101"/>
  <c r="B37" i="101"/>
  <c r="J36" i="101"/>
  <c r="B36" i="101"/>
  <c r="J35" i="101"/>
  <c r="B35" i="101"/>
  <c r="J34" i="101"/>
  <c r="B34" i="101"/>
  <c r="J33" i="101"/>
  <c r="B33" i="101"/>
  <c r="J32" i="101"/>
  <c r="B32" i="101"/>
  <c r="J31" i="101"/>
  <c r="B31" i="101"/>
  <c r="J30" i="101"/>
  <c r="B30" i="101"/>
  <c r="J29" i="101"/>
  <c r="B29" i="101"/>
  <c r="J28" i="101"/>
  <c r="B28" i="101"/>
  <c r="J27" i="101"/>
  <c r="B27" i="101"/>
  <c r="J26" i="101"/>
  <c r="B26" i="101"/>
  <c r="J25" i="101"/>
  <c r="B25" i="101"/>
  <c r="S20" i="101"/>
  <c r="Q20" i="101"/>
  <c r="J20" i="101"/>
  <c r="N19" i="101"/>
  <c r="L19" i="101"/>
  <c r="K19" i="101"/>
  <c r="N18" i="101"/>
  <c r="L18" i="101"/>
  <c r="K18" i="101"/>
  <c r="I18" i="101"/>
  <c r="F18" i="101"/>
  <c r="O37" i="101" s="1"/>
  <c r="E18" i="101"/>
  <c r="L37" i="101" s="1"/>
  <c r="D18" i="101"/>
  <c r="C18" i="101"/>
  <c r="B18" i="101"/>
  <c r="N17" i="101"/>
  <c r="L17" i="101"/>
  <c r="K17" i="101"/>
  <c r="I17" i="101"/>
  <c r="F17" i="101"/>
  <c r="O36" i="101" s="1"/>
  <c r="E17" i="101"/>
  <c r="L36" i="101" s="1"/>
  <c r="D17" i="101"/>
  <c r="C17" i="101"/>
  <c r="B17" i="101"/>
  <c r="N16" i="101"/>
  <c r="M16" i="101"/>
  <c r="L16" i="101"/>
  <c r="K16" i="101"/>
  <c r="I16" i="101"/>
  <c r="F16" i="101"/>
  <c r="O35" i="101" s="1"/>
  <c r="E16" i="101"/>
  <c r="L35" i="101" s="1"/>
  <c r="D16" i="101"/>
  <c r="C16" i="101"/>
  <c r="B16" i="101"/>
  <c r="N15" i="101"/>
  <c r="M15" i="101"/>
  <c r="L15" i="101"/>
  <c r="K15" i="101"/>
  <c r="I15" i="101"/>
  <c r="F15" i="101"/>
  <c r="O34" i="101" s="1"/>
  <c r="E15" i="101"/>
  <c r="L34" i="101" s="1"/>
  <c r="D15" i="101"/>
  <c r="C15" i="101"/>
  <c r="B15" i="101"/>
  <c r="N14" i="101"/>
  <c r="L14" i="101"/>
  <c r="K14" i="101"/>
  <c r="I14" i="101"/>
  <c r="F14" i="101"/>
  <c r="O33" i="101" s="1"/>
  <c r="E14" i="101"/>
  <c r="L33" i="101" s="1"/>
  <c r="D14" i="101"/>
  <c r="C14" i="101"/>
  <c r="B14" i="101"/>
  <c r="N13" i="101"/>
  <c r="L13" i="101"/>
  <c r="K13" i="101"/>
  <c r="I13" i="101"/>
  <c r="F13" i="101"/>
  <c r="O32" i="101" s="1"/>
  <c r="E13" i="101"/>
  <c r="L32" i="101" s="1"/>
  <c r="D13" i="101"/>
  <c r="C13" i="101"/>
  <c r="B13" i="101"/>
  <c r="N12" i="101"/>
  <c r="L12" i="101"/>
  <c r="K12" i="101"/>
  <c r="I12" i="101"/>
  <c r="F12" i="101"/>
  <c r="O31" i="101" s="1"/>
  <c r="E12" i="101"/>
  <c r="L31" i="101" s="1"/>
  <c r="D12" i="101"/>
  <c r="C12" i="101"/>
  <c r="B12" i="101"/>
  <c r="N11" i="101"/>
  <c r="M11" i="101"/>
  <c r="L11" i="101"/>
  <c r="K11" i="101"/>
  <c r="I11" i="101"/>
  <c r="F11" i="101"/>
  <c r="O30" i="101" s="1"/>
  <c r="E11" i="101"/>
  <c r="L30" i="101" s="1"/>
  <c r="D11" i="101"/>
  <c r="C11" i="101"/>
  <c r="B11" i="101"/>
  <c r="N10" i="101"/>
  <c r="M10" i="101"/>
  <c r="L10" i="101"/>
  <c r="K10" i="101"/>
  <c r="I10" i="101"/>
  <c r="F10" i="101"/>
  <c r="O29" i="101" s="1"/>
  <c r="E10" i="101"/>
  <c r="L29" i="101" s="1"/>
  <c r="D10" i="101"/>
  <c r="C10" i="101"/>
  <c r="B10" i="101"/>
  <c r="N9" i="101"/>
  <c r="L9" i="101"/>
  <c r="K9" i="101"/>
  <c r="I9" i="101"/>
  <c r="F9" i="101"/>
  <c r="O28" i="101" s="1"/>
  <c r="E9" i="101"/>
  <c r="L28" i="101" s="1"/>
  <c r="D9" i="101"/>
  <c r="C9" i="101"/>
  <c r="B9" i="101"/>
  <c r="N8" i="101"/>
  <c r="L8" i="101"/>
  <c r="K8" i="101"/>
  <c r="I8" i="101"/>
  <c r="F8" i="101"/>
  <c r="O27" i="101" s="1"/>
  <c r="E8" i="101"/>
  <c r="L27" i="101" s="1"/>
  <c r="D8" i="101"/>
  <c r="C8" i="101"/>
  <c r="B8" i="101"/>
  <c r="N7" i="101"/>
  <c r="L7" i="101"/>
  <c r="K7" i="101"/>
  <c r="I7" i="101"/>
  <c r="F7" i="101"/>
  <c r="O26" i="101" s="1"/>
  <c r="E7" i="101"/>
  <c r="L26" i="101" s="1"/>
  <c r="D7" i="101"/>
  <c r="C7" i="101"/>
  <c r="B7" i="101"/>
  <c r="N6" i="101"/>
  <c r="M6" i="101"/>
  <c r="L6" i="101"/>
  <c r="K6" i="101"/>
  <c r="I6" i="101"/>
  <c r="F6" i="101"/>
  <c r="O25" i="101" s="1"/>
  <c r="E6" i="101"/>
  <c r="L25" i="101" s="1"/>
  <c r="D6" i="101"/>
  <c r="C6" i="101"/>
  <c r="B6" i="101"/>
  <c r="J39" i="83"/>
  <c r="C134" i="57"/>
  <c r="E13" i="100"/>
  <c r="F14" i="100" s="1"/>
  <c r="F12" i="100"/>
  <c r="G12" i="100" s="1"/>
  <c r="F11" i="100"/>
  <c r="U98" i="82"/>
  <c r="U91" i="82"/>
  <c r="U54" i="82"/>
  <c r="U56" i="82"/>
  <c r="U57" i="82"/>
  <c r="U58" i="82"/>
  <c r="U59" i="82"/>
  <c r="U60" i="82"/>
  <c r="U61" i="82"/>
  <c r="U63" i="82"/>
  <c r="U64" i="82"/>
  <c r="U65" i="82"/>
  <c r="U71" i="82"/>
  <c r="U72" i="82"/>
  <c r="U73" i="82"/>
  <c r="U74" i="82"/>
  <c r="U75" i="82"/>
  <c r="U76" i="82"/>
  <c r="U77" i="82"/>
  <c r="U78" i="82"/>
  <c r="U81" i="82"/>
  <c r="U82" i="82"/>
  <c r="U87" i="82"/>
  <c r="U35" i="82"/>
  <c r="U40" i="82"/>
  <c r="U41" i="82"/>
  <c r="U44" i="82"/>
  <c r="U46" i="82"/>
  <c r="U47" i="82"/>
  <c r="U48" i="82"/>
  <c r="U50" i="82"/>
  <c r="U51" i="82"/>
  <c r="U52" i="82"/>
  <c r="U53" i="82"/>
  <c r="U29" i="82"/>
  <c r="U20" i="82"/>
  <c r="U27" i="82"/>
  <c r="U12" i="82"/>
  <c r="D134" i="81"/>
  <c r="E134" i="81" s="1"/>
  <c r="D39" i="81"/>
  <c r="F41" i="99" s="1"/>
  <c r="F35" i="99" s="1"/>
  <c r="D47" i="81"/>
  <c r="C41" i="99" s="1"/>
  <c r="C35" i="99" s="1"/>
  <c r="C49" i="99" s="1"/>
  <c r="D45" i="81"/>
  <c r="C39" i="99" s="1"/>
  <c r="C33" i="99" s="1"/>
  <c r="C47" i="99" s="1"/>
  <c r="K28" i="99"/>
  <c r="K15" i="99" s="1"/>
  <c r="K49" i="99" s="1"/>
  <c r="K26" i="99"/>
  <c r="K13" i="99" s="1"/>
  <c r="K47" i="99" s="1"/>
  <c r="M83" i="82"/>
  <c r="L83" i="82"/>
  <c r="D37" i="81"/>
  <c r="E37" i="81" s="1"/>
  <c r="D13" i="81"/>
  <c r="F159" i="96"/>
  <c r="F168" i="96"/>
  <c r="F138" i="96"/>
  <c r="I9" i="80"/>
  <c r="F155" i="96"/>
  <c r="A32" i="80"/>
  <c r="E32" i="80"/>
  <c r="G32" i="80"/>
  <c r="H32" i="80"/>
  <c r="I32" i="80"/>
  <c r="L32" i="80"/>
  <c r="M32" i="80"/>
  <c r="P32" i="80"/>
  <c r="A33" i="80"/>
  <c r="E33" i="80"/>
  <c r="G33" i="80"/>
  <c r="H33" i="80"/>
  <c r="I33" i="80"/>
  <c r="L33" i="80"/>
  <c r="M33" i="80"/>
  <c r="P33" i="80"/>
  <c r="P29" i="80"/>
  <c r="P28" i="80"/>
  <c r="P31" i="80"/>
  <c r="L29" i="80"/>
  <c r="M29" i="80"/>
  <c r="L28" i="80"/>
  <c r="M28" i="80"/>
  <c r="L31" i="80"/>
  <c r="M31" i="80"/>
  <c r="E29" i="80"/>
  <c r="G29" i="80"/>
  <c r="H29" i="80"/>
  <c r="I29" i="80"/>
  <c r="E28" i="80"/>
  <c r="G28" i="80"/>
  <c r="H28" i="80"/>
  <c r="I28" i="80"/>
  <c r="E31" i="80"/>
  <c r="G31" i="80"/>
  <c r="H31" i="80"/>
  <c r="I31" i="80"/>
  <c r="K38" i="80"/>
  <c r="K32" i="80" s="1"/>
  <c r="F38" i="80"/>
  <c r="F32" i="80" s="1"/>
  <c r="C38" i="80"/>
  <c r="C32" i="80" s="1"/>
  <c r="D38" i="80"/>
  <c r="D32" i="80" s="1"/>
  <c r="B38" i="80"/>
  <c r="B32" i="80" s="1"/>
  <c r="P10" i="80"/>
  <c r="P9" i="80"/>
  <c r="P12" i="80"/>
  <c r="P13" i="80"/>
  <c r="P14" i="80"/>
  <c r="K13" i="80"/>
  <c r="L13" i="80"/>
  <c r="M13" i="80"/>
  <c r="I13" i="80"/>
  <c r="G13" i="80"/>
  <c r="B13" i="80"/>
  <c r="C13" i="80"/>
  <c r="D13" i="80"/>
  <c r="E13" i="80"/>
  <c r="F13" i="80"/>
  <c r="H13" i="80"/>
  <c r="J25" i="80"/>
  <c r="A43" i="80"/>
  <c r="A42" i="80"/>
  <c r="A45" i="80"/>
  <c r="A46" i="80"/>
  <c r="A47" i="80"/>
  <c r="A38" i="80"/>
  <c r="A29" i="80"/>
  <c r="A28" i="80"/>
  <c r="A31" i="80"/>
  <c r="A27" i="80"/>
  <c r="A22" i="80"/>
  <c r="A21" i="80"/>
  <c r="A24" i="80"/>
  <c r="A25" i="80"/>
  <c r="A16" i="80"/>
  <c r="A15" i="80"/>
  <c r="A34" i="80" s="1"/>
  <c r="A18" i="80"/>
  <c r="A19" i="80"/>
  <c r="A20" i="80"/>
  <c r="A10" i="80"/>
  <c r="A9" i="80"/>
  <c r="A12" i="80"/>
  <c r="A13" i="80"/>
  <c r="A14" i="80"/>
  <c r="B40" i="99"/>
  <c r="C40" i="99"/>
  <c r="C34" i="99" s="1"/>
  <c r="C48" i="99" s="1"/>
  <c r="E40" i="99"/>
  <c r="E34" i="99" s="1"/>
  <c r="E48" i="99" s="1"/>
  <c r="F40" i="99"/>
  <c r="F34" i="99" s="1"/>
  <c r="F48" i="99" s="1"/>
  <c r="C10" i="99"/>
  <c r="E21" i="99"/>
  <c r="E15" i="99" s="1"/>
  <c r="E19" i="99"/>
  <c r="E13" i="99" s="1"/>
  <c r="E16" i="99"/>
  <c r="E10" i="99" s="1"/>
  <c r="E17" i="99"/>
  <c r="E11" i="99" s="1"/>
  <c r="D21" i="99"/>
  <c r="D15" i="99" s="1"/>
  <c r="D49" i="99" s="1"/>
  <c r="D19" i="99"/>
  <c r="D13" i="99" s="1"/>
  <c r="D47" i="99" s="1"/>
  <c r="D10" i="99"/>
  <c r="A40" i="80"/>
  <c r="A41" i="99"/>
  <c r="A39" i="80" s="1"/>
  <c r="A39" i="99"/>
  <c r="A37" i="80" s="1"/>
  <c r="A37" i="99"/>
  <c r="A35" i="80" s="1"/>
  <c r="D30" i="99"/>
  <c r="G29" i="99"/>
  <c r="G28" i="99"/>
  <c r="A28" i="99"/>
  <c r="A26" i="80" s="1"/>
  <c r="G27" i="99"/>
  <c r="G26" i="99"/>
  <c r="G23" i="99"/>
  <c r="G24" i="99"/>
  <c r="L22" i="99"/>
  <c r="G22" i="99"/>
  <c r="D84" i="81"/>
  <c r="E84" i="81" s="1"/>
  <c r="E133" i="81"/>
  <c r="F133" i="81" s="1"/>
  <c r="F126" i="81"/>
  <c r="E119" i="81"/>
  <c r="F119" i="81" s="1"/>
  <c r="E105" i="81"/>
  <c r="F105" i="81" s="1"/>
  <c r="E98" i="81"/>
  <c r="F98" i="81" s="1"/>
  <c r="B67" i="81"/>
  <c r="B95" i="81" s="1"/>
  <c r="B102" i="81" s="1"/>
  <c r="B109" i="81" s="1"/>
  <c r="B116" i="81" s="1"/>
  <c r="B123" i="81" s="1"/>
  <c r="B130" i="81" s="1"/>
  <c r="B137" i="81" s="1"/>
  <c r="B144" i="81" s="1"/>
  <c r="B68" i="81"/>
  <c r="B96" i="81" s="1"/>
  <c r="B103" i="81" s="1"/>
  <c r="B110" i="81" s="1"/>
  <c r="B117" i="81" s="1"/>
  <c r="B124" i="81" s="1"/>
  <c r="B131" i="81" s="1"/>
  <c r="B138" i="81" s="1"/>
  <c r="B145" i="81" s="1"/>
  <c r="B69" i="81"/>
  <c r="B75" i="81" s="1"/>
  <c r="B89" i="81" s="1"/>
  <c r="B70" i="81"/>
  <c r="B98" i="81" s="1"/>
  <c r="B105" i="81" s="1"/>
  <c r="B112" i="81" s="1"/>
  <c r="B119" i="81" s="1"/>
  <c r="B126" i="81" s="1"/>
  <c r="B133" i="81" s="1"/>
  <c r="B140" i="81" s="1"/>
  <c r="B147" i="81" s="1"/>
  <c r="B71" i="81"/>
  <c r="B77" i="81" s="1"/>
  <c r="B91" i="81" s="1"/>
  <c r="B66" i="81"/>
  <c r="B80" i="81" s="1"/>
  <c r="D30" i="81"/>
  <c r="E30" i="81" s="1"/>
  <c r="B19" i="81"/>
  <c r="B27" i="81" s="1"/>
  <c r="B35" i="81" s="1"/>
  <c r="B43" i="81" s="1"/>
  <c r="B51" i="81" s="1"/>
  <c r="B59" i="81" s="1"/>
  <c r="B20" i="81"/>
  <c r="B28" i="81" s="1"/>
  <c r="B36" i="81" s="1"/>
  <c r="B44" i="81" s="1"/>
  <c r="B52" i="81" s="1"/>
  <c r="B60" i="81" s="1"/>
  <c r="B21" i="81"/>
  <c r="B29" i="81" s="1"/>
  <c r="B22" i="81"/>
  <c r="B30" i="81" s="1"/>
  <c r="B38" i="81" s="1"/>
  <c r="B46" i="81" s="1"/>
  <c r="B54" i="81" s="1"/>
  <c r="B62" i="81" s="1"/>
  <c r="B23" i="81"/>
  <c r="B31" i="81" s="1"/>
  <c r="B39" i="81" s="1"/>
  <c r="B47" i="81" s="1"/>
  <c r="B55" i="81" s="1"/>
  <c r="B63" i="81" s="1"/>
  <c r="F142" i="96"/>
  <c r="F19" i="96"/>
  <c r="F13" i="96"/>
  <c r="F151" i="96"/>
  <c r="F82" i="96"/>
  <c r="F78" i="96"/>
  <c r="F118" i="96"/>
  <c r="F117" i="96"/>
  <c r="F116" i="96"/>
  <c r="F128" i="96"/>
  <c r="F127" i="96"/>
  <c r="F126" i="96"/>
  <c r="F115" i="96"/>
  <c r="F124" i="96"/>
  <c r="F164" i="96"/>
  <c r="F165" i="96"/>
  <c r="F84" i="96"/>
  <c r="F18" i="96"/>
  <c r="F17" i="96"/>
  <c r="F16" i="96"/>
  <c r="F15" i="96"/>
  <c r="F10" i="96"/>
  <c r="F20" i="96"/>
  <c r="F171" i="96"/>
  <c r="D35" i="81"/>
  <c r="E35" i="81" s="1"/>
  <c r="D130" i="81"/>
  <c r="F35" i="80" s="1"/>
  <c r="F29" i="80" s="1"/>
  <c r="D132" i="81"/>
  <c r="F37" i="80" s="1"/>
  <c r="F31" i="80" s="1"/>
  <c r="J63" i="83"/>
  <c r="J65" i="83"/>
  <c r="J66" i="83"/>
  <c r="J67" i="83"/>
  <c r="J68" i="83"/>
  <c r="J69" i="83"/>
  <c r="J70" i="83"/>
  <c r="J71" i="83"/>
  <c r="J72" i="83"/>
  <c r="J62" i="83"/>
  <c r="J51" i="83"/>
  <c r="J52" i="83"/>
  <c r="J58" i="83"/>
  <c r="J59" i="83"/>
  <c r="J60" i="83"/>
  <c r="J42" i="83"/>
  <c r="J43" i="83"/>
  <c r="J45" i="83"/>
  <c r="J46" i="83"/>
  <c r="J47" i="83"/>
  <c r="J48" i="83"/>
  <c r="J49" i="83"/>
  <c r="J50" i="83"/>
  <c r="J37" i="83"/>
  <c r="J38" i="83"/>
  <c r="J40" i="83"/>
  <c r="J29" i="83"/>
  <c r="J30" i="83"/>
  <c r="J31" i="83"/>
  <c r="J33" i="83"/>
  <c r="J28" i="83"/>
  <c r="F77" i="83"/>
  <c r="F80" i="83" s="1"/>
  <c r="H9" i="83"/>
  <c r="U30" i="82"/>
  <c r="U10" i="82"/>
  <c r="T10" i="82"/>
  <c r="O80" i="82"/>
  <c r="P80" i="82"/>
  <c r="Q80" i="82"/>
  <c r="O83" i="82"/>
  <c r="P83" i="82"/>
  <c r="Q83" i="82"/>
  <c r="O45" i="82"/>
  <c r="O42" i="82"/>
  <c r="P42" i="82"/>
  <c r="Q42" i="82"/>
  <c r="O32" i="82"/>
  <c r="P32" i="82"/>
  <c r="Q32" i="82"/>
  <c r="O33" i="82"/>
  <c r="P33" i="82"/>
  <c r="Q33" i="82"/>
  <c r="O11" i="82"/>
  <c r="P11" i="82"/>
  <c r="Q11" i="82"/>
  <c r="R11" i="82"/>
  <c r="O19" i="82"/>
  <c r="P19" i="82"/>
  <c r="Q19" i="82"/>
  <c r="R19" i="82"/>
  <c r="O10" i="82"/>
  <c r="P10" i="82"/>
  <c r="Q10" i="82"/>
  <c r="R10" i="82"/>
  <c r="N10" i="82"/>
  <c r="K83" i="82"/>
  <c r="K80" i="82"/>
  <c r="K42" i="82"/>
  <c r="K45" i="82"/>
  <c r="K32" i="82"/>
  <c r="K33" i="82"/>
  <c r="K11" i="82"/>
  <c r="K19" i="82"/>
  <c r="J10" i="82"/>
  <c r="K10" i="82"/>
  <c r="L10" i="82"/>
  <c r="M10" i="82"/>
  <c r="I10" i="82"/>
  <c r="L11" i="82"/>
  <c r="L19" i="82"/>
  <c r="L32" i="82"/>
  <c r="L33" i="82"/>
  <c r="L42" i="82"/>
  <c r="L45" i="82"/>
  <c r="L80" i="82"/>
  <c r="H10" i="82"/>
  <c r="S10" i="82" s="1"/>
  <c r="G10" i="82"/>
  <c r="E10" i="82"/>
  <c r="U86" i="82"/>
  <c r="U38" i="82"/>
  <c r="D10" i="82"/>
  <c r="F112" i="96"/>
  <c r="F9" i="96"/>
  <c r="F11" i="96"/>
  <c r="F89" i="96"/>
  <c r="F94" i="96"/>
  <c r="F141" i="96"/>
  <c r="F157" i="96"/>
  <c r="F176" i="96"/>
  <c r="E38" i="81"/>
  <c r="F38" i="81" s="1"/>
  <c r="R32" i="82"/>
  <c r="R33" i="82"/>
  <c r="R42" i="82"/>
  <c r="R80" i="82"/>
  <c r="R83" i="82"/>
  <c r="J32" i="82"/>
  <c r="M32" i="82"/>
  <c r="J33" i="82"/>
  <c r="M33" i="82"/>
  <c r="J42" i="82"/>
  <c r="M42" i="82"/>
  <c r="J45" i="82"/>
  <c r="M45" i="82"/>
  <c r="J80" i="82"/>
  <c r="M80" i="82"/>
  <c r="J83" i="82"/>
  <c r="C69" i="98"/>
  <c r="C68" i="98" s="1"/>
  <c r="F154" i="96"/>
  <c r="F153" i="96"/>
  <c r="F150" i="96"/>
  <c r="F149" i="96"/>
  <c r="F50" i="96"/>
  <c r="F77" i="96"/>
  <c r="F148" i="96"/>
  <c r="C27" i="52"/>
  <c r="G27" i="52"/>
  <c r="H27" i="52"/>
  <c r="E27" i="52"/>
  <c r="D18" i="53"/>
  <c r="E23" i="83"/>
  <c r="D34" i="81"/>
  <c r="E34" i="81" s="1"/>
  <c r="D10" i="95"/>
  <c r="G10" i="95"/>
  <c r="M10" i="95"/>
  <c r="J10" i="95"/>
  <c r="N10" i="95"/>
  <c r="O10" i="95"/>
  <c r="D11" i="95"/>
  <c r="G11" i="95"/>
  <c r="J11" i="95"/>
  <c r="M11" i="95"/>
  <c r="N11" i="95"/>
  <c r="O11" i="95"/>
  <c r="D12" i="95"/>
  <c r="G12" i="95"/>
  <c r="M12" i="95"/>
  <c r="J12" i="95"/>
  <c r="N12" i="95"/>
  <c r="O12" i="95"/>
  <c r="D13" i="95"/>
  <c r="G13" i="95"/>
  <c r="J13" i="95"/>
  <c r="M13" i="95"/>
  <c r="N13" i="95"/>
  <c r="O13" i="95"/>
  <c r="D14" i="95"/>
  <c r="G14" i="95"/>
  <c r="M14" i="95"/>
  <c r="J14" i="95"/>
  <c r="N14" i="95"/>
  <c r="O14" i="95"/>
  <c r="B15" i="95"/>
  <c r="C15" i="95"/>
  <c r="E15" i="95"/>
  <c r="E27" i="95"/>
  <c r="F15" i="95"/>
  <c r="H15" i="95"/>
  <c r="I15" i="95"/>
  <c r="K15" i="95"/>
  <c r="K27" i="95"/>
  <c r="L15" i="95"/>
  <c r="D16" i="95"/>
  <c r="G16" i="95"/>
  <c r="J16" i="95"/>
  <c r="M16" i="95"/>
  <c r="N16" i="95"/>
  <c r="O16" i="95"/>
  <c r="B17" i="95"/>
  <c r="C17" i="95"/>
  <c r="C27" i="95" s="1"/>
  <c r="C29" i="95" s="1"/>
  <c r="G17" i="95"/>
  <c r="H17" i="95"/>
  <c r="H27" i="95" s="1"/>
  <c r="I17" i="95"/>
  <c r="M17" i="95"/>
  <c r="D18" i="95"/>
  <c r="M18" i="95"/>
  <c r="J18" i="95"/>
  <c r="G18" i="95"/>
  <c r="N18" i="95"/>
  <c r="O18" i="95"/>
  <c r="D19" i="95"/>
  <c r="G19" i="95"/>
  <c r="J19" i="95"/>
  <c r="M19" i="95"/>
  <c r="N19" i="95"/>
  <c r="O19" i="95"/>
  <c r="D20" i="95"/>
  <c r="G20" i="95"/>
  <c r="J20" i="95"/>
  <c r="M20" i="95"/>
  <c r="N20" i="95"/>
  <c r="O20" i="95"/>
  <c r="D21" i="95"/>
  <c r="F21" i="95"/>
  <c r="J21" i="95"/>
  <c r="M21" i="95"/>
  <c r="N21" i="95"/>
  <c r="D22" i="95"/>
  <c r="F22" i="95"/>
  <c r="G22" i="95" s="1"/>
  <c r="I22" i="95"/>
  <c r="M22" i="95"/>
  <c r="N22" i="95"/>
  <c r="D23" i="95"/>
  <c r="G23" i="95"/>
  <c r="J23" i="95"/>
  <c r="M23" i="95"/>
  <c r="N23" i="95"/>
  <c r="O23" i="95"/>
  <c r="D24" i="95"/>
  <c r="G24" i="95"/>
  <c r="J24" i="95"/>
  <c r="M24" i="95"/>
  <c r="N24" i="95"/>
  <c r="O24" i="95"/>
  <c r="D25" i="95"/>
  <c r="G25" i="95"/>
  <c r="J25" i="95"/>
  <c r="M25" i="95"/>
  <c r="N25" i="95"/>
  <c r="O25" i="95"/>
  <c r="D26" i="95"/>
  <c r="F26" i="95"/>
  <c r="G26" i="95" s="1"/>
  <c r="I26" i="95"/>
  <c r="J26" i="95" s="1"/>
  <c r="M26" i="95"/>
  <c r="N26" i="95"/>
  <c r="E35" i="95"/>
  <c r="F35" i="95" s="1"/>
  <c r="L27" i="95"/>
  <c r="D28" i="95"/>
  <c r="P28" i="95" s="1"/>
  <c r="N28" i="95"/>
  <c r="O28" i="95"/>
  <c r="P31" i="95"/>
  <c r="B35" i="95"/>
  <c r="C35" i="95" s="1"/>
  <c r="H35" i="95"/>
  <c r="I35" i="95" s="1"/>
  <c r="K35" i="95"/>
  <c r="L35" i="95" s="1"/>
  <c r="L36" i="95" s="1"/>
  <c r="P35" i="95"/>
  <c r="N35" i="95" s="1"/>
  <c r="O35" i="95" s="1"/>
  <c r="D5" i="98"/>
  <c r="E5" i="98"/>
  <c r="F5" i="98"/>
  <c r="C12" i="98"/>
  <c r="D12" i="98"/>
  <c r="G12" i="98"/>
  <c r="E13" i="98"/>
  <c r="E12" i="98" s="1"/>
  <c r="F13" i="98"/>
  <c r="F12" i="98" s="1"/>
  <c r="F15" i="98"/>
  <c r="C15" i="98"/>
  <c r="D15" i="98"/>
  <c r="E15" i="98"/>
  <c r="G15" i="98"/>
  <c r="H15" i="98"/>
  <c r="H11" i="98" s="1"/>
  <c r="M15" i="98"/>
  <c r="O15" i="98"/>
  <c r="M16" i="98"/>
  <c r="O16" i="98"/>
  <c r="C18" i="98"/>
  <c r="E18" i="98"/>
  <c r="G18" i="98"/>
  <c r="H18" i="98"/>
  <c r="D20" i="98"/>
  <c r="P12" i="98" s="1"/>
  <c r="F20" i="98"/>
  <c r="F18" i="98" s="1"/>
  <c r="D24" i="98"/>
  <c r="C26" i="98"/>
  <c r="C24" i="98" s="1"/>
  <c r="E26" i="98"/>
  <c r="E24" i="98" s="1"/>
  <c r="F26" i="98"/>
  <c r="F24" i="98" s="1"/>
  <c r="G26" i="98"/>
  <c r="G24" i="98" s="1"/>
  <c r="G29" i="98"/>
  <c r="G34" i="98"/>
  <c r="H26" i="98"/>
  <c r="H24" i="98" s="1"/>
  <c r="C29" i="98"/>
  <c r="E29" i="98"/>
  <c r="F29" i="98"/>
  <c r="H29" i="98"/>
  <c r="D31" i="98"/>
  <c r="D32" i="98"/>
  <c r="C34" i="98"/>
  <c r="D34" i="98"/>
  <c r="E34" i="98"/>
  <c r="F34" i="98"/>
  <c r="H34" i="98"/>
  <c r="C42" i="98"/>
  <c r="C47" i="98"/>
  <c r="D42" i="98"/>
  <c r="D47" i="98"/>
  <c r="D85" i="98"/>
  <c r="E42" i="98"/>
  <c r="F42" i="98"/>
  <c r="G42" i="98"/>
  <c r="H42" i="98"/>
  <c r="H47" i="98"/>
  <c r="H68" i="98"/>
  <c r="H78" i="98"/>
  <c r="H77" i="98" s="1"/>
  <c r="H94" i="98"/>
  <c r="H93" i="98" s="1"/>
  <c r="H96" i="98"/>
  <c r="G47" i="98"/>
  <c r="E48" i="98"/>
  <c r="F48" i="98"/>
  <c r="F49" i="98"/>
  <c r="I49" i="98" s="1"/>
  <c r="E51" i="98"/>
  <c r="F51" i="98"/>
  <c r="F47" i="98" s="1"/>
  <c r="I58" i="98"/>
  <c r="I59" i="98"/>
  <c r="P68" i="98"/>
  <c r="D78" i="98"/>
  <c r="D77" i="98" s="1"/>
  <c r="G78" i="98"/>
  <c r="E79" i="98"/>
  <c r="E78" i="98" s="1"/>
  <c r="F79" i="98"/>
  <c r="F78" i="98" s="1"/>
  <c r="F87" i="98"/>
  <c r="F85" i="98" s="1"/>
  <c r="I79" i="98"/>
  <c r="I80" i="98"/>
  <c r="I81" i="98"/>
  <c r="I82" i="98"/>
  <c r="D83" i="98"/>
  <c r="Q84" i="98"/>
  <c r="R84" i="98" s="1"/>
  <c r="C85" i="98"/>
  <c r="G85" i="98"/>
  <c r="G77" i="98" s="1"/>
  <c r="H85" i="98"/>
  <c r="E87" i="98"/>
  <c r="E85" i="98" s="1"/>
  <c r="D93" i="98"/>
  <c r="C94" i="98"/>
  <c r="C93" i="98" s="1"/>
  <c r="E94" i="98"/>
  <c r="E93" i="98" s="1"/>
  <c r="F94" i="98"/>
  <c r="F93" i="98" s="1"/>
  <c r="G94" i="98"/>
  <c r="G93" i="98" s="1"/>
  <c r="C96" i="98"/>
  <c r="D96" i="98"/>
  <c r="G96" i="98"/>
  <c r="E98" i="98"/>
  <c r="E96" i="98" s="1"/>
  <c r="F98" i="98"/>
  <c r="F96" i="98" s="1"/>
  <c r="D105" i="98"/>
  <c r="D103" i="98" s="1"/>
  <c r="D102" i="98" s="1"/>
  <c r="C14" i="56"/>
  <c r="E14" i="56"/>
  <c r="F14" i="56"/>
  <c r="I14" i="56"/>
  <c r="J14" i="56"/>
  <c r="E8" i="97"/>
  <c r="F8" i="97"/>
  <c r="G8" i="97"/>
  <c r="E56" i="97"/>
  <c r="F56" i="97"/>
  <c r="G56" i="97"/>
  <c r="C58" i="97"/>
  <c r="C59" i="97"/>
  <c r="D59" i="97"/>
  <c r="E59" i="97"/>
  <c r="F59" i="97"/>
  <c r="G59" i="97"/>
  <c r="E60" i="97"/>
  <c r="F60" i="97"/>
  <c r="G60" i="97"/>
  <c r="E65" i="97"/>
  <c r="F65" i="97"/>
  <c r="G65" i="97"/>
  <c r="E70" i="97"/>
  <c r="F73" i="97"/>
  <c r="F70" i="97" s="1"/>
  <c r="G73" i="97"/>
  <c r="G70" i="97" s="1"/>
  <c r="D74" i="97"/>
  <c r="E77" i="97"/>
  <c r="E76" i="97" s="1"/>
  <c r="F77" i="97"/>
  <c r="F76" i="97" s="1"/>
  <c r="G77" i="97"/>
  <c r="G76" i="97" s="1"/>
  <c r="C78" i="97"/>
  <c r="C77" i="97" s="1"/>
  <c r="C76" i="97" s="1"/>
  <c r="N9" i="53"/>
  <c r="H18" i="53"/>
  <c r="H26" i="53" s="1"/>
  <c r="K18" i="53"/>
  <c r="N11" i="53"/>
  <c r="M18" i="53"/>
  <c r="N13" i="53"/>
  <c r="N14" i="53"/>
  <c r="N15" i="53"/>
  <c r="N20" i="53"/>
  <c r="N21" i="53"/>
  <c r="N23" i="53"/>
  <c r="B6" i="93"/>
  <c r="B8" i="93"/>
  <c r="B11" i="93"/>
  <c r="D10" i="91"/>
  <c r="D8" i="91" s="1"/>
  <c r="E10" i="91"/>
  <c r="E8" i="91" s="1"/>
  <c r="D22" i="91"/>
  <c r="D23" i="91" s="1"/>
  <c r="E22" i="91"/>
  <c r="D25" i="91"/>
  <c r="D20" i="91" s="1"/>
  <c r="D18" i="91" s="1"/>
  <c r="E25" i="91"/>
  <c r="D26" i="91"/>
  <c r="E26" i="91"/>
  <c r="D35" i="91"/>
  <c r="D27" i="91" s="1"/>
  <c r="E35" i="91"/>
  <c r="E27" i="91" s="1"/>
  <c r="D45" i="91"/>
  <c r="E45" i="91"/>
  <c r="D63" i="91"/>
  <c r="E63" i="91"/>
  <c r="D92" i="91"/>
  <c r="E92" i="91"/>
  <c r="E97" i="91"/>
  <c r="E98" i="91"/>
  <c r="E99" i="91"/>
  <c r="E112" i="91"/>
  <c r="C9" i="90"/>
  <c r="C25" i="90" s="1"/>
  <c r="C34" i="90" s="1"/>
  <c r="D9" i="90"/>
  <c r="E9" i="90"/>
  <c r="C14" i="90"/>
  <c r="D14" i="90"/>
  <c r="E14" i="90"/>
  <c r="C18" i="90"/>
  <c r="D18" i="90"/>
  <c r="E18" i="90"/>
  <c r="C22" i="90"/>
  <c r="D22" i="90"/>
  <c r="D29" i="90"/>
  <c r="D32" i="90"/>
  <c r="E22" i="90"/>
  <c r="C29" i="90"/>
  <c r="E29" i="90"/>
  <c r="C32" i="90"/>
  <c r="E32" i="90"/>
  <c r="E9" i="94"/>
  <c r="E13" i="94"/>
  <c r="E18" i="94"/>
  <c r="D19" i="94"/>
  <c r="F19" i="94"/>
  <c r="E21" i="94"/>
  <c r="E22" i="94" s="1"/>
  <c r="D22" i="94"/>
  <c r="F22" i="94"/>
  <c r="D24" i="94"/>
  <c r="E24" i="94"/>
  <c r="E26" i="94"/>
  <c r="E28" i="94"/>
  <c r="F24" i="94"/>
  <c r="D28" i="94"/>
  <c r="F28" i="94"/>
  <c r="E42" i="94"/>
  <c r="E45" i="94"/>
  <c r="E49" i="94"/>
  <c r="D50" i="94"/>
  <c r="F50" i="94"/>
  <c r="D96" i="91" s="1"/>
  <c r="E96" i="91" s="1"/>
  <c r="D52" i="94"/>
  <c r="E52" i="94"/>
  <c r="E58" i="94" s="1"/>
  <c r="F52" i="94"/>
  <c r="D54" i="94"/>
  <c r="E54" i="94"/>
  <c r="F54" i="94"/>
  <c r="F57" i="94"/>
  <c r="D57" i="94"/>
  <c r="E57" i="94"/>
  <c r="E61" i="94"/>
  <c r="F61" i="94"/>
  <c r="D101" i="91" s="1"/>
  <c r="E101" i="91" s="1"/>
  <c r="D67" i="94"/>
  <c r="E67" i="94"/>
  <c r="F67" i="94"/>
  <c r="D71" i="94"/>
  <c r="D73" i="94"/>
  <c r="E71" i="94"/>
  <c r="F71" i="94"/>
  <c r="E73" i="94"/>
  <c r="F73" i="94"/>
  <c r="E77" i="94"/>
  <c r="D81" i="94"/>
  <c r="E81" i="94"/>
  <c r="F81" i="94"/>
  <c r="E6" i="88"/>
  <c r="E9" i="88"/>
  <c r="E7" i="88"/>
  <c r="E8" i="88" s="1"/>
  <c r="C8" i="88"/>
  <c r="D8" i="88"/>
  <c r="E10" i="88"/>
  <c r="E11" i="88" s="1"/>
  <c r="C11" i="88"/>
  <c r="D11" i="88"/>
  <c r="D12" i="88" s="1"/>
  <c r="D15" i="88" s="1"/>
  <c r="E14" i="88"/>
  <c r="F27" i="52"/>
  <c r="I27" i="52"/>
  <c r="I9" i="83"/>
  <c r="D9" i="83"/>
  <c r="E9" i="83" s="1"/>
  <c r="J9" i="83"/>
  <c r="E26" i="83"/>
  <c r="J79" i="83"/>
  <c r="D69" i="98" s="1"/>
  <c r="D68" i="98" s="1"/>
  <c r="J81" i="83"/>
  <c r="J11" i="82"/>
  <c r="M11" i="82"/>
  <c r="J19" i="82"/>
  <c r="M19" i="82"/>
  <c r="U49" i="82"/>
  <c r="B18" i="81"/>
  <c r="B26" i="81" s="1"/>
  <c r="B34" i="81" s="1"/>
  <c r="B42" i="81" s="1"/>
  <c r="B50" i="81" s="1"/>
  <c r="B58" i="81" s="1"/>
  <c r="E19" i="81"/>
  <c r="E20" i="81"/>
  <c r="B37" i="81"/>
  <c r="B45" i="81" s="1"/>
  <c r="B53" i="81" s="1"/>
  <c r="B61" i="81" s="1"/>
  <c r="E21" i="81"/>
  <c r="E22" i="81"/>
  <c r="F22" i="81" s="1"/>
  <c r="E23" i="81"/>
  <c r="B86" i="81"/>
  <c r="B94" i="81"/>
  <c r="B101" i="81" s="1"/>
  <c r="B108" i="81" s="1"/>
  <c r="B115" i="81" s="1"/>
  <c r="B122" i="81" s="1"/>
  <c r="B129" i="81" s="1"/>
  <c r="B136" i="81" s="1"/>
  <c r="B143" i="81" s="1"/>
  <c r="N18" i="80"/>
  <c r="N19" i="80"/>
  <c r="B8" i="39"/>
  <c r="C7" i="58"/>
  <c r="C38" i="58"/>
  <c r="C39" i="58"/>
  <c r="C103" i="57" s="1"/>
  <c r="C62" i="97"/>
  <c r="C60" i="97" s="1"/>
  <c r="C74" i="97"/>
  <c r="C73" i="97" s="1"/>
  <c r="C75" i="97"/>
  <c r="C7" i="57"/>
  <c r="B101" i="57"/>
  <c r="B102" i="57"/>
  <c r="C106" i="57"/>
  <c r="C68" i="97"/>
  <c r="J19" i="99"/>
  <c r="J13" i="99" s="1"/>
  <c r="J47" i="99" s="1"/>
  <c r="J21" i="99"/>
  <c r="E8" i="96"/>
  <c r="F12" i="96"/>
  <c r="F14" i="96"/>
  <c r="F21" i="96"/>
  <c r="F23" i="96"/>
  <c r="F24" i="96"/>
  <c r="F26" i="96"/>
  <c r="F28" i="96"/>
  <c r="F29" i="96"/>
  <c r="F30" i="96"/>
  <c r="D31" i="96"/>
  <c r="E31" i="96"/>
  <c r="F32" i="96"/>
  <c r="F33" i="96"/>
  <c r="F34" i="96"/>
  <c r="F35" i="96"/>
  <c r="F36" i="96"/>
  <c r="D37" i="96"/>
  <c r="E37" i="96"/>
  <c r="F38" i="96"/>
  <c r="F39" i="96"/>
  <c r="F41" i="96"/>
  <c r="D42" i="96"/>
  <c r="E42" i="96"/>
  <c r="F43" i="96"/>
  <c r="F46" i="96"/>
  <c r="F48" i="96"/>
  <c r="F49" i="96"/>
  <c r="E54" i="96"/>
  <c r="D61" i="96"/>
  <c r="E61" i="96"/>
  <c r="F62" i="96"/>
  <c r="F61" i="96" s="1"/>
  <c r="D65" i="96"/>
  <c r="D64" i="96" s="1"/>
  <c r="E65" i="96"/>
  <c r="E64" i="96" s="1"/>
  <c r="F66" i="96"/>
  <c r="F65" i="96" s="1"/>
  <c r="F68" i="96"/>
  <c r="D69" i="96"/>
  <c r="E69" i="96"/>
  <c r="F70" i="96"/>
  <c r="F69" i="96" s="1"/>
  <c r="F74" i="96"/>
  <c r="F79" i="96"/>
  <c r="F80" i="96"/>
  <c r="F81" i="96"/>
  <c r="F96" i="96"/>
  <c r="F97" i="96"/>
  <c r="F102" i="96"/>
  <c r="F103" i="96"/>
  <c r="F113" i="96"/>
  <c r="F114" i="96"/>
  <c r="F132" i="96"/>
  <c r="F137" i="96"/>
  <c r="F143" i="96"/>
  <c r="F152" i="96"/>
  <c r="F158" i="96"/>
  <c r="F161" i="96"/>
  <c r="F163" i="96"/>
  <c r="F173" i="96"/>
  <c r="F174" i="96"/>
  <c r="F175" i="96"/>
  <c r="F177" i="96"/>
  <c r="F178" i="96"/>
  <c r="F179" i="96"/>
  <c r="F180" i="96"/>
  <c r="E181" i="96"/>
  <c r="E162" i="96" s="1"/>
  <c r="F182" i="96"/>
  <c r="F183" i="96"/>
  <c r="F185" i="96"/>
  <c r="D186" i="96"/>
  <c r="E186" i="96"/>
  <c r="F187" i="96"/>
  <c r="F186" i="96" s="1"/>
  <c r="C66" i="97"/>
  <c r="C65" i="97" s="1"/>
  <c r="C46" i="97"/>
  <c r="E18" i="53"/>
  <c r="E26" i="53" s="1"/>
  <c r="C50" i="97"/>
  <c r="C72" i="97"/>
  <c r="L18" i="53"/>
  <c r="L26" i="53" s="1"/>
  <c r="C22" i="97"/>
  <c r="J18" i="53"/>
  <c r="J26" i="53" s="1"/>
  <c r="C57" i="97"/>
  <c r="C56" i="97" s="1"/>
  <c r="N12" i="53"/>
  <c r="I83" i="98"/>
  <c r="D27" i="52"/>
  <c r="E23" i="91"/>
  <c r="B25" i="53"/>
  <c r="C29" i="97"/>
  <c r="C40" i="97"/>
  <c r="D8" i="96"/>
  <c r="F27" i="96"/>
  <c r="F18" i="53"/>
  <c r="N25" i="80"/>
  <c r="O25" i="80" s="1"/>
  <c r="I18" i="53"/>
  <c r="I26" i="53" s="1"/>
  <c r="G18" i="53"/>
  <c r="G26" i="53" s="1"/>
  <c r="F147" i="81"/>
  <c r="C16" i="97"/>
  <c r="C18" i="53"/>
  <c r="C26" i="53" s="1"/>
  <c r="F172" i="96"/>
  <c r="F156" i="96"/>
  <c r="C71" i="97"/>
  <c r="C70" i="97" s="1"/>
  <c r="C9" i="97"/>
  <c r="C8" i="97" s="1"/>
  <c r="N20" i="80"/>
  <c r="E46" i="81"/>
  <c r="F46" i="81" s="1"/>
  <c r="E54" i="81"/>
  <c r="F54" i="81" s="1"/>
  <c r="C67" i="97"/>
  <c r="E112" i="81"/>
  <c r="N10" i="53"/>
  <c r="L27" i="99"/>
  <c r="L20" i="99"/>
  <c r="G20" i="99"/>
  <c r="J19" i="80"/>
  <c r="C84" i="81"/>
  <c r="F140" i="81"/>
  <c r="C145" i="81"/>
  <c r="F145" i="81" s="1"/>
  <c r="C26" i="83"/>
  <c r="D23" i="83"/>
  <c r="G15" i="95"/>
  <c r="S40" i="98"/>
  <c r="G11" i="100"/>
  <c r="G13" i="100" s="1"/>
  <c r="P45" i="82"/>
  <c r="J17" i="99"/>
  <c r="J11" i="99" s="1"/>
  <c r="J45" i="99" s="1"/>
  <c r="F83" i="96"/>
  <c r="B97" i="81"/>
  <c r="B104" i="81" s="1"/>
  <c r="B111" i="81" s="1"/>
  <c r="B118" i="81" s="1"/>
  <c r="B125" i="81" s="1"/>
  <c r="B132" i="81" s="1"/>
  <c r="B139" i="81" s="1"/>
  <c r="B146" i="81" s="1"/>
  <c r="B83" i="81"/>
  <c r="B73" i="81"/>
  <c r="B87" i="81" s="1"/>
  <c r="Q45" i="82"/>
  <c r="F10" i="99"/>
  <c r="I20" i="80"/>
  <c r="I14" i="80" s="1"/>
  <c r="I16" i="80"/>
  <c r="I10" i="80" s="1"/>
  <c r="D32" i="52"/>
  <c r="D33" i="52" s="1"/>
  <c r="D34" i="52" s="1"/>
  <c r="I18" i="80"/>
  <c r="I12" i="80" s="1"/>
  <c r="H160" i="96"/>
  <c r="H159" i="96" s="1"/>
  <c r="B82" i="81"/>
  <c r="O21" i="95"/>
  <c r="F27" i="95"/>
  <c r="F29" i="95" s="1"/>
  <c r="H36" i="95"/>
  <c r="H29" i="95"/>
  <c r="M15" i="95"/>
  <c r="M33" i="95" s="1"/>
  <c r="G21" i="95"/>
  <c r="P21" i="95" s="1"/>
  <c r="M27" i="95"/>
  <c r="I27" i="95"/>
  <c r="I36" i="95" s="1"/>
  <c r="J22" i="95"/>
  <c r="O26" i="95"/>
  <c r="D15" i="95"/>
  <c r="E20" i="91"/>
  <c r="E18" i="91" s="1"/>
  <c r="E78" i="94"/>
  <c r="D26" i="83"/>
  <c r="F76" i="83"/>
  <c r="C33" i="90"/>
  <c r="E25" i="90"/>
  <c r="U84" i="82"/>
  <c r="D26" i="53"/>
  <c r="N38" i="80"/>
  <c r="P47" i="80"/>
  <c r="D54" i="96"/>
  <c r="D73" i="96"/>
  <c r="F88" i="96"/>
  <c r="C62" i="81"/>
  <c r="H184" i="96"/>
  <c r="R45" i="82"/>
  <c r="F136" i="96"/>
  <c r="C59" i="81"/>
  <c r="I28" i="99"/>
  <c r="I15" i="99" s="1"/>
  <c r="I49" i="99" s="1"/>
  <c r="M16" i="80"/>
  <c r="J22" i="80"/>
  <c r="O22" i="80" s="1"/>
  <c r="B37" i="99"/>
  <c r="B31" i="99" s="1"/>
  <c r="G64" i="97"/>
  <c r="P19" i="95"/>
  <c r="D18" i="98"/>
  <c r="C11" i="98"/>
  <c r="C6" i="98" s="1"/>
  <c r="P25" i="95"/>
  <c r="F18" i="80"/>
  <c r="F76" i="96"/>
  <c r="U85" i="82"/>
  <c r="F32" i="52"/>
  <c r="N17" i="53"/>
  <c r="P28" i="82" l="1"/>
  <c r="I29" i="95"/>
  <c r="J30" i="95" s="1"/>
  <c r="J32" i="95" s="1"/>
  <c r="E64" i="97"/>
  <c r="E83" i="97" s="1"/>
  <c r="D17" i="91"/>
  <c r="D7" i="91" s="1"/>
  <c r="O15" i="95"/>
  <c r="G55" i="97"/>
  <c r="D41" i="98"/>
  <c r="I40" i="98" s="1"/>
  <c r="F28" i="98"/>
  <c r="G28" i="98"/>
  <c r="C79" i="98"/>
  <c r="C12" i="88"/>
  <c r="C15" i="88" s="1"/>
  <c r="F78" i="94"/>
  <c r="F82" i="94" s="1"/>
  <c r="E17" i="91"/>
  <c r="E7" i="91" s="1"/>
  <c r="F11" i="98"/>
  <c r="L46" i="80"/>
  <c r="E46" i="80"/>
  <c r="P42" i="80"/>
  <c r="D10" i="81"/>
  <c r="G70" i="82"/>
  <c r="G45" i="82" s="1"/>
  <c r="G92" i="82" s="1"/>
  <c r="C11" i="52"/>
  <c r="D42" i="81"/>
  <c r="E42" i="81" s="1"/>
  <c r="F42" i="81" s="1"/>
  <c r="J91" i="83"/>
  <c r="F39" i="99"/>
  <c r="F33" i="99" s="1"/>
  <c r="F38" i="99"/>
  <c r="F32" i="99" s="1"/>
  <c r="F18" i="99"/>
  <c r="F12" i="99" s="1"/>
  <c r="J61" i="83"/>
  <c r="I43" i="80"/>
  <c r="C62" i="36"/>
  <c r="C60" i="36" s="1"/>
  <c r="O17" i="53" s="1"/>
  <c r="K23" i="99"/>
  <c r="L18" i="99"/>
  <c r="L12" i="99" s="1"/>
  <c r="L46" i="99" s="1"/>
  <c r="J12" i="99"/>
  <c r="J46" i="99" s="1"/>
  <c r="I46" i="80"/>
  <c r="O19" i="80"/>
  <c r="J13" i="80"/>
  <c r="P43" i="80"/>
  <c r="I45" i="80"/>
  <c r="I47" i="80"/>
  <c r="G14" i="99"/>
  <c r="F76" i="81"/>
  <c r="F90" i="81" s="1"/>
  <c r="D70" i="81"/>
  <c r="E70" i="81" s="1"/>
  <c r="G54" i="81" s="1"/>
  <c r="B76" i="81"/>
  <c r="B90" i="81" s="1"/>
  <c r="B99" i="81"/>
  <c r="B106" i="81" s="1"/>
  <c r="B113" i="81" s="1"/>
  <c r="B120" i="81" s="1"/>
  <c r="B127" i="81" s="1"/>
  <c r="B134" i="81" s="1"/>
  <c r="B141" i="81" s="1"/>
  <c r="B148" i="81" s="1"/>
  <c r="D46" i="80"/>
  <c r="B84" i="81"/>
  <c r="M27" i="99"/>
  <c r="H41" i="98"/>
  <c r="H6" i="98"/>
  <c r="P18" i="95"/>
  <c r="O17" i="95"/>
  <c r="N17" i="95"/>
  <c r="N27" i="95" s="1"/>
  <c r="P16" i="95"/>
  <c r="K36" i="95"/>
  <c r="P11" i="95"/>
  <c r="J44" i="83"/>
  <c r="F36" i="95"/>
  <c r="F58" i="94"/>
  <c r="D100" i="91" s="1"/>
  <c r="E100" i="91" s="1"/>
  <c r="E33" i="90"/>
  <c r="E34" i="90" s="1"/>
  <c r="D33" i="90"/>
  <c r="G41" i="98"/>
  <c r="C28" i="98"/>
  <c r="C38" i="98" s="1"/>
  <c r="P24" i="95"/>
  <c r="G69" i="98"/>
  <c r="G68" i="98" s="1"/>
  <c r="F9" i="88"/>
  <c r="G9" i="88" s="1"/>
  <c r="E50" i="94"/>
  <c r="D29" i="94"/>
  <c r="D62" i="94" s="1"/>
  <c r="E19" i="94"/>
  <c r="F64" i="97"/>
  <c r="F83" i="97" s="1"/>
  <c r="G54" i="97"/>
  <c r="G63" i="97" s="1"/>
  <c r="G86" i="97" s="1"/>
  <c r="F41" i="98"/>
  <c r="D30" i="98"/>
  <c r="D29" i="98" s="1"/>
  <c r="D28" i="98" s="1"/>
  <c r="E11" i="98"/>
  <c r="L29" i="95"/>
  <c r="J41" i="83"/>
  <c r="E36" i="81"/>
  <c r="F21" i="99"/>
  <c r="F15" i="99" s="1"/>
  <c r="F49" i="99" s="1"/>
  <c r="E47" i="81"/>
  <c r="F47" i="81" s="1"/>
  <c r="E132" i="81"/>
  <c r="C55" i="97"/>
  <c r="C54" i="97" s="1"/>
  <c r="C63" i="97" s="1"/>
  <c r="G14" i="56"/>
  <c r="F6" i="98"/>
  <c r="F38" i="98" s="1"/>
  <c r="G33" i="95"/>
  <c r="P26" i="95"/>
  <c r="P22" i="95"/>
  <c r="G40" i="99"/>
  <c r="M40" i="99" s="1"/>
  <c r="B34" i="99"/>
  <c r="B48" i="99" s="1"/>
  <c r="M10" i="80"/>
  <c r="M43" i="80" s="1"/>
  <c r="L21" i="99"/>
  <c r="J15" i="99"/>
  <c r="J49" i="99" s="1"/>
  <c r="K29" i="95"/>
  <c r="P12" i="95"/>
  <c r="O28" i="82"/>
  <c r="P92" i="82"/>
  <c r="P95" i="82" s="1"/>
  <c r="P97" i="82" s="1"/>
  <c r="M22" i="99"/>
  <c r="P46" i="80"/>
  <c r="B38" i="101"/>
  <c r="G83" i="97"/>
  <c r="D13" i="88"/>
  <c r="E12" i="88"/>
  <c r="E13" i="88" s="1"/>
  <c r="D78" i="94"/>
  <c r="D82" i="94" s="1"/>
  <c r="J17" i="95"/>
  <c r="J27" i="95" s="1"/>
  <c r="J36" i="95" s="1"/>
  <c r="E29" i="94"/>
  <c r="E77" i="98"/>
  <c r="H40" i="98"/>
  <c r="H28" i="98"/>
  <c r="C144" i="81"/>
  <c r="F144" i="81" s="1"/>
  <c r="O24" i="52"/>
  <c r="C94" i="58"/>
  <c r="M46" i="80"/>
  <c r="G46" i="80"/>
  <c r="N32" i="80"/>
  <c r="P45" i="80"/>
  <c r="C46" i="80"/>
  <c r="F46" i="80"/>
  <c r="B46" i="80"/>
  <c r="H46" i="80"/>
  <c r="N13" i="80"/>
  <c r="L14" i="99"/>
  <c r="G11" i="101"/>
  <c r="O12" i="101"/>
  <c r="G16" i="101"/>
  <c r="P36" i="101"/>
  <c r="G18" i="101"/>
  <c r="O18" i="101"/>
  <c r="O19" i="101"/>
  <c r="P19" i="101" s="1"/>
  <c r="R19" i="101" s="1"/>
  <c r="K46" i="80"/>
  <c r="B81" i="81"/>
  <c r="B74" i="81"/>
  <c r="B88" i="81" s="1"/>
  <c r="M29" i="99"/>
  <c r="J38" i="80"/>
  <c r="B85" i="81"/>
  <c r="F84" i="81"/>
  <c r="J27" i="83"/>
  <c r="E45" i="81"/>
  <c r="F45" i="81" s="1"/>
  <c r="D120" i="81"/>
  <c r="K39" i="80" s="1"/>
  <c r="E43" i="81"/>
  <c r="F43" i="81" s="1"/>
  <c r="E130" i="81"/>
  <c r="J36" i="83"/>
  <c r="F17" i="99"/>
  <c r="F11" i="99" s="1"/>
  <c r="F37" i="99"/>
  <c r="F31" i="99" s="1"/>
  <c r="J77" i="83"/>
  <c r="F19" i="99"/>
  <c r="F13" i="99" s="1"/>
  <c r="E39" i="81"/>
  <c r="F57" i="96"/>
  <c r="F64" i="96"/>
  <c r="F63" i="96" s="1"/>
  <c r="T28" i="82"/>
  <c r="K28" i="82"/>
  <c r="E16" i="80"/>
  <c r="E10" i="80" s="1"/>
  <c r="E43" i="80" s="1"/>
  <c r="L28" i="82"/>
  <c r="D63" i="96"/>
  <c r="F181" i="96"/>
  <c r="F162" i="96" s="1"/>
  <c r="E63" i="96"/>
  <c r="U80" i="82"/>
  <c r="C124" i="81"/>
  <c r="C125" i="81"/>
  <c r="E18" i="80" s="1"/>
  <c r="E12" i="80" s="1"/>
  <c r="E45" i="80" s="1"/>
  <c r="Q92" i="82"/>
  <c r="I28" i="82"/>
  <c r="E28" i="82"/>
  <c r="L92" i="82"/>
  <c r="C33" i="82"/>
  <c r="C83" i="82"/>
  <c r="U83" i="82" s="1"/>
  <c r="K92" i="82"/>
  <c r="C66" i="58"/>
  <c r="L15" i="80" s="1"/>
  <c r="C68" i="57"/>
  <c r="C22" i="36" s="1"/>
  <c r="O11" i="53" s="1"/>
  <c r="C35" i="81"/>
  <c r="F35" i="81" s="1"/>
  <c r="D29" i="97"/>
  <c r="O14" i="53"/>
  <c r="D46" i="97"/>
  <c r="C12" i="57"/>
  <c r="C11" i="57" s="1"/>
  <c r="B41" i="39"/>
  <c r="B35" i="39" s="1"/>
  <c r="B34" i="39" s="1"/>
  <c r="B33" i="39" s="1"/>
  <c r="C29" i="57"/>
  <c r="D72" i="96"/>
  <c r="D188" i="96" s="1"/>
  <c r="F8" i="96"/>
  <c r="F39" i="80"/>
  <c r="F33" i="80" s="1"/>
  <c r="D99" i="81"/>
  <c r="E99" i="81" s="1"/>
  <c r="F34" i="80"/>
  <c r="F28" i="80" s="1"/>
  <c r="E131" i="81"/>
  <c r="D15" i="81"/>
  <c r="E13" i="81"/>
  <c r="B39" i="99"/>
  <c r="M26" i="80"/>
  <c r="M14" i="80" s="1"/>
  <c r="M47" i="80" s="1"/>
  <c r="C44" i="57"/>
  <c r="G6" i="101"/>
  <c r="G9" i="101"/>
  <c r="O11" i="101"/>
  <c r="P32" i="101"/>
  <c r="O17" i="101"/>
  <c r="G10" i="101"/>
  <c r="B20" i="101"/>
  <c r="G7" i="101"/>
  <c r="O7" i="101"/>
  <c r="I20" i="101"/>
  <c r="G13" i="101"/>
  <c r="F20" i="101"/>
  <c r="O40" i="101" s="1"/>
  <c r="B6" i="92"/>
  <c r="E11" i="81"/>
  <c r="H84" i="81"/>
  <c r="F112" i="81"/>
  <c r="G84" i="81" s="1"/>
  <c r="D7" i="96"/>
  <c r="F42" i="96"/>
  <c r="F37" i="96"/>
  <c r="F31" i="96"/>
  <c r="E7" i="96"/>
  <c r="D25" i="90"/>
  <c r="D34" i="90" s="1"/>
  <c r="P20" i="95"/>
  <c r="E36" i="95"/>
  <c r="H39" i="98"/>
  <c r="H108" i="98" s="1"/>
  <c r="Q28" i="82"/>
  <c r="M20" i="99"/>
  <c r="M28" i="82"/>
  <c r="F55" i="97"/>
  <c r="F54" i="97" s="1"/>
  <c r="F63" i="97" s="1"/>
  <c r="F86" i="97" s="1"/>
  <c r="D17" i="95"/>
  <c r="B27" i="95"/>
  <c r="B36" i="95" s="1"/>
  <c r="J28" i="82"/>
  <c r="F29" i="94"/>
  <c r="E55" i="97"/>
  <c r="E54" i="97" s="1"/>
  <c r="E63" i="97" s="1"/>
  <c r="P23" i="95"/>
  <c r="O22" i="95"/>
  <c r="E29" i="95"/>
  <c r="G30" i="95" s="1"/>
  <c r="G32" i="95" s="1"/>
  <c r="J15" i="95"/>
  <c r="N15" i="95"/>
  <c r="N29" i="95" s="1"/>
  <c r="H16" i="80"/>
  <c r="H10" i="80" s="1"/>
  <c r="H43" i="80" s="1"/>
  <c r="J92" i="82"/>
  <c r="R92" i="82"/>
  <c r="I42" i="80"/>
  <c r="J38" i="101"/>
  <c r="F26" i="80"/>
  <c r="J26" i="80" s="1"/>
  <c r="C13" i="58"/>
  <c r="C16" i="36" s="1"/>
  <c r="O10" i="53" s="1"/>
  <c r="K11" i="56"/>
  <c r="M92" i="82"/>
  <c r="O38" i="101"/>
  <c r="P28" i="101"/>
  <c r="F24" i="80"/>
  <c r="J24" i="80" s="1"/>
  <c r="B38" i="99"/>
  <c r="E28" i="98"/>
  <c r="P14" i="95"/>
  <c r="P10" i="95"/>
  <c r="O92" i="82"/>
  <c r="D44" i="99"/>
  <c r="P26" i="101"/>
  <c r="P35" i="101"/>
  <c r="C78" i="36"/>
  <c r="H15" i="80" s="1"/>
  <c r="H9" i="80" s="1"/>
  <c r="H42" i="80" s="1"/>
  <c r="D80" i="97"/>
  <c r="D77" i="97" s="1"/>
  <c r="D76" i="97" s="1"/>
  <c r="C73" i="83"/>
  <c r="C80" i="83" s="1"/>
  <c r="C58" i="36"/>
  <c r="C56" i="36" s="1"/>
  <c r="J16" i="99"/>
  <c r="L16" i="99" s="1"/>
  <c r="C27" i="57"/>
  <c r="C25" i="57" s="1"/>
  <c r="U42" i="82"/>
  <c r="K26" i="53"/>
  <c r="F26" i="53"/>
  <c r="C39" i="81"/>
  <c r="C31" i="81" s="1"/>
  <c r="C19" i="81"/>
  <c r="F19" i="81" s="1"/>
  <c r="C117" i="81"/>
  <c r="C118" i="81"/>
  <c r="M24" i="80"/>
  <c r="M12" i="80" s="1"/>
  <c r="M45" i="80" s="1"/>
  <c r="C35" i="58"/>
  <c r="C61" i="81"/>
  <c r="F61" i="81" s="1"/>
  <c r="C45" i="58"/>
  <c r="C44" i="58" s="1"/>
  <c r="C30" i="81"/>
  <c r="F30" i="81" s="1"/>
  <c r="F62" i="81"/>
  <c r="C148" i="81"/>
  <c r="F148" i="81" s="1"/>
  <c r="C85" i="97"/>
  <c r="L16" i="80"/>
  <c r="L26" i="80"/>
  <c r="L14" i="80" s="1"/>
  <c r="L47" i="80" s="1"/>
  <c r="H28" i="99"/>
  <c r="H15" i="99" s="1"/>
  <c r="H49" i="99" s="1"/>
  <c r="C23" i="81"/>
  <c r="F23" i="81" s="1"/>
  <c r="K26" i="80"/>
  <c r="I26" i="99"/>
  <c r="I13" i="99" s="1"/>
  <c r="I47" i="99" s="1"/>
  <c r="C40" i="36"/>
  <c r="C20" i="81"/>
  <c r="F20" i="81" s="1"/>
  <c r="L17" i="99"/>
  <c r="D62" i="97"/>
  <c r="D60" i="97" s="1"/>
  <c r="H20" i="80"/>
  <c r="H14" i="80" s="1"/>
  <c r="H47" i="80" s="1"/>
  <c r="K10" i="99"/>
  <c r="K44" i="99" s="1"/>
  <c r="N30" i="52"/>
  <c r="H28" i="82"/>
  <c r="U11" i="82"/>
  <c r="C121" i="57"/>
  <c r="C122" i="81"/>
  <c r="D92" i="82"/>
  <c r="C102" i="81"/>
  <c r="C16" i="80" s="1"/>
  <c r="C10" i="80" s="1"/>
  <c r="I92" i="82"/>
  <c r="C104" i="81"/>
  <c r="C18" i="80" s="1"/>
  <c r="C12" i="80" s="1"/>
  <c r="C106" i="81"/>
  <c r="C19" i="82"/>
  <c r="U43" i="82"/>
  <c r="R28" i="82"/>
  <c r="N45" i="82"/>
  <c r="N92" i="82" s="1"/>
  <c r="U62" i="82"/>
  <c r="D28" i="82"/>
  <c r="C9" i="52"/>
  <c r="G28" i="82"/>
  <c r="E92" i="82"/>
  <c r="N28" i="82"/>
  <c r="C127" i="81"/>
  <c r="F127" i="81" s="1"/>
  <c r="J64" i="83"/>
  <c r="J26" i="83"/>
  <c r="D101" i="81" s="1"/>
  <c r="C34" i="80" s="1"/>
  <c r="B11" i="39"/>
  <c r="B10" i="39" s="1"/>
  <c r="B9" i="39" s="1"/>
  <c r="F36" i="99"/>
  <c r="F20" i="80"/>
  <c r="H26" i="99"/>
  <c r="H13" i="99" s="1"/>
  <c r="H47" i="99" s="1"/>
  <c r="J21" i="80"/>
  <c r="C146" i="81"/>
  <c r="F146" i="81" s="1"/>
  <c r="F59" i="81"/>
  <c r="K16" i="80"/>
  <c r="K10" i="80" s="1"/>
  <c r="C116" i="81"/>
  <c r="K24" i="80"/>
  <c r="M36" i="95"/>
  <c r="M29" i="95"/>
  <c r="H10" i="99"/>
  <c r="H44" i="99" s="1"/>
  <c r="C82" i="98"/>
  <c r="C78" i="98" s="1"/>
  <c r="C77" i="98" s="1"/>
  <c r="E47" i="98"/>
  <c r="E41" i="98" s="1"/>
  <c r="C41" i="98"/>
  <c r="C40" i="98" s="1"/>
  <c r="E6" i="98"/>
  <c r="E38" i="98" s="1"/>
  <c r="G27" i="95"/>
  <c r="P13" i="95"/>
  <c r="P15" i="95" s="1"/>
  <c r="F10" i="88"/>
  <c r="G10" i="88" s="1"/>
  <c r="G11" i="98"/>
  <c r="G6" i="98" s="1"/>
  <c r="G38" i="98" s="1"/>
  <c r="B29" i="95"/>
  <c r="L38" i="101"/>
  <c r="L19" i="99"/>
  <c r="D11" i="98"/>
  <c r="D6" i="98" s="1"/>
  <c r="D38" i="98" s="1"/>
  <c r="O27" i="95"/>
  <c r="O29" i="95" s="1"/>
  <c r="C64" i="97"/>
  <c r="C83" i="97" s="1"/>
  <c r="E82" i="94"/>
  <c r="P40" i="98"/>
  <c r="F77" i="98"/>
  <c r="C36" i="95"/>
  <c r="O36" i="95" s="1"/>
  <c r="C76" i="36"/>
  <c r="C80" i="58"/>
  <c r="M15" i="80" s="1"/>
  <c r="M9" i="80" s="1"/>
  <c r="M42" i="80" s="1"/>
  <c r="E73" i="96"/>
  <c r="E72" i="96" s="1"/>
  <c r="E188" i="96" s="1"/>
  <c r="F75" i="96"/>
  <c r="F73" i="96" s="1"/>
  <c r="L27" i="52"/>
  <c r="N27" i="52" s="1"/>
  <c r="N26" i="52"/>
  <c r="O27" i="52" s="1"/>
  <c r="T92" i="82"/>
  <c r="C32" i="82"/>
  <c r="U32" i="82" s="1"/>
  <c r="C116" i="57" s="1"/>
  <c r="C101" i="81" s="1"/>
  <c r="C15" i="80" s="1"/>
  <c r="F13" i="100"/>
  <c r="O6" i="101"/>
  <c r="N20" i="101"/>
  <c r="O10" i="101"/>
  <c r="O13" i="101"/>
  <c r="E44" i="81"/>
  <c r="D73" i="83"/>
  <c r="H92" i="82"/>
  <c r="J23" i="83"/>
  <c r="D138" i="82"/>
  <c r="E73" i="83"/>
  <c r="E76" i="83" s="1"/>
  <c r="D57" i="97"/>
  <c r="D117" i="81"/>
  <c r="K36" i="80" s="1"/>
  <c r="O8" i="101"/>
  <c r="C20" i="101"/>
  <c r="O9" i="101"/>
  <c r="D20" i="101"/>
  <c r="G12" i="101"/>
  <c r="O14" i="101"/>
  <c r="G15" i="101"/>
  <c r="P34" i="101"/>
  <c r="O15" i="101"/>
  <c r="O16" i="101"/>
  <c r="G17" i="101"/>
  <c r="F92" i="82"/>
  <c r="C45" i="82"/>
  <c r="P30" i="101"/>
  <c r="P27" i="101"/>
  <c r="P29" i="101"/>
  <c r="P31" i="101"/>
  <c r="P33" i="101"/>
  <c r="P37" i="101"/>
  <c r="G8" i="101"/>
  <c r="K20" i="101"/>
  <c r="M20" i="101"/>
  <c r="P25" i="101"/>
  <c r="G14" i="101"/>
  <c r="E20" i="101"/>
  <c r="L20" i="101"/>
  <c r="L95" i="82" l="1"/>
  <c r="L97" i="82" s="1"/>
  <c r="E138" i="82"/>
  <c r="C95" i="58" s="1"/>
  <c r="G140" i="82"/>
  <c r="T95" i="82"/>
  <c r="T97" i="82" s="1"/>
  <c r="E95" i="82"/>
  <c r="E97" i="82" s="1"/>
  <c r="U70" i="82"/>
  <c r="C58" i="81"/>
  <c r="F58" i="81" s="1"/>
  <c r="C72" i="36"/>
  <c r="D72" i="97" s="1"/>
  <c r="P16" i="101"/>
  <c r="R16" i="101" s="1"/>
  <c r="E86" i="97"/>
  <c r="E15" i="88"/>
  <c r="E62" i="94"/>
  <c r="M30" i="95"/>
  <c r="M32" i="95" s="1"/>
  <c r="C13" i="88"/>
  <c r="H38" i="98"/>
  <c r="D40" i="98"/>
  <c r="D39" i="98" s="1"/>
  <c r="D108" i="98" s="1"/>
  <c r="D109" i="98" s="1"/>
  <c r="P33" i="95"/>
  <c r="N36" i="95"/>
  <c r="G40" i="98"/>
  <c r="G39" i="98" s="1"/>
  <c r="G108" i="98" s="1"/>
  <c r="G109" i="98" s="1"/>
  <c r="F47" i="99"/>
  <c r="C36" i="99"/>
  <c r="C30" i="99" s="1"/>
  <c r="C44" i="99" s="1"/>
  <c r="N95" i="82"/>
  <c r="N97" i="82" s="1"/>
  <c r="O95" i="82"/>
  <c r="O97" i="82" s="1"/>
  <c r="C76" i="83"/>
  <c r="D118" i="81"/>
  <c r="K37" i="80" s="1"/>
  <c r="F46" i="99"/>
  <c r="N36" i="80"/>
  <c r="K30" i="80"/>
  <c r="E15" i="80"/>
  <c r="E9" i="80" s="1"/>
  <c r="E42" i="80" s="1"/>
  <c r="E17" i="80"/>
  <c r="E11" i="80" s="1"/>
  <c r="E44" i="80" s="1"/>
  <c r="G34" i="99"/>
  <c r="G48" i="99" s="1"/>
  <c r="N46" i="80"/>
  <c r="P18" i="101"/>
  <c r="R18" i="101" s="1"/>
  <c r="R37" i="101" s="1"/>
  <c r="E120" i="81"/>
  <c r="E10" i="81"/>
  <c r="B36" i="99"/>
  <c r="B30" i="99" s="1"/>
  <c r="P12" i="101"/>
  <c r="R12" i="101" s="1"/>
  <c r="R31" i="101" s="1"/>
  <c r="P11" i="101"/>
  <c r="R11" i="101" s="1"/>
  <c r="R30" i="101" s="1"/>
  <c r="C8" i="58"/>
  <c r="C42" i="58" s="1"/>
  <c r="F125" i="81"/>
  <c r="M14" i="99"/>
  <c r="L48" i="99"/>
  <c r="B32" i="99"/>
  <c r="H109" i="98"/>
  <c r="B33" i="99"/>
  <c r="F45" i="99"/>
  <c r="L10" i="80"/>
  <c r="N10" i="80" s="1"/>
  <c r="C77" i="36"/>
  <c r="O23" i="53" s="1"/>
  <c r="D22" i="97"/>
  <c r="O24" i="53"/>
  <c r="O13" i="80"/>
  <c r="M34" i="99"/>
  <c r="P9" i="101"/>
  <c r="R9" i="101" s="1"/>
  <c r="R28" i="101" s="1"/>
  <c r="O38" i="80"/>
  <c r="J32" i="80"/>
  <c r="D106" i="81"/>
  <c r="C39" i="80" s="1"/>
  <c r="C33" i="80" s="1"/>
  <c r="C117" i="57"/>
  <c r="C115" i="57" s="1"/>
  <c r="D102" i="81"/>
  <c r="E102" i="81" s="1"/>
  <c r="F102" i="81" s="1"/>
  <c r="D115" i="81"/>
  <c r="E69" i="98"/>
  <c r="E68" i="98" s="1"/>
  <c r="E40" i="98" s="1"/>
  <c r="E39" i="98" s="1"/>
  <c r="E108" i="98" s="1"/>
  <c r="E109" i="98" s="1"/>
  <c r="D95" i="81"/>
  <c r="B35" i="80" s="1"/>
  <c r="D71" i="96"/>
  <c r="D190" i="96" s="1"/>
  <c r="U33" i="82"/>
  <c r="F72" i="96"/>
  <c r="F188" i="96" s="1"/>
  <c r="F7" i="96"/>
  <c r="F71" i="96" s="1"/>
  <c r="I95" i="82"/>
  <c r="I97" i="82" s="1"/>
  <c r="Q95" i="82"/>
  <c r="Q97" i="82" s="1"/>
  <c r="K95" i="82"/>
  <c r="K97" i="82" s="1"/>
  <c r="E71" i="96"/>
  <c r="E191" i="96" s="1"/>
  <c r="F124" i="81"/>
  <c r="E139" i="82"/>
  <c r="F95" i="82"/>
  <c r="F97" i="82" s="1"/>
  <c r="H95" i="82"/>
  <c r="H97" i="82" s="1"/>
  <c r="R95" i="82"/>
  <c r="R97" i="82" s="1"/>
  <c r="E20" i="80"/>
  <c r="E14" i="80" s="1"/>
  <c r="E47" i="80" s="1"/>
  <c r="C27" i="81"/>
  <c r="L9" i="80"/>
  <c r="L42" i="80" s="1"/>
  <c r="C10" i="57"/>
  <c r="P13" i="101"/>
  <c r="R13" i="101" s="1"/>
  <c r="R32" i="101" s="1"/>
  <c r="P8" i="101"/>
  <c r="R8" i="101" s="1"/>
  <c r="R27" i="101" s="1"/>
  <c r="P10" i="101"/>
  <c r="R10" i="101" s="1"/>
  <c r="R29" i="101" s="1"/>
  <c r="C84" i="97"/>
  <c r="J10" i="99"/>
  <c r="J44" i="99" s="1"/>
  <c r="F39" i="81"/>
  <c r="B39" i="80"/>
  <c r="B33" i="80" s="1"/>
  <c r="J95" i="82"/>
  <c r="J97" i="82" s="1"/>
  <c r="E15" i="81"/>
  <c r="C15" i="81" s="1"/>
  <c r="B41" i="99"/>
  <c r="E12" i="81"/>
  <c r="C12" i="81" s="1"/>
  <c r="B18" i="99" s="1"/>
  <c r="H18" i="80"/>
  <c r="H12" i="80" s="1"/>
  <c r="H45" i="80" s="1"/>
  <c r="C36" i="81"/>
  <c r="C28" i="81" s="1"/>
  <c r="L24" i="99"/>
  <c r="F12" i="80"/>
  <c r="F45" i="80" s="1"/>
  <c r="G95" i="82"/>
  <c r="G97" i="82" s="1"/>
  <c r="P7" i="101"/>
  <c r="R7" i="101" s="1"/>
  <c r="R26" i="101" s="1"/>
  <c r="P17" i="101"/>
  <c r="R17" i="101" s="1"/>
  <c r="R36" i="101" s="1"/>
  <c r="P6" i="101"/>
  <c r="R6" i="101" s="1"/>
  <c r="R25" i="101" s="1"/>
  <c r="P38" i="101"/>
  <c r="F14" i="80"/>
  <c r="F47" i="80" s="1"/>
  <c r="C120" i="81"/>
  <c r="O39" i="101"/>
  <c r="P15" i="101"/>
  <c r="R15" i="101" s="1"/>
  <c r="R34" i="101" s="1"/>
  <c r="R35" i="101"/>
  <c r="C11" i="81"/>
  <c r="F11" i="81" s="1"/>
  <c r="P14" i="101"/>
  <c r="R14" i="101" s="1"/>
  <c r="R33" i="101" s="1"/>
  <c r="F30" i="99"/>
  <c r="F44" i="99" s="1"/>
  <c r="D58" i="97"/>
  <c r="D56" i="97" s="1"/>
  <c r="D55" i="97" s="1"/>
  <c r="D54" i="97" s="1"/>
  <c r="J33" i="95"/>
  <c r="J29" i="95"/>
  <c r="M95" i="82"/>
  <c r="M97" i="82" s="1"/>
  <c r="H11" i="56"/>
  <c r="H14" i="56" s="1"/>
  <c r="K15" i="56" s="1"/>
  <c r="K14" i="56"/>
  <c r="D95" i="91"/>
  <c r="B12" i="92"/>
  <c r="F62" i="94"/>
  <c r="D27" i="95"/>
  <c r="P17" i="95"/>
  <c r="P27" i="95" s="1"/>
  <c r="P29" i="95" s="1"/>
  <c r="D116" i="81"/>
  <c r="F69" i="98"/>
  <c r="F68" i="98" s="1"/>
  <c r="F40" i="98" s="1"/>
  <c r="F39" i="98" s="1"/>
  <c r="F108" i="98" s="1"/>
  <c r="F109" i="98" s="1"/>
  <c r="D40" i="97"/>
  <c r="O13" i="53"/>
  <c r="C115" i="81"/>
  <c r="K15" i="80"/>
  <c r="I23" i="99"/>
  <c r="I10" i="99" s="1"/>
  <c r="I44" i="99" s="1"/>
  <c r="D7" i="92"/>
  <c r="B7" i="92" s="1"/>
  <c r="B8" i="92" s="1"/>
  <c r="C21" i="81"/>
  <c r="F21" i="81" s="1"/>
  <c r="L24" i="80"/>
  <c r="L12" i="80" s="1"/>
  <c r="L45" i="80" s="1"/>
  <c r="C70" i="81"/>
  <c r="F70" i="81" s="1"/>
  <c r="K14" i="80"/>
  <c r="N14" i="80" s="1"/>
  <c r="N26" i="80"/>
  <c r="O26" i="80" s="1"/>
  <c r="N21" i="80"/>
  <c r="O21" i="80" s="1"/>
  <c r="C37" i="81"/>
  <c r="L28" i="99"/>
  <c r="L15" i="99" s="1"/>
  <c r="L49" i="99" s="1"/>
  <c r="C97" i="81"/>
  <c r="B18" i="80" s="1"/>
  <c r="C99" i="81"/>
  <c r="D95" i="82"/>
  <c r="D97" i="82" s="1"/>
  <c r="F122" i="81"/>
  <c r="B9" i="52"/>
  <c r="B8" i="52" s="1"/>
  <c r="B15" i="52" s="1"/>
  <c r="C8" i="52"/>
  <c r="C28" i="82"/>
  <c r="U28" i="82" s="1"/>
  <c r="C113" i="57" s="1"/>
  <c r="C94" i="81" s="1"/>
  <c r="B15" i="80" s="1"/>
  <c r="U19" i="82"/>
  <c r="E101" i="81"/>
  <c r="F101" i="81" s="1"/>
  <c r="B66" i="39"/>
  <c r="C123" i="57" s="1"/>
  <c r="D94" i="81"/>
  <c r="B34" i="80" s="1"/>
  <c r="C114" i="57"/>
  <c r="K34" i="80"/>
  <c r="E117" i="81"/>
  <c r="F117" i="81" s="1"/>
  <c r="D16" i="97"/>
  <c r="C18" i="81"/>
  <c r="F18" i="81" s="1"/>
  <c r="G36" i="95"/>
  <c r="G29" i="95"/>
  <c r="K12" i="80"/>
  <c r="O20" i="101"/>
  <c r="M14" i="56"/>
  <c r="C10" i="52"/>
  <c r="F44" i="81"/>
  <c r="N24" i="53"/>
  <c r="C39" i="98"/>
  <c r="C108" i="98" s="1"/>
  <c r="C109" i="98" s="1"/>
  <c r="D109" i="81"/>
  <c r="N16" i="80"/>
  <c r="O16" i="80" s="1"/>
  <c r="L26" i="99"/>
  <c r="M26" i="99" s="1"/>
  <c r="G76" i="83"/>
  <c r="G80" i="83"/>
  <c r="J73" i="83"/>
  <c r="J76" i="83" s="1"/>
  <c r="J80" i="83" s="1"/>
  <c r="D76" i="83"/>
  <c r="D104" i="81"/>
  <c r="C96" i="82"/>
  <c r="U96" i="82" s="1"/>
  <c r="N39" i="80"/>
  <c r="K33" i="80"/>
  <c r="C13" i="81"/>
  <c r="P30" i="95"/>
  <c r="P32" i="95" s="1"/>
  <c r="D103" i="81"/>
  <c r="C36" i="80" s="1"/>
  <c r="C30" i="80" s="1"/>
  <c r="C86" i="36"/>
  <c r="C73" i="36"/>
  <c r="C143" i="81" s="1"/>
  <c r="F143" i="81" s="1"/>
  <c r="D75" i="97"/>
  <c r="D21" i="101"/>
  <c r="C55" i="36"/>
  <c r="O16" i="53" s="1"/>
  <c r="C34" i="81"/>
  <c r="C71" i="36"/>
  <c r="C43" i="58"/>
  <c r="C91" i="58" s="1"/>
  <c r="I41" i="98"/>
  <c r="T40" i="98"/>
  <c r="U40" i="98" s="1"/>
  <c r="D33" i="95"/>
  <c r="D30" i="95"/>
  <c r="D32" i="95" s="1"/>
  <c r="P34" i="95" s="1"/>
  <c r="D80" i="83"/>
  <c r="E80" i="83"/>
  <c r="C20" i="80"/>
  <c r="C14" i="80" s="1"/>
  <c r="C92" i="82"/>
  <c r="U45" i="82"/>
  <c r="L39" i="101"/>
  <c r="L40" i="101"/>
  <c r="P40" i="101" s="1"/>
  <c r="P39" i="101"/>
  <c r="G20" i="101"/>
  <c r="E106" i="81" l="1"/>
  <c r="F106" i="81" s="1"/>
  <c r="C133" i="57"/>
  <c r="O21" i="53"/>
  <c r="C92" i="58"/>
  <c r="E118" i="81"/>
  <c r="F118" i="81" s="1"/>
  <c r="C9" i="57"/>
  <c r="K31" i="80"/>
  <c r="N31" i="80" s="1"/>
  <c r="N37" i="80"/>
  <c r="N30" i="80"/>
  <c r="N44" i="80" s="1"/>
  <c r="K44" i="80"/>
  <c r="F17" i="80"/>
  <c r="F11" i="80" s="1"/>
  <c r="F44" i="80" s="1"/>
  <c r="M48" i="99"/>
  <c r="F120" i="81"/>
  <c r="G18" i="99"/>
  <c r="B12" i="99"/>
  <c r="B46" i="99" s="1"/>
  <c r="D96" i="81"/>
  <c r="B36" i="80" s="1"/>
  <c r="C35" i="80"/>
  <c r="C29" i="80" s="1"/>
  <c r="C43" i="80" s="1"/>
  <c r="C103" i="81"/>
  <c r="C17" i="80" s="1"/>
  <c r="C11" i="80" s="1"/>
  <c r="C44" i="80" s="1"/>
  <c r="C134" i="81"/>
  <c r="F134" i="81" s="1"/>
  <c r="L43" i="80"/>
  <c r="B35" i="99"/>
  <c r="M24" i="99"/>
  <c r="L11" i="99"/>
  <c r="L13" i="99"/>
  <c r="L47" i="99" s="1"/>
  <c r="J46" i="80"/>
  <c r="O32" i="80"/>
  <c r="O46" i="80" s="1"/>
  <c r="E95" i="81"/>
  <c r="D81" i="81"/>
  <c r="E81" i="81" s="1"/>
  <c r="E115" i="81"/>
  <c r="F115" i="81" s="1"/>
  <c r="L23" i="99"/>
  <c r="L10" i="99" s="1"/>
  <c r="L44" i="99" s="1"/>
  <c r="F190" i="96"/>
  <c r="G188" i="96"/>
  <c r="G71" i="96"/>
  <c r="E190" i="96"/>
  <c r="N24" i="80"/>
  <c r="O24" i="80" s="1"/>
  <c r="P20" i="101"/>
  <c r="R20" i="101" s="1"/>
  <c r="R39" i="101" s="1"/>
  <c r="B17" i="99"/>
  <c r="B11" i="99" s="1"/>
  <c r="B45" i="99" s="1"/>
  <c r="F36" i="81"/>
  <c r="C67" i="81"/>
  <c r="C47" i="80"/>
  <c r="C132" i="81"/>
  <c r="F132" i="81" s="1"/>
  <c r="C15" i="52"/>
  <c r="C109" i="81"/>
  <c r="D16" i="80" s="1"/>
  <c r="D10" i="80" s="1"/>
  <c r="E116" i="81"/>
  <c r="F116" i="81" s="1"/>
  <c r="K35" i="80"/>
  <c r="B13" i="92"/>
  <c r="C14" i="92"/>
  <c r="N15" i="80"/>
  <c r="K9" i="80"/>
  <c r="N9" i="80" s="1"/>
  <c r="E95" i="91"/>
  <c r="E102" i="91" s="1"/>
  <c r="D102" i="91"/>
  <c r="R38" i="101"/>
  <c r="D36" i="95"/>
  <c r="P36" i="95" s="1"/>
  <c r="D29" i="95"/>
  <c r="C129" i="81"/>
  <c r="F129" i="81" s="1"/>
  <c r="F15" i="80"/>
  <c r="F9" i="80" s="1"/>
  <c r="F42" i="80" s="1"/>
  <c r="C93" i="58"/>
  <c r="M28" i="99"/>
  <c r="C29" i="81"/>
  <c r="C69" i="81" s="1"/>
  <c r="F37" i="81"/>
  <c r="C122" i="57"/>
  <c r="C94" i="82"/>
  <c r="U94" i="82" s="1"/>
  <c r="C131" i="81"/>
  <c r="F131" i="81" s="1"/>
  <c r="C95" i="81"/>
  <c r="B29" i="80"/>
  <c r="J92" i="83"/>
  <c r="C67" i="36"/>
  <c r="D67" i="97" s="1"/>
  <c r="D111" i="81"/>
  <c r="C68" i="81"/>
  <c r="F12" i="81"/>
  <c r="C54" i="36"/>
  <c r="B16" i="53"/>
  <c r="D110" i="81"/>
  <c r="D36" i="80" s="1"/>
  <c r="D30" i="80" s="1"/>
  <c r="C28" i="80"/>
  <c r="E103" i="81"/>
  <c r="B9" i="80"/>
  <c r="C120" i="57"/>
  <c r="D108" i="81"/>
  <c r="D34" i="80" s="1"/>
  <c r="F99" i="81"/>
  <c r="B20" i="80"/>
  <c r="B14" i="80" s="1"/>
  <c r="B47" i="80" s="1"/>
  <c r="E94" i="81"/>
  <c r="C70" i="36"/>
  <c r="D71" i="97"/>
  <c r="E104" i="81"/>
  <c r="F104" i="81" s="1"/>
  <c r="C37" i="80"/>
  <c r="C31" i="80" s="1"/>
  <c r="C45" i="80" s="1"/>
  <c r="M26" i="53"/>
  <c r="N25" i="53"/>
  <c r="C112" i="57"/>
  <c r="D97" i="81"/>
  <c r="C26" i="81"/>
  <c r="F34" i="81"/>
  <c r="F13" i="81"/>
  <c r="B19" i="99"/>
  <c r="B13" i="99" s="1"/>
  <c r="B47" i="99" s="1"/>
  <c r="D113" i="81"/>
  <c r="N12" i="80"/>
  <c r="N45" i="80" s="1"/>
  <c r="K45" i="80"/>
  <c r="D73" i="97"/>
  <c r="D85" i="97"/>
  <c r="K47" i="80"/>
  <c r="N33" i="80"/>
  <c r="C71" i="81"/>
  <c r="F15" i="81"/>
  <c r="B21" i="99"/>
  <c r="B15" i="99" s="1"/>
  <c r="C9" i="80"/>
  <c r="D35" i="80"/>
  <c r="D29" i="80" s="1"/>
  <c r="E109" i="81"/>
  <c r="C9" i="36"/>
  <c r="O9" i="53" s="1"/>
  <c r="O18" i="53" s="1"/>
  <c r="C8" i="57"/>
  <c r="K28" i="80"/>
  <c r="N34" i="80"/>
  <c r="U92" i="82"/>
  <c r="B12" i="80"/>
  <c r="E96" i="81" l="1"/>
  <c r="D82" i="81"/>
  <c r="E82" i="81" s="1"/>
  <c r="B30" i="80"/>
  <c r="J36" i="80"/>
  <c r="M18" i="99"/>
  <c r="G12" i="99"/>
  <c r="M23" i="99"/>
  <c r="F103" i="81"/>
  <c r="B49" i="99"/>
  <c r="C96" i="81"/>
  <c r="L45" i="99"/>
  <c r="F16" i="80"/>
  <c r="F10" i="80" s="1"/>
  <c r="F43" i="80" s="1"/>
  <c r="D50" i="81"/>
  <c r="D26" i="81" s="1"/>
  <c r="J93" i="83"/>
  <c r="G17" i="99"/>
  <c r="G11" i="99" s="1"/>
  <c r="C95" i="82"/>
  <c r="U95" i="82" s="1"/>
  <c r="C66" i="36" s="1"/>
  <c r="F109" i="81"/>
  <c r="C130" i="81"/>
  <c r="F130" i="81" s="1"/>
  <c r="N35" i="80"/>
  <c r="K29" i="80"/>
  <c r="H81" i="81"/>
  <c r="D80" i="81"/>
  <c r="E80" i="81" s="1"/>
  <c r="C42" i="80"/>
  <c r="N47" i="80"/>
  <c r="D85" i="81"/>
  <c r="E85" i="81" s="1"/>
  <c r="E113" i="81"/>
  <c r="H85" i="81" s="1"/>
  <c r="D39" i="80"/>
  <c r="D37" i="80"/>
  <c r="D31" i="80" s="1"/>
  <c r="E111" i="81"/>
  <c r="J35" i="80"/>
  <c r="J34" i="80"/>
  <c r="B28" i="80"/>
  <c r="B42" i="80" s="1"/>
  <c r="G19" i="99"/>
  <c r="G13" i="99" s="1"/>
  <c r="M13" i="99" s="1"/>
  <c r="D43" i="80"/>
  <c r="N16" i="53"/>
  <c r="N18" i="53" s="1"/>
  <c r="N26" i="53" s="1"/>
  <c r="N27" i="53" s="1"/>
  <c r="B18" i="53"/>
  <c r="B26" i="53" s="1"/>
  <c r="B27" i="53" s="1"/>
  <c r="C27" i="53" s="1"/>
  <c r="D27" i="53" s="1"/>
  <c r="E27" i="53" s="1"/>
  <c r="F27" i="53" s="1"/>
  <c r="G27" i="53" s="1"/>
  <c r="H27" i="53" s="1"/>
  <c r="I27" i="53" s="1"/>
  <c r="J27" i="53" s="1"/>
  <c r="K27" i="53" s="1"/>
  <c r="L27" i="53" s="1"/>
  <c r="M27" i="53" s="1"/>
  <c r="C110" i="57"/>
  <c r="C10" i="81"/>
  <c r="B16" i="99" s="1"/>
  <c r="G16" i="99" s="1"/>
  <c r="N28" i="80"/>
  <c r="K42" i="80"/>
  <c r="C8" i="36"/>
  <c r="C63" i="36" s="1"/>
  <c r="D9" i="97"/>
  <c r="D8" i="97" s="1"/>
  <c r="D63" i="97" s="1"/>
  <c r="F94" i="81"/>
  <c r="B16" i="80"/>
  <c r="F95" i="81"/>
  <c r="G21" i="99"/>
  <c r="G15" i="99" s="1"/>
  <c r="M15" i="99" s="1"/>
  <c r="D83" i="81"/>
  <c r="E83" i="81" s="1"/>
  <c r="E97" i="81"/>
  <c r="B37" i="80"/>
  <c r="D70" i="97"/>
  <c r="E108" i="81"/>
  <c r="H80" i="81" s="1"/>
  <c r="D28" i="80"/>
  <c r="E110" i="81"/>
  <c r="H82" i="81" s="1"/>
  <c r="C119" i="57"/>
  <c r="O36" i="80" l="1"/>
  <c r="J30" i="80"/>
  <c r="O30" i="80" s="1"/>
  <c r="F96" i="81"/>
  <c r="B17" i="80"/>
  <c r="M12" i="99"/>
  <c r="D52" i="81"/>
  <c r="E52" i="81" s="1"/>
  <c r="M17" i="99"/>
  <c r="M11" i="99"/>
  <c r="E50" i="81"/>
  <c r="F72" i="81" s="1"/>
  <c r="E36" i="99"/>
  <c r="E30" i="99" s="1"/>
  <c r="E44" i="99" s="1"/>
  <c r="D51" i="81"/>
  <c r="E37" i="99" s="1"/>
  <c r="E31" i="99" s="1"/>
  <c r="E45" i="99" s="1"/>
  <c r="C97" i="82"/>
  <c r="U97" i="82" s="1"/>
  <c r="B10" i="99"/>
  <c r="B44" i="99" s="1"/>
  <c r="I94" i="81"/>
  <c r="N29" i="80"/>
  <c r="N43" i="80" s="1"/>
  <c r="K43" i="80"/>
  <c r="B31" i="80"/>
  <c r="B45" i="80" s="1"/>
  <c r="J37" i="80"/>
  <c r="H83" i="81"/>
  <c r="F97" i="81"/>
  <c r="M21" i="99"/>
  <c r="J29" i="80"/>
  <c r="O35" i="80"/>
  <c r="J28" i="80"/>
  <c r="O28" i="80" s="1"/>
  <c r="O34" i="80"/>
  <c r="D55" i="81"/>
  <c r="N42" i="80"/>
  <c r="D66" i="81"/>
  <c r="E66" i="81" s="1"/>
  <c r="G50" i="81" s="1"/>
  <c r="E26" i="81"/>
  <c r="F26" i="81" s="1"/>
  <c r="M19" i="99"/>
  <c r="G10" i="99"/>
  <c r="M16" i="99"/>
  <c r="B10" i="80"/>
  <c r="D53" i="81"/>
  <c r="F10" i="81"/>
  <c r="C66" i="81"/>
  <c r="D33" i="80"/>
  <c r="J39" i="80"/>
  <c r="C88" i="36"/>
  <c r="C65" i="36"/>
  <c r="D66" i="97"/>
  <c r="D65" i="97" s="1"/>
  <c r="D64" i="97" s="1"/>
  <c r="D83" i="97" s="1"/>
  <c r="C108" i="81"/>
  <c r="D15" i="80" s="1"/>
  <c r="C118" i="57"/>
  <c r="F50" i="81" l="1"/>
  <c r="G15" i="80" s="1"/>
  <c r="G9" i="80" s="1"/>
  <c r="G42" i="80" s="1"/>
  <c r="C110" i="81"/>
  <c r="F74" i="81"/>
  <c r="M50" i="99" s="1"/>
  <c r="G17" i="80"/>
  <c r="G11" i="80" s="1"/>
  <c r="G44" i="80" s="1"/>
  <c r="B11" i="80"/>
  <c r="D28" i="81"/>
  <c r="D68" i="81" s="1"/>
  <c r="E68" i="81" s="1"/>
  <c r="G52" i="81" s="1"/>
  <c r="E38" i="99"/>
  <c r="G38" i="99" s="1"/>
  <c r="M38" i="99" s="1"/>
  <c r="G36" i="99"/>
  <c r="G30" i="99" s="1"/>
  <c r="M30" i="99" s="1"/>
  <c r="O29" i="80"/>
  <c r="D27" i="81"/>
  <c r="E27" i="81" s="1"/>
  <c r="F27" i="81" s="1"/>
  <c r="E51" i="81"/>
  <c r="F51" i="81" s="1"/>
  <c r="G37" i="99"/>
  <c r="G31" i="99" s="1"/>
  <c r="G45" i="99" s="1"/>
  <c r="F52" i="81"/>
  <c r="C64" i="36"/>
  <c r="C84" i="36" s="1"/>
  <c r="O20" i="53"/>
  <c r="O27" i="53" s="1"/>
  <c r="O28" i="53" s="1"/>
  <c r="B43" i="80"/>
  <c r="O39" i="80"/>
  <c r="J33" i="80"/>
  <c r="O33" i="80" s="1"/>
  <c r="F86" i="81"/>
  <c r="C136" i="81"/>
  <c r="F136" i="81" s="1"/>
  <c r="M10" i="99"/>
  <c r="E53" i="81"/>
  <c r="E39" i="99"/>
  <c r="D29" i="81"/>
  <c r="D31" i="81"/>
  <c r="E41" i="99"/>
  <c r="E55" i="81"/>
  <c r="J31" i="80"/>
  <c r="O31" i="80" s="1"/>
  <c r="O37" i="80"/>
  <c r="F66" i="81"/>
  <c r="F78" i="81" s="1"/>
  <c r="D84" i="97"/>
  <c r="D86" i="97"/>
  <c r="C132" i="57"/>
  <c r="C135" i="57" s="1"/>
  <c r="C111" i="57"/>
  <c r="C131" i="57" s="1"/>
  <c r="C113" i="81"/>
  <c r="F108" i="81"/>
  <c r="C111" i="81"/>
  <c r="C89" i="36" l="1"/>
  <c r="H71" i="96"/>
  <c r="C138" i="81"/>
  <c r="F138" i="81" s="1"/>
  <c r="F88" i="81"/>
  <c r="O48" i="80" s="1"/>
  <c r="F110" i="81"/>
  <c r="D17" i="80"/>
  <c r="B44" i="80"/>
  <c r="F68" i="81"/>
  <c r="E28" i="81"/>
  <c r="F28" i="81" s="1"/>
  <c r="E32" i="99"/>
  <c r="E46" i="99" s="1"/>
  <c r="G32" i="99"/>
  <c r="E33" i="99"/>
  <c r="E47" i="99" s="1"/>
  <c r="G39" i="99"/>
  <c r="M39" i="99" s="1"/>
  <c r="M31" i="99"/>
  <c r="M45" i="99"/>
  <c r="E35" i="99"/>
  <c r="E49" i="99" s="1"/>
  <c r="G41" i="99"/>
  <c r="M41" i="99" s="1"/>
  <c r="M36" i="99"/>
  <c r="G16" i="80"/>
  <c r="G10" i="80" s="1"/>
  <c r="G43" i="80" s="1"/>
  <c r="D67" i="81"/>
  <c r="E67" i="81" s="1"/>
  <c r="G51" i="81" s="1"/>
  <c r="F73" i="81"/>
  <c r="M37" i="99"/>
  <c r="C90" i="36"/>
  <c r="C85" i="36"/>
  <c r="C87" i="36"/>
  <c r="C80" i="81"/>
  <c r="F80" i="81" s="1"/>
  <c r="F92" i="81" s="1"/>
  <c r="G80" i="81"/>
  <c r="I80" i="81"/>
  <c r="D69" i="81"/>
  <c r="E69" i="81" s="1"/>
  <c r="E29" i="81"/>
  <c r="F29" i="81" s="1"/>
  <c r="F77" i="81"/>
  <c r="G20" i="80"/>
  <c r="G14" i="80" s="1"/>
  <c r="G47" i="80" s="1"/>
  <c r="F55" i="81"/>
  <c r="G44" i="99"/>
  <c r="M44" i="99" s="1"/>
  <c r="M51" i="99" s="1"/>
  <c r="F53" i="81"/>
  <c r="F75" i="81"/>
  <c r="G18" i="80"/>
  <c r="G12" i="80" s="1"/>
  <c r="G45" i="80" s="1"/>
  <c r="E31" i="81"/>
  <c r="F31" i="81" s="1"/>
  <c r="D71" i="81"/>
  <c r="E71" i="81" s="1"/>
  <c r="F111" i="81"/>
  <c r="D18" i="80"/>
  <c r="D9" i="80"/>
  <c r="J15" i="80"/>
  <c r="O15" i="80" s="1"/>
  <c r="D20" i="80"/>
  <c r="F113" i="81"/>
  <c r="D9" i="92"/>
  <c r="D10" i="92" s="1"/>
  <c r="D14" i="92" s="1"/>
  <c r="B9" i="92"/>
  <c r="B10" i="92" s="1"/>
  <c r="H188" i="96" l="1"/>
  <c r="G82" i="81"/>
  <c r="C82" i="81"/>
  <c r="F82" i="81" s="1"/>
  <c r="M32" i="99"/>
  <c r="G46" i="99"/>
  <c r="M46" i="99" s="1"/>
  <c r="D11" i="80"/>
  <c r="J17" i="80"/>
  <c r="G35" i="99"/>
  <c r="G49" i="99" s="1"/>
  <c r="M49" i="99" s="1"/>
  <c r="G33" i="99"/>
  <c r="G47" i="99" s="1"/>
  <c r="M47" i="99" s="1"/>
  <c r="F87" i="81"/>
  <c r="J16" i="80"/>
  <c r="J10" i="80"/>
  <c r="F67" i="81"/>
  <c r="C137" i="81"/>
  <c r="G53" i="81"/>
  <c r="F69" i="81"/>
  <c r="F89" i="81"/>
  <c r="C139" i="81"/>
  <c r="G55" i="81"/>
  <c r="F71" i="81"/>
  <c r="F91" i="81"/>
  <c r="C141" i="81"/>
  <c r="D14" i="80"/>
  <c r="J20" i="80"/>
  <c r="O20" i="80" s="1"/>
  <c r="D42" i="80"/>
  <c r="J9" i="80"/>
  <c r="D12" i="80"/>
  <c r="J18" i="80"/>
  <c r="O18" i="80" s="1"/>
  <c r="M35" i="99" l="1"/>
  <c r="D44" i="80"/>
  <c r="J11" i="80"/>
  <c r="M33" i="99"/>
  <c r="J43" i="80"/>
  <c r="O10" i="80"/>
  <c r="O43" i="80" s="1"/>
  <c r="F137" i="81"/>
  <c r="G81" i="81" s="1"/>
  <c r="C81" i="81"/>
  <c r="F81" i="81" s="1"/>
  <c r="F141" i="81"/>
  <c r="G85" i="81" s="1"/>
  <c r="C85" i="81"/>
  <c r="F85" i="81" s="1"/>
  <c r="F139" i="81"/>
  <c r="G83" i="81" s="1"/>
  <c r="C83" i="81"/>
  <c r="F83" i="81" s="1"/>
  <c r="D45" i="80"/>
  <c r="J12" i="80"/>
  <c r="D47" i="80"/>
  <c r="J14" i="80"/>
  <c r="J42" i="80"/>
  <c r="O9" i="80"/>
  <c r="O42" i="80" s="1"/>
  <c r="O49" i="80" s="1"/>
  <c r="J44" i="80" l="1"/>
  <c r="O11" i="80"/>
  <c r="O44" i="80" s="1"/>
  <c r="O14" i="80"/>
  <c r="O47" i="80" s="1"/>
  <c r="J47" i="80"/>
  <c r="O12" i="80"/>
  <c r="O45" i="80" s="1"/>
  <c r="J45" i="80"/>
</calcChain>
</file>

<file path=xl/sharedStrings.xml><?xml version="1.0" encoding="utf-8"?>
<sst xmlns="http://schemas.openxmlformats.org/spreadsheetml/2006/main" count="2183" uniqueCount="1394">
  <si>
    <t>ezer Ft-ban</t>
  </si>
  <si>
    <t>II. Felújítások</t>
  </si>
  <si>
    <t xml:space="preserve">     1. Európai Uniós támogatásból megvalósuló felújítások</t>
  </si>
  <si>
    <t xml:space="preserve">    1. Többcélú kistérségi társulásnak és költségvetési szerveinek</t>
  </si>
  <si>
    <t xml:space="preserve">    1. Vállalkozásoknak</t>
  </si>
  <si>
    <t>I. Beruházások</t>
  </si>
  <si>
    <t>Működési célú bevételek összesen</t>
  </si>
  <si>
    <t>Költségvetési kiadások összesen</t>
  </si>
  <si>
    <t xml:space="preserve">I. Működési kiadások </t>
  </si>
  <si>
    <r>
      <t xml:space="preserve">      </t>
    </r>
    <r>
      <rPr>
        <sz val="10"/>
        <rFont val="Times New Roman"/>
        <family val="1"/>
        <charset val="238"/>
      </rPr>
      <t>1. Önkormányzat működési kiadásai</t>
    </r>
  </si>
  <si>
    <t>Működési célú kiadások összesen</t>
  </si>
  <si>
    <t>Felhalmozási célú bevételek összesen</t>
  </si>
  <si>
    <t>Felhalmozási célú kiadások összesen</t>
  </si>
  <si>
    <t>III.  Egyéb felhalmozási célú kiadások</t>
  </si>
  <si>
    <t>Működési célú támogatások, pénzeszközátadások</t>
  </si>
  <si>
    <t>I. Működési célú pénzeszközátadások</t>
  </si>
  <si>
    <t>II. Működési célú támogatások</t>
  </si>
  <si>
    <t xml:space="preserve">               Óvodai nevelés</t>
  </si>
  <si>
    <t xml:space="preserve">               Családsegítés, gyermekjóléti feladatok</t>
  </si>
  <si>
    <t xml:space="preserve">               Házi segítségnyújtás</t>
  </si>
  <si>
    <t xml:space="preserve">               Jelzőrendszeres házi segítésnyújtás</t>
  </si>
  <si>
    <t xml:space="preserve">               Pénzügyi Gondnokság iroda működtetés</t>
  </si>
  <si>
    <t xml:space="preserve">               Háziorvosi ügyeleti ellátás</t>
  </si>
  <si>
    <t xml:space="preserve">               Egészségügyi laboratóriumi szolgáltatás</t>
  </si>
  <si>
    <t xml:space="preserve">               Kistérségi TV működtetés</t>
  </si>
  <si>
    <t xml:space="preserve">               Kistérségi Társulás tagdíj (500 Ft/fő)</t>
  </si>
  <si>
    <t xml:space="preserve">    3. Civil szervezeteknek </t>
  </si>
  <si>
    <t xml:space="preserve">Balatonföldvár Város Önkormányzatának </t>
  </si>
  <si>
    <t xml:space="preserve">                      ezer Ft-ban</t>
  </si>
  <si>
    <t>Kiadások</t>
  </si>
  <si>
    <t xml:space="preserve">    Szociális hozzájárulási adó</t>
  </si>
  <si>
    <t>Dologi kiadások összesen</t>
  </si>
  <si>
    <t>Működési kiadások összesen</t>
  </si>
  <si>
    <t xml:space="preserve">    Cafeteria</t>
  </si>
  <si>
    <t>Személyi jellegű kiadások</t>
  </si>
  <si>
    <t>Működési célú kiadások</t>
  </si>
  <si>
    <t>Működési célú kiadások mind
összesen</t>
  </si>
  <si>
    <t>Felhalmozási célú kiadások</t>
  </si>
  <si>
    <t>Személyi juttatás</t>
  </si>
  <si>
    <t>Dologi kiadások</t>
  </si>
  <si>
    <t>Egyéb működési célú kiadások</t>
  </si>
  <si>
    <t>Beruházás</t>
  </si>
  <si>
    <t>Felújítás</t>
  </si>
  <si>
    <t>Egyéb felhalmozási célú kiadás</t>
  </si>
  <si>
    <t>Önkormányzat</t>
  </si>
  <si>
    <t>Intézmények</t>
  </si>
  <si>
    <t>Bevételek / kiadások</t>
  </si>
  <si>
    <t>Összesen</t>
  </si>
  <si>
    <t>Önkormányzat 
mindösszesen</t>
  </si>
  <si>
    <t>Önkormányzati
 hivatal</t>
  </si>
  <si>
    <t>Finanszírozási bevételek</t>
  </si>
  <si>
    <t>Intézményfinanszírozás 
önkormányzati saját bevételből</t>
  </si>
  <si>
    <t xml:space="preserve">Bevételek összesen </t>
  </si>
  <si>
    <t xml:space="preserve">Intézményfinanszírozás </t>
  </si>
  <si>
    <t xml:space="preserve">Bevételek nettósítva összesen </t>
  </si>
  <si>
    <t>Kiadások összesen</t>
  </si>
  <si>
    <t>Kiadások nettósítva összesen</t>
  </si>
  <si>
    <t>Finanszírozási kiadások</t>
  </si>
  <si>
    <t xml:space="preserve">    Egyéb dologi kiadások</t>
  </si>
  <si>
    <t>Létszám (fő)</t>
  </si>
  <si>
    <t xml:space="preserve">    Közlekedési költségtérítés</t>
  </si>
  <si>
    <t xml:space="preserve">     Reprezentáció</t>
  </si>
  <si>
    <t>Működési célú bevételek</t>
  </si>
  <si>
    <t>Bevételek mindösszesen</t>
  </si>
  <si>
    <t>1. Beruházások</t>
  </si>
  <si>
    <t>2. Felújítások</t>
  </si>
  <si>
    <t>-</t>
  </si>
  <si>
    <t>3. Egyéb felhalmozási kiadások</t>
  </si>
  <si>
    <t>Felvétel éve</t>
  </si>
  <si>
    <t>Összege</t>
  </si>
  <si>
    <t>Mindösszesen:</t>
  </si>
  <si>
    <t>Megnevezés</t>
  </si>
  <si>
    <t>Január</t>
  </si>
  <si>
    <t>Február</t>
  </si>
  <si>
    <t>Március</t>
  </si>
  <si>
    <t>Április</t>
  </si>
  <si>
    <t>Május</t>
  </si>
  <si>
    <t>Június</t>
  </si>
  <si>
    <t>Július</t>
  </si>
  <si>
    <t>Aug.</t>
  </si>
  <si>
    <t>Szept.</t>
  </si>
  <si>
    <t>Okt.</t>
  </si>
  <si>
    <t>Nov.</t>
  </si>
  <si>
    <t>Dec.</t>
  </si>
  <si>
    <t>1.Bevételek</t>
  </si>
  <si>
    <t xml:space="preserve">   Bevételek összesen</t>
  </si>
  <si>
    <t>2.Kiadások</t>
  </si>
  <si>
    <t xml:space="preserve">   Működési célú kiadások</t>
  </si>
  <si>
    <t xml:space="preserve">   Beruházás, fejlesztés</t>
  </si>
  <si>
    <t xml:space="preserve">   Kiadások összesen</t>
  </si>
  <si>
    <t>Havi egyenleg</t>
  </si>
  <si>
    <t>Göngyölített egyenleg</t>
  </si>
  <si>
    <t xml:space="preserve">        Fogorvosi alapellátás</t>
  </si>
  <si>
    <t>Balatonföldvár Város Önkormányzata</t>
  </si>
  <si>
    <t>III. Közvetett támogatások</t>
  </si>
  <si>
    <t>Ellátottak térítési díjának méltányossági alapon elengedett összege</t>
  </si>
  <si>
    <t>Lakosság részére lakásépítéshez, felújításhoz nyújtott kölcsön elengedése</t>
  </si>
  <si>
    <t>Építményadó mentesség helyi lakosok számára</t>
  </si>
  <si>
    <t>Építményadó törlés méltányosságból</t>
  </si>
  <si>
    <t>Idegenforgalmi adó kedvezmény elő- utószezonban</t>
  </si>
  <si>
    <t>Egyéb nyújtott kedvezmény vagy kölcsön elengedésének összege</t>
  </si>
  <si>
    <t>Intézmények 
összesen</t>
  </si>
  <si>
    <t>Munkaadót terhelő járulékok és szociális hozzájárulási adó</t>
  </si>
  <si>
    <t>III. Közhatalmi bevételek</t>
  </si>
  <si>
    <t>Telekadó mentesség, kedvezmény m2 alapján</t>
  </si>
  <si>
    <t>EU-s projekt, program megnevezése</t>
  </si>
  <si>
    <t>Projekt azonosító</t>
  </si>
  <si>
    <t>Igényelt támogatás összege</t>
  </si>
  <si>
    <t>Megítélt támogatás összege</t>
  </si>
  <si>
    <t>Projekthez kapcsolódó kiadások</t>
  </si>
  <si>
    <t>Projekt megvalósításhoz kapcsolódó egyéb költségek</t>
  </si>
  <si>
    <t>Projekt megvalósítás során felmerült költségek</t>
  </si>
  <si>
    <t>Elszámolható</t>
  </si>
  <si>
    <t>Nem elszámolható</t>
  </si>
  <si>
    <t>Tám.-i intenzitás
%</t>
  </si>
  <si>
    <r>
      <t>Balatonföldvár Város</t>
    </r>
    <r>
      <rPr>
        <b/>
        <i/>
        <u/>
        <sz val="12"/>
        <rFont val="Arial CE"/>
        <family val="2"/>
        <charset val="238"/>
      </rPr>
      <t xml:space="preserve">Önkormányzatának </t>
    </r>
  </si>
  <si>
    <t xml:space="preserve">    Munkáltatót terhelő szja</t>
  </si>
  <si>
    <t>064010 Közvilágítás</t>
  </si>
  <si>
    <t>Rovat</t>
  </si>
  <si>
    <t>B1-B7</t>
  </si>
  <si>
    <t>B1</t>
  </si>
  <si>
    <t>B11</t>
  </si>
  <si>
    <t>B13</t>
  </si>
  <si>
    <t>B14</t>
  </si>
  <si>
    <t>B15</t>
  </si>
  <si>
    <t>B16</t>
  </si>
  <si>
    <t xml:space="preserve">      1.3. Működési és garancia- és kezességvállalásból származó bevételek</t>
  </si>
  <si>
    <t xml:space="preserve">      1.4. Működési célú visszatérítendő támogatások, kölcsönök visszatérülése</t>
  </si>
  <si>
    <t xml:space="preserve">      1.5. Működési célú visszatérítendő támogatások, kölcsönök igénybevétele</t>
  </si>
  <si>
    <t xml:space="preserve">      1.1. Önkormányzatok működési támogatásai</t>
  </si>
  <si>
    <t xml:space="preserve">      1.6. Egyéb működési célú támogatások</t>
  </si>
  <si>
    <t>B2</t>
  </si>
  <si>
    <t>B21</t>
  </si>
  <si>
    <t>B23</t>
  </si>
  <si>
    <t>B24</t>
  </si>
  <si>
    <t>B25</t>
  </si>
  <si>
    <t xml:space="preserve">      2.3. Felhalmozási célú visszatérítendő támogatások, kölcsönök visszatérülése</t>
  </si>
  <si>
    <t xml:space="preserve">      2.4. Felhalmozási célú visszatérítendő támogatások, kölcsönök igénybevétele</t>
  </si>
  <si>
    <t xml:space="preserve">      2.5. Egyéb felhalmozási célú támogatások</t>
  </si>
  <si>
    <t xml:space="preserve">      2.1. Felhalmozási célú önkormányzati támogatások</t>
  </si>
  <si>
    <t>B3</t>
  </si>
  <si>
    <t>B31</t>
  </si>
  <si>
    <t>B32</t>
  </si>
  <si>
    <t>B33</t>
  </si>
  <si>
    <t>B34</t>
  </si>
  <si>
    <t>B35</t>
  </si>
  <si>
    <t>B36</t>
  </si>
  <si>
    <t xml:space="preserve">      3.1. Jövedelemadók</t>
  </si>
  <si>
    <t xml:space="preserve">      3.2. Szociális hozzájárulási adók és járulékok</t>
  </si>
  <si>
    <t xml:space="preserve">      3.3. Bérhez és foglalkoztatáshoz kapcsolódó adók</t>
  </si>
  <si>
    <t xml:space="preserve">      3.6. Egyéb közhatalmi bevételek</t>
  </si>
  <si>
    <t>B4</t>
  </si>
  <si>
    <t xml:space="preserve">      4.1. Készletértékesítés ellenértéke</t>
  </si>
  <si>
    <t xml:space="preserve">      4.2. Szolgáltatások ellenértéke</t>
  </si>
  <si>
    <t>B401</t>
  </si>
  <si>
    <t>B402</t>
  </si>
  <si>
    <t>B403</t>
  </si>
  <si>
    <t>B404</t>
  </si>
  <si>
    <t>B405</t>
  </si>
  <si>
    <t xml:space="preserve">      4.3. Közvetített szolgáltatások ellenértéke</t>
  </si>
  <si>
    <t xml:space="preserve">      4.4. Tulajdonosi bevételek</t>
  </si>
  <si>
    <t xml:space="preserve">      4.5. Ellátási díjak</t>
  </si>
  <si>
    <t>B406</t>
  </si>
  <si>
    <t xml:space="preserve">      4.6. Kiszámlázott ÁFA</t>
  </si>
  <si>
    <t>B407</t>
  </si>
  <si>
    <t xml:space="preserve">      4.7. ÁFA visszatérítése</t>
  </si>
  <si>
    <t>B408</t>
  </si>
  <si>
    <t xml:space="preserve">      4.8. Kamatbevételek</t>
  </si>
  <si>
    <t>B409</t>
  </si>
  <si>
    <t xml:space="preserve">      4.9. Egyéb pénzügyi műveletek bevételei</t>
  </si>
  <si>
    <t>B12-16</t>
  </si>
  <si>
    <t xml:space="preserve">      1.2. Egyéb működési célú támogatások</t>
  </si>
  <si>
    <t>B22-25</t>
  </si>
  <si>
    <t xml:space="preserve">      2.2. Egyéb felhalmozási célú támogatások</t>
  </si>
  <si>
    <t>B410</t>
  </si>
  <si>
    <t xml:space="preserve">      4.10. Egyéb működési bevételek</t>
  </si>
  <si>
    <t xml:space="preserve">      3.4. Vagyoni típusú adók (építményadó, telekadó)</t>
  </si>
  <si>
    <t xml:space="preserve">      3.5. Termékek és szolgáltatások adói (iparűzési adó, gépjárműadó)</t>
  </si>
  <si>
    <t>B5</t>
  </si>
  <si>
    <t>B51</t>
  </si>
  <si>
    <t>B52</t>
  </si>
  <si>
    <t>B53</t>
  </si>
  <si>
    <t>B54</t>
  </si>
  <si>
    <t>B55</t>
  </si>
  <si>
    <t xml:space="preserve">      5.1. Immateriális javak értékesítése</t>
  </si>
  <si>
    <t xml:space="preserve">      5.2. Ingatlanok értékesítése</t>
  </si>
  <si>
    <t xml:space="preserve">      5.3. Egyéb tárgyi eszközök értékesítése</t>
  </si>
  <si>
    <t xml:space="preserve">      5.4. Részesedések értékesítése</t>
  </si>
  <si>
    <t xml:space="preserve">      5.5. Részesedések megszűnéséhez kapcsolódó bevételek</t>
  </si>
  <si>
    <t>B6</t>
  </si>
  <si>
    <t>B7</t>
  </si>
  <si>
    <r>
      <t xml:space="preserve">B8
</t>
    </r>
    <r>
      <rPr>
        <sz val="6"/>
        <rFont val="Times New Roman"/>
        <family val="1"/>
        <charset val="238"/>
      </rPr>
      <t>(B81-B83)</t>
    </r>
  </si>
  <si>
    <t xml:space="preserve">      6.1. Működési célú garancia- és kezességvállalásból származó megtérülések</t>
  </si>
  <si>
    <t xml:space="preserve">      6.2. Működési célú visszatérítendő támogatások, kölcsönök visszatérülése</t>
  </si>
  <si>
    <t xml:space="preserve">      6.3. Egyéb működési célú átvett pénzeszközök</t>
  </si>
  <si>
    <t>B61</t>
  </si>
  <si>
    <t>B62</t>
  </si>
  <si>
    <t>B63</t>
  </si>
  <si>
    <t>B71</t>
  </si>
  <si>
    <t>B72</t>
  </si>
  <si>
    <t>B73</t>
  </si>
  <si>
    <t xml:space="preserve">      7.1. Felhalmozási célú garancia- és kezességvállalásból származó megtérülések</t>
  </si>
  <si>
    <t xml:space="preserve">      7.2. Felhalmozási célú visszatérítendő támogatások, kölcsönök visszatérülése</t>
  </si>
  <si>
    <t xml:space="preserve">      7.3. Felhalmozási célú átvett pénzeszközök</t>
  </si>
  <si>
    <t>K1-K5</t>
  </si>
  <si>
    <t>K6-K8</t>
  </si>
  <si>
    <t>K9</t>
  </si>
  <si>
    <t xml:space="preserve">      3. Működési célú tartalék</t>
  </si>
  <si>
    <t>Működési bevételek - kiadások</t>
  </si>
  <si>
    <t>Felhalmozási bevételek - kiadások</t>
  </si>
  <si>
    <t>B111</t>
  </si>
  <si>
    <t>B112</t>
  </si>
  <si>
    <t>B113</t>
  </si>
  <si>
    <t>B114</t>
  </si>
  <si>
    <t>B115</t>
  </si>
  <si>
    <t xml:space="preserve">B116 </t>
  </si>
  <si>
    <t>K1</t>
  </si>
  <si>
    <t>K2</t>
  </si>
  <si>
    <t>K3</t>
  </si>
  <si>
    <t>K4</t>
  </si>
  <si>
    <t>K5</t>
  </si>
  <si>
    <t>I. Működési célú támogatások államháztartáson belülről</t>
  </si>
  <si>
    <t>II. Felhalmozási célú támogatások államháztartáson belülről</t>
  </si>
  <si>
    <t>IV. Működési bevételek</t>
  </si>
  <si>
    <t>V. Felhalmozási bevételek</t>
  </si>
  <si>
    <t>VI. Működési célú átvett pénzeszközök</t>
  </si>
  <si>
    <t>VII. Felhalmozási célú átvett pénzeszközök</t>
  </si>
  <si>
    <t xml:space="preserve">II. Felhalmozási kiadások </t>
  </si>
  <si>
    <t>II. Közhatalmi bevételek</t>
  </si>
  <si>
    <t xml:space="preserve">     2. Termékek és szolgáltatások adói</t>
  </si>
  <si>
    <t xml:space="preserve">          2.1. Iparűzési adó</t>
  </si>
  <si>
    <t>III. Működési bevételek</t>
  </si>
  <si>
    <t xml:space="preserve">      1. Készletértékesítés ellenértéke</t>
  </si>
  <si>
    <t xml:space="preserve">      2. Szolgáltatások ellenértéke</t>
  </si>
  <si>
    <t xml:space="preserve">      3. Közvetített szolgáltatások ellenértéke</t>
  </si>
  <si>
    <t xml:space="preserve">      4. Tulajdonosi bevételek</t>
  </si>
  <si>
    <t xml:space="preserve">      5. Ellátási díjak</t>
  </si>
  <si>
    <t xml:space="preserve">      6. Kiszámlázott ÁFA</t>
  </si>
  <si>
    <t xml:space="preserve">      7. ÁFA visszatérítése</t>
  </si>
  <si>
    <t xml:space="preserve">      9. Egyéb pénzügyi műveletek bevételei</t>
  </si>
  <si>
    <t>IV. Működési célú átvett pénzeszközök</t>
  </si>
  <si>
    <t xml:space="preserve">      1. Működési célú garancia- és kezességvállalásból származó megtérülések</t>
  </si>
  <si>
    <t xml:space="preserve">      2. Működési célú visszatérítendő támogatások, kölcsönök visszatérülése</t>
  </si>
  <si>
    <t xml:space="preserve">      3. Egyéb működési célú átvett pénzeszközök</t>
  </si>
  <si>
    <t>I. Személyi juttatások</t>
  </si>
  <si>
    <t>II. Munkaadót terhelő járulékok és szociális hozzájárulási adó</t>
  </si>
  <si>
    <t>III. Dologi kiadások</t>
  </si>
  <si>
    <t xml:space="preserve">        2.1. Működési célú hitel</t>
  </si>
  <si>
    <t xml:space="preserve">        2.2. Felhalmozási célú hitel</t>
  </si>
  <si>
    <t>I. Felhalmozási célú támogatások államháztartáson belülről</t>
  </si>
  <si>
    <t>II. Felhalmozási bevételek</t>
  </si>
  <si>
    <t xml:space="preserve">      4. Részesedések értékesítése</t>
  </si>
  <si>
    <t xml:space="preserve">      5. Részesedések megszűnéséhez kapcsolódó bevételek</t>
  </si>
  <si>
    <t>K6</t>
  </si>
  <si>
    <t xml:space="preserve">    1. Költségvetési hiány belső finanszírozására szolgáló eszközök</t>
  </si>
  <si>
    <t xml:space="preserve">    2. Költségvetési hiány külső finanszírozására szolgáló eszközök</t>
  </si>
  <si>
    <t>5. melléklet</t>
  </si>
  <si>
    <t>6. melléklet</t>
  </si>
  <si>
    <t>7. melléklet</t>
  </si>
  <si>
    <t>Kiküldetések, reklám- és propagandakiadások</t>
  </si>
  <si>
    <t>Különféle befizetések és egyéb dologi kiadások</t>
  </si>
  <si>
    <t>K 31</t>
  </si>
  <si>
    <t>K 311</t>
  </si>
  <si>
    <t>K 312</t>
  </si>
  <si>
    <t>K 32</t>
  </si>
  <si>
    <t>K 321</t>
  </si>
  <si>
    <t>K 322</t>
  </si>
  <si>
    <t>K 33</t>
  </si>
  <si>
    <t>K 331</t>
  </si>
  <si>
    <t>K 333</t>
  </si>
  <si>
    <t>K 334</t>
  </si>
  <si>
    <t>K 335</t>
  </si>
  <si>
    <t>K 336</t>
  </si>
  <si>
    <t>K 337</t>
  </si>
  <si>
    <t>K 34</t>
  </si>
  <si>
    <t>K 341</t>
  </si>
  <si>
    <t>K 342</t>
  </si>
  <si>
    <t>K 35</t>
  </si>
  <si>
    <t>K 351</t>
  </si>
  <si>
    <t>K 352</t>
  </si>
  <si>
    <t>K 353</t>
  </si>
  <si>
    <t>K 354</t>
  </si>
  <si>
    <t>K 355</t>
  </si>
  <si>
    <t>Készletbeszerzés</t>
  </si>
  <si>
    <t xml:space="preserve">     Üzemeltetési anyagok</t>
  </si>
  <si>
    <t>Kommunikációs szolgáltatások</t>
  </si>
  <si>
    <t xml:space="preserve">      Informatikai szolgáltatások</t>
  </si>
  <si>
    <t>Szolgáltatási kiadások</t>
  </si>
  <si>
    <t xml:space="preserve">    Működési célú előzetesen felszámított ÁFA</t>
  </si>
  <si>
    <t xml:space="preserve">    Fizetendő ÁFA</t>
  </si>
  <si>
    <t xml:space="preserve">    Kamatkiadások</t>
  </si>
  <si>
    <t xml:space="preserve">    Egyéb pénzügyi műveletek kiadásai</t>
  </si>
  <si>
    <t xml:space="preserve">K4 </t>
  </si>
  <si>
    <t xml:space="preserve">K3 </t>
  </si>
  <si>
    <t>Személyi juttatások összesen</t>
  </si>
  <si>
    <t>K11</t>
  </si>
  <si>
    <t>Foglalkoztatottak személyi juttatásai</t>
  </si>
  <si>
    <t>K12</t>
  </si>
  <si>
    <t xml:space="preserve">     Kiküldetések </t>
  </si>
  <si>
    <t xml:space="preserve">     Egyéb szolgáltatások</t>
  </si>
  <si>
    <t xml:space="preserve">     Szakmai tevékenységet segítő szolgáltatások</t>
  </si>
  <si>
    <t xml:space="preserve">     Közvetített szolgáltatások</t>
  </si>
  <si>
    <t xml:space="preserve">     Karbantartás, kisjavítás</t>
  </si>
  <si>
    <t xml:space="preserve">     Bérleti és lízingdíjak</t>
  </si>
  <si>
    <t xml:space="preserve">     Közüzemi díjak</t>
  </si>
  <si>
    <t xml:space="preserve">        Festékpatron</t>
  </si>
  <si>
    <t xml:space="preserve">        Hajtó- és kenőanyagok</t>
  </si>
  <si>
    <t xml:space="preserve">        Tisztítószer</t>
  </si>
  <si>
    <t xml:space="preserve">        Könyvvizsgálat</t>
  </si>
  <si>
    <t xml:space="preserve">        Főépítészi szolgáltatás</t>
  </si>
  <si>
    <t xml:space="preserve">     Reklám- és propagandakiadások </t>
  </si>
  <si>
    <t xml:space="preserve">        Betegszállítás</t>
  </si>
  <si>
    <t>áfa</t>
  </si>
  <si>
    <t xml:space="preserve">        Különféle adók, díjak, adójellegű befizetések, hozzájárulások</t>
  </si>
  <si>
    <t>013350 Önk.-i vagyonnal való gazdálkodással kapcs. fel.</t>
  </si>
  <si>
    <t>(önkormányzat)</t>
  </si>
  <si>
    <t xml:space="preserve">     Vásárolt élelmezés</t>
  </si>
  <si>
    <t xml:space="preserve">        Munkaruha</t>
  </si>
  <si>
    <t xml:space="preserve">K5 </t>
  </si>
  <si>
    <t xml:space="preserve">K6 </t>
  </si>
  <si>
    <t xml:space="preserve">        Foglalkozás- egészségügyi alapellátás</t>
  </si>
  <si>
    <t>011220 Adó-, vám- és jövedéki igazgatás</t>
  </si>
  <si>
    <t xml:space="preserve">        Jogi szolgáltatás</t>
  </si>
  <si>
    <t xml:space="preserve">         Telefonközpont szolgáltatás</t>
  </si>
  <si>
    <t xml:space="preserve">         Telefonközpont eseti díj</t>
  </si>
  <si>
    <r>
      <t xml:space="preserve">     Szakmai anyagok beszerzése </t>
    </r>
    <r>
      <rPr>
        <sz val="8"/>
        <rFont val="Times New Roman"/>
        <family val="1"/>
        <charset val="238"/>
      </rPr>
      <t>(könyv, folyóirat, napilap, egyéb)</t>
    </r>
  </si>
  <si>
    <t xml:space="preserve">      1. Hazai forrásból származó bevételek</t>
  </si>
  <si>
    <t xml:space="preserve">      2. Európai Uniós forrásból származó bevételek</t>
  </si>
  <si>
    <t xml:space="preserve">               Óvodai nevelés </t>
  </si>
  <si>
    <r>
      <t>Külső személyi juttatások</t>
    </r>
    <r>
      <rPr>
        <sz val="10"/>
        <rFont val="Times New Roman"/>
        <family val="1"/>
        <charset val="238"/>
      </rPr>
      <t xml:space="preserve"> </t>
    </r>
  </si>
  <si>
    <t xml:space="preserve">        Nyomtatvány, papír, irodaszer</t>
  </si>
  <si>
    <t xml:space="preserve">    Alkalmazottak illetménye </t>
  </si>
  <si>
    <t xml:space="preserve">V. Egyéb működési célú kiadások </t>
  </si>
  <si>
    <t xml:space="preserve">    2. Működési célú tartalék</t>
  </si>
  <si>
    <t>egyenleg</t>
  </si>
  <si>
    <t xml:space="preserve">      1. Beruházások</t>
  </si>
  <si>
    <t xml:space="preserve">      2. Felújítások</t>
  </si>
  <si>
    <t xml:space="preserve">      3. Egyéb felhalmozási célú kiadások</t>
  </si>
  <si>
    <t xml:space="preserve">        Postaköltség</t>
  </si>
  <si>
    <t xml:space="preserve">A. K ö l t s é g v e t é s i   b e v é t e l e k </t>
  </si>
  <si>
    <t xml:space="preserve">B. F i n a n s z í r o z á s i   b e v é t e l e k </t>
  </si>
  <si>
    <t xml:space="preserve">A. K ö l t s é g v e t é s i   k i a d á s o k </t>
  </si>
  <si>
    <t xml:space="preserve">   1. Önkormányzati beruházások</t>
  </si>
  <si>
    <t xml:space="preserve">     2. Hazai támogatásból, saját forrásból megvalósuló felújítások</t>
  </si>
  <si>
    <t xml:space="preserve">B. F i n a n s z í r o z á s i   k i a d á s o k </t>
  </si>
  <si>
    <t xml:space="preserve">      1.2. Hazai támogatásból, saját forrásból megvalósítandó beruházások</t>
  </si>
  <si>
    <t xml:space="preserve">      1.1. Európai Uniós támogatásból megvalósuló beruházások</t>
  </si>
  <si>
    <t xml:space="preserve">         3.1. Felhalmozási célú pénzeszköz átadás</t>
  </si>
  <si>
    <r>
      <t xml:space="preserve">     </t>
    </r>
    <r>
      <rPr>
        <i/>
        <sz val="10"/>
        <rFont val="Times New Roman"/>
        <family val="1"/>
        <charset val="238"/>
      </rPr>
      <t xml:space="preserve">    3.2. Felhalmozási célú tartalék (céltartalék)</t>
    </r>
  </si>
  <si>
    <t xml:space="preserve">A. K ö l t s é g v e t é s i  b e v é t e l e k </t>
  </si>
  <si>
    <t xml:space="preserve">A. K ö l t s é g v e t é s i  k i a d á s o k </t>
  </si>
  <si>
    <t xml:space="preserve">B. F i n a n s z í r o z á s i  b e v é t e l e k </t>
  </si>
  <si>
    <t>B. F i n a n s z í r o z á s i  k i a d á s o k</t>
  </si>
  <si>
    <t>K1-8</t>
  </si>
  <si>
    <t>B1-7</t>
  </si>
  <si>
    <t>K8</t>
  </si>
  <si>
    <t>K7</t>
  </si>
  <si>
    <t>Felhalmozási kiadások
 (beruházás, felújítás, felh. pénzeszk. átadás)</t>
  </si>
  <si>
    <t>Tartalék (működés + felhalmozás)</t>
  </si>
  <si>
    <t>Adósságot keletkeztető ügyletnél figyelembe veendő bevételek (Stabilitási tv. 45.§ (1) a., 10.§ (5) bek. szerint)</t>
  </si>
  <si>
    <t>12. melléklet</t>
  </si>
  <si>
    <t xml:space="preserve">   Közhatalmi bevételek</t>
  </si>
  <si>
    <t xml:space="preserve">   Működési bevételek</t>
  </si>
  <si>
    <t xml:space="preserve">   Működési célú átvett pénzeszközök</t>
  </si>
  <si>
    <t xml:space="preserve">   Felhalmozási bevételek</t>
  </si>
  <si>
    <t>2018. évi eredeti előirányzat</t>
  </si>
  <si>
    <t>Önerő</t>
  </si>
  <si>
    <t>Projekt megvalósítás költsége mindösszesen</t>
  </si>
  <si>
    <t>Működési célú bevételek/közhatalmi bevételek</t>
  </si>
  <si>
    <t>Felhalmozási bevételek, átvett pénzeszközök</t>
  </si>
  <si>
    <t>Működési célú tartalék</t>
  </si>
  <si>
    <t>Várható/figyelembe vehető saját bevételek</t>
  </si>
  <si>
    <t>Többéves kihatással járó feladatok</t>
  </si>
  <si>
    <t>Felhalmozási célú bevételek</t>
  </si>
  <si>
    <t>Bevételek összesen</t>
  </si>
  <si>
    <t>Önkormányzati bevételek - kiadások</t>
  </si>
  <si>
    <t>Felhalmozási bevételek összesen</t>
  </si>
  <si>
    <t>Működési bevételek összesen</t>
  </si>
  <si>
    <t>Felhalmozási  kiadások összesen</t>
  </si>
  <si>
    <t xml:space="preserve">  1. Belföldi finanszírozás kiadásai</t>
  </si>
  <si>
    <t xml:space="preserve">      1.2. Felhalmozási célú hitel-, kölcsöntörlesztés</t>
  </si>
  <si>
    <t xml:space="preserve">  2. Külföldi finanszírozás kiadásai</t>
  </si>
  <si>
    <t xml:space="preserve">  3. Adóssághoz nem kapcsolódó származékos ügyletek kiadásai</t>
  </si>
  <si>
    <t>Önkormány
zati önerő
 %</t>
  </si>
  <si>
    <r>
      <t xml:space="preserve">     2. Intézményi beruházások</t>
    </r>
    <r>
      <rPr>
        <sz val="10"/>
        <rFont val="Times New Roman"/>
        <family val="1"/>
        <charset val="238"/>
      </rPr>
      <t xml:space="preserve"> </t>
    </r>
  </si>
  <si>
    <t>B411</t>
  </si>
  <si>
    <t>K914</t>
  </si>
  <si>
    <t>Felh. célú támogatások áht-n belülről</t>
  </si>
  <si>
    <t xml:space="preserve">    2. Háztartásoknak </t>
  </si>
  <si>
    <t xml:space="preserve">III. Felhalmozási célú átvett pénzeszközök </t>
  </si>
  <si>
    <t>ÁHB megelőlegezések visszafizetése</t>
  </si>
  <si>
    <t xml:space="preserve">     10. Biztosító által fizetett kártérítés</t>
  </si>
  <si>
    <t>B65</t>
  </si>
  <si>
    <t xml:space="preserve">    Egészségügyi hozzájárulás</t>
  </si>
  <si>
    <t xml:space="preserve">Balatonföldvár Város Önkormányzata </t>
  </si>
  <si>
    <t xml:space="preserve">      7.1. Felhalmozási célú visszatérítendő támogatások, kölcsönök visszatérülése ÁH-n kívülről</t>
  </si>
  <si>
    <t>nettó</t>
  </si>
  <si>
    <t xml:space="preserve">     Bajor Gizi Közösségi Ház karbantartás (hőszivattyú)</t>
  </si>
  <si>
    <t xml:space="preserve">       1.1. Önkormányzat által igényelt állami támogatás továbbadása Többcélú Társulásnak</t>
  </si>
  <si>
    <t>(Balatonföldvári Közös Önkormányzati Hivatal)</t>
  </si>
  <si>
    <t xml:space="preserve">        Fizikoterápiás szolgáltatás </t>
  </si>
  <si>
    <t xml:space="preserve">      1. Immateriális javak értékesítése </t>
  </si>
  <si>
    <t>Beruházások, felújítások, egyéb felh. kiadások</t>
  </si>
  <si>
    <t>Egyéb működési célú kiadások (támogatások, átadások)</t>
  </si>
  <si>
    <t xml:space="preserve">        ÁHB megelőlegezések visszafizetése</t>
  </si>
  <si>
    <t>Saját bevétel</t>
  </si>
  <si>
    <t xml:space="preserve">IV. Felhalmozási célú tartalék </t>
  </si>
  <si>
    <t xml:space="preserve">     Önkormányzat</t>
  </si>
  <si>
    <t xml:space="preserve">      Önkormányzat</t>
  </si>
  <si>
    <t xml:space="preserve">               Szennyvíztársulás működési hozzájárulás</t>
  </si>
  <si>
    <r>
      <t xml:space="preserve">       1.2. Pénzeszközátadás társulásban közösen ellátott feladatokra
               </t>
    </r>
    <r>
      <rPr>
        <sz val="10"/>
        <rFont val="Times New Roman"/>
        <family val="1"/>
        <charset val="238"/>
      </rPr>
      <t>(TKT felosztás külön táblán bemutatva)</t>
    </r>
  </si>
  <si>
    <t>intézményfinanszírozás</t>
  </si>
  <si>
    <t>Működési célú átvett pénzeszközök</t>
  </si>
  <si>
    <t>Működési bevételek</t>
  </si>
  <si>
    <t>közfoglalkoztatottak létszáma</t>
  </si>
  <si>
    <t>önkormányzati bevételek nettósítva</t>
  </si>
  <si>
    <t>önkormányzati kiadások nettósítva</t>
  </si>
  <si>
    <t>ezer Ft</t>
  </si>
  <si>
    <t>Mind
összesen</t>
  </si>
  <si>
    <t>Mindösszesen</t>
  </si>
  <si>
    <t xml:space="preserve">                 Működési célú maradvány</t>
  </si>
  <si>
    <t xml:space="preserve">                 Felhalmozási célú maradvány</t>
  </si>
  <si>
    <t>Működési célú maradvány</t>
  </si>
  <si>
    <t>Intézmény
finanszírozás</t>
  </si>
  <si>
    <t>Belföldi finanszírozás
kiadásai</t>
  </si>
  <si>
    <t>Felhalmozási célú
maradvány</t>
  </si>
  <si>
    <t xml:space="preserve">         1.1. Előző évi felhalmozási célú maradvány igénybevétele</t>
  </si>
  <si>
    <t>Előző évi maradvány</t>
  </si>
  <si>
    <t xml:space="preserve">   Előző évi maradvány</t>
  </si>
  <si>
    <t xml:space="preserve">   2. Költségvetési hiány külső finanszírozására szolgáló eszközök</t>
  </si>
  <si>
    <t xml:space="preserve">            Intézményfinanszírozás módosítása Művelődési ház időarányos állami támogatása miatt</t>
  </si>
  <si>
    <t xml:space="preserve">   1. Belföldi finanszírozás bevételei</t>
  </si>
  <si>
    <t xml:space="preserve">        1.1. Előző év költségvetési maradványának igénybevétele</t>
  </si>
  <si>
    <t xml:space="preserve">        Tisztítószer </t>
  </si>
  <si>
    <t xml:space="preserve">        Nyomtatvány, irodaszer </t>
  </si>
  <si>
    <t xml:space="preserve">III. A helyi önkormányzatok előző évi elszámolásából származó kiadások </t>
  </si>
  <si>
    <t>Egyéb működési célú kiadások mindösszesen (I+II+III)</t>
  </si>
  <si>
    <t>Munkaadót terhelő jár., szoc. hozzájárulási adó</t>
  </si>
  <si>
    <t>IV. Ellátottak pénzbeli juttatásai</t>
  </si>
  <si>
    <t>Ellátottak pénzbeli juttatásai</t>
  </si>
  <si>
    <t xml:space="preserve">     Közlekedési költségtérítés (munkábajárás)</t>
  </si>
  <si>
    <t xml:space="preserve">        Bankköltség</t>
  </si>
  <si>
    <t xml:space="preserve">        Földvár TV (Elek Dezső)</t>
  </si>
  <si>
    <t xml:space="preserve">   Finanszírozási kiadások</t>
  </si>
  <si>
    <t xml:space="preserve">        Informatikai kellékek (pl. festékpatron)</t>
  </si>
  <si>
    <r>
      <t xml:space="preserve">      1. Vagyoni típusú adók                 </t>
    </r>
    <r>
      <rPr>
        <sz val="8"/>
        <rFont val="Times New Roman"/>
        <family val="1"/>
        <charset val="238"/>
      </rPr>
      <t xml:space="preserve"> </t>
    </r>
  </si>
  <si>
    <t xml:space="preserve">          1.1. Építményadó                                       </t>
  </si>
  <si>
    <t xml:space="preserve">          2.2. Gépjárműadó (40%)</t>
  </si>
  <si>
    <t xml:space="preserve">      Intézmény (KÖH)</t>
  </si>
  <si>
    <t xml:space="preserve">     Intézmény (KÖH)</t>
  </si>
  <si>
    <t xml:space="preserve">      3. Egyéb tárgyi eszközök értékesítése </t>
  </si>
  <si>
    <t xml:space="preserve">               Gyermekétkeztetési feladatok támogatása</t>
  </si>
  <si>
    <t xml:space="preserve">               Család és gyermekjóléti feladatok, házi segítségnyújtás támogatása </t>
  </si>
  <si>
    <t xml:space="preserve">     Cafeteria</t>
  </si>
  <si>
    <t xml:space="preserve">           Egyéb eszközök javítása, karbantartása</t>
  </si>
  <si>
    <t xml:space="preserve">              Illemhely építése (posta melletti terület)</t>
  </si>
  <si>
    <t xml:space="preserve">      2. Önkormányzati intézmények működési kiadásai (hivatal)</t>
  </si>
  <si>
    <r>
      <t xml:space="preserve">              TV stúdió eszközbeszerzés </t>
    </r>
    <r>
      <rPr>
        <sz val="8"/>
        <rFont val="Times New Roman"/>
        <family val="1"/>
        <charset val="238"/>
      </rPr>
      <t>(2 db digitális kamera, keverőpult, 4 db stúdiómikrofon)</t>
    </r>
  </si>
  <si>
    <t xml:space="preserve">        Foglalkozás eü alapellátás</t>
  </si>
  <si>
    <t xml:space="preserve">    Költségtérítés (polgármester, alpolgármesterek)</t>
  </si>
  <si>
    <t xml:space="preserve">    Képviselői, alpolgármesteri, bizottsági tagi tiszteletdíjak</t>
  </si>
  <si>
    <t xml:space="preserve">               Pénzügyi Gondnokság konyha működtetés, karbantartás (intézményi étkeztetés)</t>
  </si>
  <si>
    <t xml:space="preserve">                     Kilátó</t>
  </si>
  <si>
    <t xml:space="preserve">                                Működési támogatás</t>
  </si>
  <si>
    <t xml:space="preserve">                                 Állami támogatás továbbadása</t>
  </si>
  <si>
    <t xml:space="preserve">                                 Működési támogatás</t>
  </si>
  <si>
    <t>Működési és felhalmozási célú tartalék</t>
  </si>
  <si>
    <t>13. melléklet</t>
  </si>
  <si>
    <t>Feladat
finanszírozás
(intézményi)</t>
  </si>
  <si>
    <t>Egyéb átvett pénzeszköz</t>
  </si>
  <si>
    <t>Finanszírozási bevétel 
(intézményi)</t>
  </si>
  <si>
    <t xml:space="preserve">    Felh. célú támogatások áh-n belülről</t>
  </si>
  <si>
    <t xml:space="preserve">   Felhalmozási célú átvett pénzeszközök</t>
  </si>
  <si>
    <t xml:space="preserve">    Működési célú támogatások áht-n belülről</t>
  </si>
  <si>
    <t>Felhalmozási célú hitel</t>
  </si>
  <si>
    <t xml:space="preserve">Beruházásokhoz, felújításokhoz kapcsolódó, </t>
  </si>
  <si>
    <t>Hitel felvétel</t>
  </si>
  <si>
    <t>ezerFt</t>
  </si>
  <si>
    <t xml:space="preserve">    Készenléti, ügyeleti, helyettesítési díj, túlóra</t>
  </si>
  <si>
    <t xml:space="preserve">Ellátottak pénzbeli juttatásai </t>
  </si>
  <si>
    <t xml:space="preserve">Balatonföldvár "Zöld város program" </t>
  </si>
  <si>
    <t xml:space="preserve">TOP-2.1.2-15-SO1-2016-00002  </t>
  </si>
  <si>
    <t>100</t>
  </si>
  <si>
    <t>B75</t>
  </si>
  <si>
    <r>
      <t xml:space="preserve">             Előadó és Alkotóművészetért Alapítvány</t>
    </r>
    <r>
      <rPr>
        <sz val="8"/>
        <rFont val="Times New Roman"/>
        <family val="1"/>
        <charset val="238"/>
      </rPr>
      <t xml:space="preserve"> (állami támogatás továbbadása közszolg. szerz. szerint)</t>
    </r>
  </si>
  <si>
    <t xml:space="preserve">               DBRHÖT működési hozzájárulás</t>
  </si>
  <si>
    <t>Beszámoló előtti ei.mód.</t>
  </si>
  <si>
    <t xml:space="preserve">        1.2. ÁHB megelőlegezések bevétele</t>
  </si>
  <si>
    <t>14. melléklet</t>
  </si>
  <si>
    <t>Maradványkimutatás</t>
  </si>
  <si>
    <t>Közös Hivatal</t>
  </si>
  <si>
    <t>01</t>
  </si>
  <si>
    <t>01        Alaptevékenység költségvetési bevételei</t>
  </si>
  <si>
    <t>02</t>
  </si>
  <si>
    <t>02        Alaptevékenység költségvetési kiadásai</t>
  </si>
  <si>
    <t>03</t>
  </si>
  <si>
    <t>I          Alaptevékenység költségvetési egyenlege (=01-02)</t>
  </si>
  <si>
    <t>04</t>
  </si>
  <si>
    <t>03        Alaptevékenység finanszírozási bevételei</t>
  </si>
  <si>
    <t>05</t>
  </si>
  <si>
    <t>04        Alaptevékenység finanszírozási kiadásai</t>
  </si>
  <si>
    <t>06</t>
  </si>
  <si>
    <t>II         Alaptevékenység finanszírozási egyenlege (=03-04)</t>
  </si>
  <si>
    <t>07</t>
  </si>
  <si>
    <t>A)        Alaptevékenység maradványa (=±I±II)</t>
  </si>
  <si>
    <t>C)        Összes maradvány (=A+B)</t>
  </si>
  <si>
    <t>09</t>
  </si>
  <si>
    <t>D)        Alaptevékenység kötelezettségvállalással terhelt maradványa</t>
  </si>
  <si>
    <t>E)        Alaptevékenység szabad maradványa (=A-D)</t>
  </si>
  <si>
    <t>15. melléklet</t>
  </si>
  <si>
    <t>Előző időszak</t>
  </si>
  <si>
    <t>Módosítások (+/-)</t>
  </si>
  <si>
    <t>Tárgyi időszak</t>
  </si>
  <si>
    <t>A/I/1 Vagyoni értékű jogok</t>
  </si>
  <si>
    <t>A/I/2 Szellemi termékek</t>
  </si>
  <si>
    <t>A/I Immateriális javak (=A/I/1+A/I/2+A/I/3)</t>
  </si>
  <si>
    <t>A/II/1 Ingatlanok és a kapcsolódó vagyoni értékű jogok</t>
  </si>
  <si>
    <t>A/II/2 Gépek, berendezések, felszerelések, járművek</t>
  </si>
  <si>
    <t>08</t>
  </si>
  <si>
    <t>A/II/4 Beruházások, felújítások</t>
  </si>
  <si>
    <t>A/II Tárgyi eszközök  (=A/II/1+...+A/II/5)</t>
  </si>
  <si>
    <t>11</t>
  </si>
  <si>
    <t>A/III/1 Tartós részesedések (=A/III/1a+…+A/III/1e)</t>
  </si>
  <si>
    <t>13</t>
  </si>
  <si>
    <t>A/III/1b - ebből: tartós részesedések nem pénzügyi vállalkozásban</t>
  </si>
  <si>
    <t>16</t>
  </si>
  <si>
    <t>A/III/1e - ebből: egyéb tartós részesedések</t>
  </si>
  <si>
    <t>A/III/2 Tartós hitelviszonyt megtestesítő értékpapírok</t>
  </si>
  <si>
    <t>A/III Befektetett pénzügyi eszközök (=A/III/1+A/III/2+A/III/3)</t>
  </si>
  <si>
    <t>A) NEMZETI VAGYONBA TARTOZÓ BEFEKTETETT ESZKÖZÖK (=A/I+A/II+A/III+A/IV)</t>
  </si>
  <si>
    <t>B/I/1 Vásárolt készletek</t>
  </si>
  <si>
    <t>B) NEMZETI VAGYONBA TARTOZÓ FORGÓESZKÖZÖK (= B/I+B/II)</t>
  </si>
  <si>
    <t>C/I/1 Éven túli lejáratú forint lekötött bankbetétek</t>
  </si>
  <si>
    <t>C/I Lekötött bankbetétek (=C/I/1+…+C/I/2)</t>
  </si>
  <si>
    <t>C/II/1 Forintpénztár</t>
  </si>
  <si>
    <t>C/II Pénztárak, csekkek, betétkönyvek (=C/II/1+C/II/2+C/II/3)</t>
  </si>
  <si>
    <t>C/III Forintszámlák (=C/III/1+C/III/2)</t>
  </si>
  <si>
    <t>C) PÉNZESZKÖZÖK (=C/I+…+C/IV)</t>
  </si>
  <si>
    <t>D/I/3 Költségvetési évben esedékes követelések közhatalmi bevételre (=D/I/3a+…+D/I/3f)</t>
  </si>
  <si>
    <t>D/I/3d - ebből: költségvetési évben esedékes követelések vagyoni típusú adókra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</si>
  <si>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</si>
  <si>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</si>
  <si>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69</t>
  </si>
  <si>
    <t>D/I/4 Költségvetési évben esedékes követelések működési bevételre (=D/I/4a+…+D/I/4i)</t>
  </si>
  <si>
    <t>D/I/4d - ebből: költségvetési évben esedékes követelések kiszámlázott általános forgalmi adóra</t>
  </si>
  <si>
    <t>D/I/4i - ebből: költségvetési évben esedékes követelések egyéb működési bevételekre</t>
  </si>
  <si>
    <t>D/I/5 Költségvetési évben esedékes követelések felhalmozási bevételre (=D/I/5a+…+D/I/5e)</t>
  </si>
  <si>
    <t>D/I/5b - ebből: költségvetési évben esedékes követelések ingatlanok értékesítésére</t>
  </si>
  <si>
    <t>D/I Költségvetési évben esedékes követelések (=D/I/1+…+D/I/8)</t>
  </si>
  <si>
    <t>D/II/5 Költségvetési évet követően esedékes követelések felhalmozási bevételre (=D/II/5a+…+D/II/5e)</t>
  </si>
  <si>
    <t>D/II/5b - ebből: költségvetési évet követően esedékes követelések ingatlanok értékesítésére</t>
  </si>
  <si>
    <t>D/II Költségvetési évet követően esedékes követelések (=D/II/1+…+D/II/8)</t>
  </si>
  <si>
    <t>D/III/1 Adott előlegek (=D/III/1a+…+D/III/1f)</t>
  </si>
  <si>
    <t xml:space="preserve">D/III/1e - ebből: foglalkoztatottaknak adott előlegek </t>
  </si>
  <si>
    <t>D/III/4 Forgótőke elszámolása</t>
  </si>
  <si>
    <t>D/III Követelés jellegű sajátos elszámolások (=D/III/1+…+D/III/9)</t>
  </si>
  <si>
    <t>D) KÖVETELÉSEK  (=D/I+D/II+D/III)</t>
  </si>
  <si>
    <t>E/I/2 Más előzetesen felszámított levonható általános forgalmi adó</t>
  </si>
  <si>
    <t>E/I Előzetesen felszámított általános forgalmi adó elszámolása (=E/I/1+…+E/I/4)</t>
  </si>
  <si>
    <t>E/II/2 Más fizetendő általános forgalmi adó</t>
  </si>
  <si>
    <t>E/II Fizetendő általános forgalmi adó elszámolása (=E/II/1+E/II/2)</t>
  </si>
  <si>
    <t>E/III/1 December havi illetmények, munkabérek elszámolása</t>
  </si>
  <si>
    <t>E/III/2 Utalványok, bérletek és más hasonló, készpénz-helyettesítő fizetési eszköznek nem minősülő eszközök elszámolásai</t>
  </si>
  <si>
    <t>E/III Egyéb sajátos eszközoldali elszámolások (=E/III/1+E/III/2)</t>
  </si>
  <si>
    <t>F/1  Eredményszemléletű bevételek aktív időbeli elhatárolása</t>
  </si>
  <si>
    <t>F/2  Költségek, ráfordítások aktív időbeli elhatárolása</t>
  </si>
  <si>
    <t>F) AKTÍV IDŐBELI  ELHATÁROLÁSOK  (=F/1+F/2+F/3)</t>
  </si>
  <si>
    <t>ESZKÖZÖK ÖSSZESEN (=A+B+C+D+E+F)</t>
  </si>
  <si>
    <t>G/III/3 Pénzeszközön kívüli egyéb eszközök induláskori értéke és változásai</t>
  </si>
  <si>
    <t>G/IV Felhalmozott eredmény</t>
  </si>
  <si>
    <t>G/VI Mérleg szerinti eredmény</t>
  </si>
  <si>
    <t>G/ SAJÁT TŐKE  (= G/I+…+G/VI)</t>
  </si>
  <si>
    <t>H/I/9 Költségvetési évben esedékes kötelezettségek finanszírozási kiadásokra (&gt;=H/I/9a+…+H/I/9l)</t>
  </si>
  <si>
    <t>H/I Költségvetési évben esedékes kötelezettségek (=H/I/1+…+H/I/9)</t>
  </si>
  <si>
    <t>H/II/9 Költségvetési évet követően esedékes kötelezettségek finanszírozási kiadásokra (&gt;=H/II/9a+…+H/II/9i)</t>
  </si>
  <si>
    <t>H/II Költségvetési évet követően esedékes kötelezettségek (=H/II/1+…+H/II/9)</t>
  </si>
  <si>
    <t>H/III/1c - ebből: egyéb túlfizetések, téves és visszajáró befizetések, egyéb kapott előlegek</t>
  </si>
  <si>
    <t>H/III Kötelezettség jellegű sajátos elszámolások (=H/III/1+…+H/III/10)</t>
  </si>
  <si>
    <t>H) KÖTELEZETTSÉGEK (=H/I+H/II+H/III)</t>
  </si>
  <si>
    <t>J/2 Költségek, ráfordítások passzív időbeli elhatárolása</t>
  </si>
  <si>
    <t>J/3 Halasztott eredményszemléletű bevételek</t>
  </si>
  <si>
    <t>J) PASSZÍV IDŐBELI ELHATÁROLÁSOK (=J/1+J/2+J/3)</t>
  </si>
  <si>
    <t>FORRÁSOK ÖSSZESEN (=G+H+I+J)</t>
  </si>
  <si>
    <t>16. melléklet</t>
  </si>
  <si>
    <t>01 Közhatalmi eredményszemléletű bevételek</t>
  </si>
  <si>
    <t>02 Eszközök és szolgáltatások értékesítése nettó eredményszemléletű bevételei</t>
  </si>
  <si>
    <t>03 Tevékenység egyéb nettó eredményszemléletű bevételei</t>
  </si>
  <si>
    <t>I Tevékenység nettó eredményszemléletű bevétele (=01+02+03)</t>
  </si>
  <si>
    <t>06 Központi működési célú támogatások eredményszemléletű bevételei</t>
  </si>
  <si>
    <t>07 Egyéb működési célú támogatások eredményszemléletű bevételei</t>
  </si>
  <si>
    <t>08 Felhalmozási célú támogatások eredményszemléletű bevételei</t>
  </si>
  <si>
    <t>09 Különféle egyéb eredményszemléletű bevételek</t>
  </si>
  <si>
    <t>III Egyéb eredményszemléletű bevételek (=06+07+08+09)</t>
  </si>
  <si>
    <t>10 Anyagköltség</t>
  </si>
  <si>
    <t>11 Igénybe vett szolgáltatások értéke</t>
  </si>
  <si>
    <t>13 Eladott (közvetített) szolgáltatások értéke</t>
  </si>
  <si>
    <t>IV Anyagjellegű ráfordítások (=10+11+12+13)</t>
  </si>
  <si>
    <t>14 Bérköltség</t>
  </si>
  <si>
    <t>15 Személyi jellegű egyéb kifizetések</t>
  </si>
  <si>
    <t>16 Bérjárulékok</t>
  </si>
  <si>
    <t>V Személyi jellegű ráfordítások (=14+15+16)</t>
  </si>
  <si>
    <t>VI Értékcsökkenési leírás</t>
  </si>
  <si>
    <t>VII Egyéb ráfordítások</t>
  </si>
  <si>
    <t>A)  TEVÉKENYSÉGEK EREDMÉNYE (=I±II+III-IV-V-VI-VII)</t>
  </si>
  <si>
    <t>17 Kapott (járó) osztalék és részesedés</t>
  </si>
  <si>
    <t>20 Egyéb kapott (járó) kamatok és kamatjellegű eredményszemléletű bevételek</t>
  </si>
  <si>
    <t>21 Pénzügyi műveletek egyéb eredményszemléletű bevételei</t>
  </si>
  <si>
    <t>VIII Pénzügyi műveletek eredményszemléletű bevételei (=17+18+19+20+21)</t>
  </si>
  <si>
    <t>24 Fizetendő kamatok és kamatjellegű ráfordítások</t>
  </si>
  <si>
    <t xml:space="preserve">26 Pénzügyi műveletek egyéb ráfordításai </t>
  </si>
  <si>
    <t>IX Pénzügyi műveletek ráfordításai (=22+23+24+25+26)</t>
  </si>
  <si>
    <t>B)  PÉNZÜGYI MŰVELETEK EREDMÉNYE (=VIII-IX)</t>
  </si>
  <si>
    <t>C)  MÉRLEG SZERINTI EREDMÉNY (=±A±B)</t>
  </si>
  <si>
    <t>17. melléklet</t>
  </si>
  <si>
    <r>
      <t xml:space="preserve"> </t>
    </r>
    <r>
      <rPr>
        <b/>
        <sz val="10"/>
        <rFont val="Times New Roman"/>
        <family val="1"/>
        <charset val="238"/>
      </rPr>
      <t xml:space="preserve"> ESZKÖZÖK                                                                                     </t>
    </r>
    <r>
      <rPr>
        <i/>
        <sz val="10"/>
        <rFont val="Times New Roman"/>
        <family val="1"/>
        <charset val="238"/>
      </rPr>
      <t xml:space="preserve"> </t>
    </r>
  </si>
  <si>
    <t>Nettó érték</t>
  </si>
  <si>
    <t>Bruttó érték</t>
  </si>
  <si>
    <t>A</t>
  </si>
  <si>
    <t>NEMZETI VAGYONBA TARTOZÓ BEFEKTETETT ESZKÖZÖK (I + II +III + IV)</t>
  </si>
  <si>
    <t>I.</t>
  </si>
  <si>
    <t>Immateriális javak (a + b)</t>
  </si>
  <si>
    <t xml:space="preserve"> Ebből: </t>
  </si>
  <si>
    <t xml:space="preserve">     a) Törzsvagyon (aa + ab)</t>
  </si>
  <si>
    <t xml:space="preserve">         Ebből: </t>
  </si>
  <si>
    <t xml:space="preserve">          aa) Forgalom képtelen</t>
  </si>
  <si>
    <t xml:space="preserve">                aaa) Kizárólagosan önkormányzati tulajdonú vagyon</t>
  </si>
  <si>
    <t xml:space="preserve">                aab)Nemzetgazdasági szempontból kiemelt jelentőségű vagyon</t>
  </si>
  <si>
    <t xml:space="preserve">          ab) Korlátozottan forgalomképes</t>
  </si>
  <si>
    <t xml:space="preserve">     b) Üzleti vagyon                   </t>
  </si>
  <si>
    <t>II.</t>
  </si>
  <si>
    <t>Tárgyi eszközök (1 + 2 + 3 + 4 + 5 )</t>
  </si>
  <si>
    <t>1. Ingatlanok és a kapcsolódó vagyoni értékű jogok</t>
  </si>
  <si>
    <t xml:space="preserve">     Ebből: </t>
  </si>
  <si>
    <t xml:space="preserve">          Ebből: </t>
  </si>
  <si>
    <t xml:space="preserve">               aaa) Kizárólagosan önkormányzati tulajdonú vagyon</t>
  </si>
  <si>
    <t xml:space="preserve">               aab)Nemzetgazdasági szempontból kiemelt jelentőségű vagyon</t>
  </si>
  <si>
    <t xml:space="preserve">     b) Üzleti vagyon </t>
  </si>
  <si>
    <t>2. Gépek, berendezések és felszerelések, járművek (a + b)</t>
  </si>
  <si>
    <t xml:space="preserve">     Ebből:</t>
  </si>
  <si>
    <t>3. Tenyészállatok (a + b)</t>
  </si>
  <si>
    <t>4. Beruházások, felújítások</t>
  </si>
  <si>
    <t xml:space="preserve">      b) Üzleti vagyon </t>
  </si>
  <si>
    <r>
      <t xml:space="preserve">5. Tárgyi eszközök értékhelyesbítése                                    </t>
    </r>
    <r>
      <rPr>
        <b/>
        <i/>
        <sz val="10"/>
        <rFont val="Times New Roman"/>
        <family val="1"/>
        <charset val="238"/>
      </rPr>
      <t xml:space="preserve"> </t>
    </r>
  </si>
  <si>
    <t>III.</t>
  </si>
  <si>
    <t>Befektetett pénzügyi eszközök (1 + 2 + 3 + 4 + 5 + 6)</t>
  </si>
  <si>
    <t>1. Tartós részesedés (a + b)</t>
  </si>
  <si>
    <t>2. Tartós hitelviszonyt megtestesítő értékpapír (a + b)</t>
  </si>
  <si>
    <t xml:space="preserve">          Ebből:</t>
  </si>
  <si>
    <r>
      <t xml:space="preserve">3. Befektetett pénzügyi eszközök értékhelyesbítése              </t>
    </r>
    <r>
      <rPr>
        <i/>
        <sz val="10"/>
        <rFont val="Times New Roman"/>
        <family val="1"/>
        <charset val="238"/>
      </rPr>
      <t xml:space="preserve"> </t>
    </r>
  </si>
  <si>
    <t>IV.</t>
  </si>
  <si>
    <t>Koncesszióba, vagyonkezelésbe adott eszközök</t>
  </si>
  <si>
    <t>B</t>
  </si>
  <si>
    <t>NEMZETI VAGYONBA TARTOZÓ FORGÓESZKÖZÖK (I + II)</t>
  </si>
  <si>
    <t>Készletek</t>
  </si>
  <si>
    <t>Értékpapírok</t>
  </si>
  <si>
    <t>C</t>
  </si>
  <si>
    <t>PÉNZESZKÖZÖK</t>
  </si>
  <si>
    <t>D</t>
  </si>
  <si>
    <t xml:space="preserve">KÖVETELÉSEK </t>
  </si>
  <si>
    <t>Költségvetési évben esedékes követelések</t>
  </si>
  <si>
    <t>Kötlségvetési évet követően esedékes követelések</t>
  </si>
  <si>
    <t>Követelés jellegű sajátos elszámolások</t>
  </si>
  <si>
    <t>E</t>
  </si>
  <si>
    <t>EGYÉB SAJÁTOS  ELSZÁMOLÁSOK</t>
  </si>
  <si>
    <t>F</t>
  </si>
  <si>
    <t>AKTÍV IDŐBELI ELHATÁROLÁSOK</t>
  </si>
  <si>
    <t>ESZKÖZÖK ÖSSZESEN:</t>
  </si>
  <si>
    <t>II. Az önkormányzat könyviteli mérlegében nem szereplő eszközök</t>
  </si>
  <si>
    <t>1.</t>
  </si>
  <si>
    <t xml:space="preserve">"0"-ra leírt eszközök </t>
  </si>
  <si>
    <t>2.</t>
  </si>
  <si>
    <t>Használatban lévő kis értékű immateriális javak</t>
  </si>
  <si>
    <t>3.</t>
  </si>
  <si>
    <t xml:space="preserve">                                                    tárgyi eszközök</t>
  </si>
  <si>
    <t>4.</t>
  </si>
  <si>
    <t xml:space="preserve">                                                    készletek</t>
  </si>
  <si>
    <t>5.</t>
  </si>
  <si>
    <t>01-02. számlacsoportban nyilvántartott eszközök</t>
  </si>
  <si>
    <t>Összesen:</t>
  </si>
  <si>
    <t>III. Az önkormányzat tulajdonában lévő</t>
  </si>
  <si>
    <t>külön jogszabály alapján</t>
  </si>
  <si>
    <t>érték nélkül nyilvántartott eszközök állománya</t>
  </si>
  <si>
    <t>egység</t>
  </si>
  <si>
    <t>mennyiség</t>
  </si>
  <si>
    <t>Képzőművészeti alkotások</t>
  </si>
  <si>
    <t>Gyűjtemények</t>
  </si>
  <si>
    <t>Kulturális javak (kéziratok, levelek, stb.)</t>
  </si>
  <si>
    <t>Régészeti leletek</t>
  </si>
  <si>
    <t xml:space="preserve">   Bevételek </t>
  </si>
  <si>
    <t>Bevételek mindösszesen (költségvetési + finanszírozási)</t>
  </si>
  <si>
    <t>Kiadások mindösszesen (költségvetési + finanszírozási)</t>
  </si>
  <si>
    <t>Bevétel-kiadás egyenlege</t>
  </si>
  <si>
    <t xml:space="preserve">Idegen pénzeszközök </t>
  </si>
  <si>
    <t>Pénzeszközök változása</t>
  </si>
  <si>
    <t>1. Önkormányzat tulajdonában álló gazdálkodó szervezetek 
működéséből származó kötelezettségek</t>
  </si>
  <si>
    <t xml:space="preserve">   Balatonföldvári Kulturális Szolgáltató és Fenntartó Közhasznú Nonprofit Kft.</t>
  </si>
  <si>
    <t>2. Önkormányzat tulajdonában álló gazdálkodó szervezetekben való részesedése</t>
  </si>
  <si>
    <t>2017. évi maradványkimutatása</t>
  </si>
  <si>
    <t>2017. évi konszolidált mérlege</t>
  </si>
  <si>
    <t>2017. évi konszolidált eredménykimutatása</t>
  </si>
  <si>
    <t>2017. évi vagyonkimutatása</t>
  </si>
  <si>
    <t>2017. év</t>
  </si>
  <si>
    <t>Balatonföldvár Város Önkormányzat 
2017. évi bevétel-kiadási előirányzat-felhasználási ütemterv teljesítése,
pénzeszközök változásának bemutatása</t>
  </si>
  <si>
    <t>Záró pénzkészlet 2017.12.31.</t>
  </si>
  <si>
    <t>Nyitó pénzkészlet 2017.01.01.</t>
  </si>
  <si>
    <t>Balatonföldvár Város Önkormányzat 
 tulajdonában álló gazdálkodó szervezetek működéséből származó 2017. évi kötelezettségek, részesedések alakulása</t>
  </si>
  <si>
    <t>3. Önkormányzat más gazdálkodó szervezetekben való részesedése</t>
  </si>
  <si>
    <t xml:space="preserve">    Önkormányzati részesedés %-a</t>
  </si>
  <si>
    <t>ezerFt-ban</t>
  </si>
  <si>
    <t>C/III-IV Forintszámlák és Devizaszámlák (=C6III/1+C/III/2+C/IV/1+C/IV/2)</t>
  </si>
  <si>
    <t>D/I/4a - ebből: költségvetési évben esedékes követelések készletértékesítés ellenértékére, szolgáltatások ellenértékére, közvetített szolgáltatások ellenértékére</t>
  </si>
  <si>
    <t>D/I/6 Költségvetési évben esedékes követelések működési célú átvett pénzeszközre (&gt;=D/I/6a+D/I/6b+D/I/6c)</t>
  </si>
  <si>
    <t xml:space="preserve">D/I/7c - ebből: költségvetési évben esedékes követelések felhalmozási célú visszatérítendő támogatások, kölcsönök visszatérülésére </t>
  </si>
  <si>
    <t>E) EGYÉB SAJÁTOS ELSZÁMOLÁSOK (=E/I+…+E/II)</t>
  </si>
  <si>
    <t>G/I-III  Nemzeti vagyon és egyéb eszközök induláskori értéke és változásai</t>
  </si>
  <si>
    <t>H/I/3 Költségvetési évben esedékes kötelezettségek dologi kiadásokra</t>
  </si>
  <si>
    <t>H/I/4 Költségvetési évben esedékes kötelezettségek ellátottak pénzbeli juttatásaora</t>
  </si>
  <si>
    <t>199</t>
  </si>
  <si>
    <t>B/II Értékpapírok (=B/II/1+B/II/2)</t>
  </si>
  <si>
    <t>DRV Zrt.</t>
  </si>
  <si>
    <t>Teljesítés 2018.12.31.</t>
  </si>
  <si>
    <t xml:space="preserve">    Egyéb személyi juttatás (bérkomp., betegszabi, táppénz)</t>
  </si>
  <si>
    <t xml:space="preserve">        Fapótlások</t>
  </si>
  <si>
    <t xml:space="preserve">   Felhalmozási célú pénzeszközátadás</t>
  </si>
  <si>
    <t>EU-s pályázati projektek részletezése</t>
  </si>
  <si>
    <t>Kulipinytó villa turisztikai hasznosítása - TOP-1.2.1-15-SO1-2016-00008   -  Támogatási összeg : 120 000 000.- Ft</t>
  </si>
  <si>
    <t>Balatonföldváron a nyugati strand turisztikai infrastruktúrájának fejlesztése - TOP-1.2.1-15-SO1-2016-00009 Támogatási összeg : 150 000 000.- Ft</t>
  </si>
  <si>
    <t>Balatonföldvár "Zöld város program" megvalósítása  TOP-2.1.2-15-SO1-2016-00002  Támogatási összeg : 680 000 000.- Ft</t>
  </si>
  <si>
    <t>Balatonföldvári önkormányzati hivatal épületének energetikai korszerűsítése - TOP-3.2.1-15-SO1-2016-00012 Támogatási összeg : 234 794 998.- Ft</t>
  </si>
  <si>
    <t>Projekt megnevezése / 
költség</t>
  </si>
  <si>
    <t>Zöld város</t>
  </si>
  <si>
    <t>Kulipintyó villa</t>
  </si>
  <si>
    <t>Nyugati strand</t>
  </si>
  <si>
    <t>Hivatal ép.korsz.</t>
  </si>
  <si>
    <t>Nettó</t>
  </si>
  <si>
    <t>ÁFA</t>
  </si>
  <si>
    <t>Bruttó</t>
  </si>
  <si>
    <t>Építési költségek</t>
  </si>
  <si>
    <t>Építési költségek összesen</t>
  </si>
  <si>
    <t>Eszközbeszerzés</t>
  </si>
  <si>
    <t>Műszaki tervek</t>
  </si>
  <si>
    <t>Hatósági díjak</t>
  </si>
  <si>
    <t>Kiviteli tervek</t>
  </si>
  <si>
    <t>Közbeszerzés ktg.</t>
  </si>
  <si>
    <t>Műszaki ellenőrzés</t>
  </si>
  <si>
    <t>Nyilvánosság</t>
  </si>
  <si>
    <t>ITS és Akcióterületi Terv</t>
  </si>
  <si>
    <t>Könyvvizsgálat</t>
  </si>
  <si>
    <t>Képzéshez kapcsolódó ktg. (tananyag fejlesztése)</t>
  </si>
  <si>
    <t>Marketing, egyéb kommunikáció</t>
  </si>
  <si>
    <t>Személyi jellegű kiadások (projektmenedzsment ktg.)</t>
  </si>
  <si>
    <t>Összesen (tám.szerz.szerint,
 önkormányzat</t>
  </si>
  <si>
    <t>Kapott előleg</t>
  </si>
  <si>
    <t>Még várható támogatás</t>
  </si>
  <si>
    <t>már kifizetett tételek 
(2016, 2017), dologiból</t>
  </si>
  <si>
    <t xml:space="preserve">Dologi 2018. évi 
költségvetésbe </t>
  </si>
  <si>
    <t xml:space="preserve">        Szúnyogirtás</t>
  </si>
  <si>
    <t xml:space="preserve">Beruházások </t>
  </si>
  <si>
    <t xml:space="preserve">                     Közösségi ház + Kulipintyó</t>
  </si>
  <si>
    <t xml:space="preserve">                                Állami támogatás továbbadása (kulturális feladatok)</t>
  </si>
  <si>
    <t xml:space="preserve">          "Zöld város program megvalósítása" (TOP-2.1.2-15-2016-00002)</t>
  </si>
  <si>
    <t xml:space="preserve">          "Hivatal épületének energetikai korszerűsítése" (TOP-3.2.1-15-SO-2016-00012)</t>
  </si>
  <si>
    <t xml:space="preserve">              Gépbeszerzés pályázat</t>
  </si>
  <si>
    <t xml:space="preserve">              Kelta túra táblák készítése (8 db)</t>
  </si>
  <si>
    <t xml:space="preserve">              Zsolnay pirogránit kerámia stáció felirat (14 db)</t>
  </si>
  <si>
    <t xml:space="preserve">      1.3.  Meglévő részesedések növeléséhez kapcsolódó kiadások (BAHART)</t>
  </si>
  <si>
    <t xml:space="preserve">      1. Felhalmozási célú pénzeszközátadás Nonprofit Kft. részére</t>
  </si>
  <si>
    <t xml:space="preserve">          1.2. Kommunális adó                                      </t>
  </si>
  <si>
    <t xml:space="preserve">          1.3. Telekadó                                                   </t>
  </si>
  <si>
    <t>előleg</t>
  </si>
  <si>
    <t>kulipintyó</t>
  </si>
  <si>
    <t>Városháza</t>
  </si>
  <si>
    <t>Előirányzatok változása 
Bevételek/kiadások változása</t>
  </si>
  <si>
    <t>KÖH</t>
  </si>
  <si>
    <t>B8</t>
  </si>
  <si>
    <t>I. Költségvetési bevételek belső finanszírozására szolgáló eszközök</t>
  </si>
  <si>
    <t xml:space="preserve">    Előző évi pénzmaradvány igénybevétele</t>
  </si>
  <si>
    <t xml:space="preserve">          Működési célú pénzmaradvány</t>
  </si>
  <si>
    <t xml:space="preserve">          Felhalmozási célú pénzmaradvány</t>
  </si>
  <si>
    <t xml:space="preserve">   ÁHB megelőlegezések bevétele</t>
  </si>
  <si>
    <t>II. Költségvetési bevételek külső finanszírozására szolgáló eszközök</t>
  </si>
  <si>
    <t>Költségvetési bevételek mindösszesen</t>
  </si>
  <si>
    <t>K1-K8</t>
  </si>
  <si>
    <t>K1101</t>
  </si>
  <si>
    <t>K1113</t>
  </si>
  <si>
    <t>K122</t>
  </si>
  <si>
    <t>K331</t>
  </si>
  <si>
    <t>K336</t>
  </si>
  <si>
    <t>K337</t>
  </si>
  <si>
    <t>K351</t>
  </si>
  <si>
    <t xml:space="preserve">     Működési ÁFA</t>
  </si>
  <si>
    <t>K355</t>
  </si>
  <si>
    <t>K506</t>
  </si>
  <si>
    <t>K512</t>
  </si>
  <si>
    <t>K513</t>
  </si>
  <si>
    <t xml:space="preserve">    Céltartalék</t>
  </si>
  <si>
    <t xml:space="preserve">     Felhalmozási célú céltartalék </t>
  </si>
  <si>
    <t>Költségvetési kiadások mindösszesen</t>
  </si>
  <si>
    <t>K71</t>
  </si>
  <si>
    <t xml:space="preserve">              Útkarbantartáshoz szükséges eszközpark fejlesztése VP6-7.2.1-7.4.1.2-16</t>
  </si>
  <si>
    <t>K123</t>
  </si>
  <si>
    <t xml:space="preserve">           Kvassay sétány fejlesztésének támogatása (BFT)</t>
  </si>
  <si>
    <t xml:space="preserve">              Kamerák (Kápolna park) (115/2018.(V.31.))</t>
  </si>
  <si>
    <t xml:space="preserve">              Hematológiai automata beszerzés (145/2018.(VII.31.))</t>
  </si>
  <si>
    <t xml:space="preserve">         " Kulipintyó villa turisztikai hasznosítása" eszközbeszerzés  (TOP-1.2.1-15-15-SO1-2016-00008)</t>
  </si>
  <si>
    <t xml:space="preserve">         " Nyugati strand turisztikai infrastruktúrájának fejl.": kerítés, pad, hull.gyűjtő, játszóeszk., inf.tábla</t>
  </si>
  <si>
    <t xml:space="preserve">      " Kulipintyó villa turisztikai hasznosítása" kivitelezés + eszköz  (átcsop. K6-ra)</t>
  </si>
  <si>
    <t xml:space="preserve">      " Nyugati strand turisztikai infrastruktúrájának fejl." kivitelezés (átcsop. K6-ra)</t>
  </si>
  <si>
    <t xml:space="preserve">              Mobiltelefon beszerzés</t>
  </si>
  <si>
    <t xml:space="preserve">              Műszerállvány, szék (védőnő)</t>
  </si>
  <si>
    <t xml:space="preserve">       Nyilvános illemhely útszakasz burkolása</t>
  </si>
  <si>
    <t>K1107</t>
  </si>
  <si>
    <t xml:space="preserve">     Megbízási díj </t>
  </si>
  <si>
    <t>13/2. melléklet a 4/2018.(II.28.) önkormányzati rendelethez</t>
  </si>
  <si>
    <t>B351</t>
  </si>
  <si>
    <t>K352</t>
  </si>
  <si>
    <t xml:space="preserve">     Fizetendő ÁFA</t>
  </si>
  <si>
    <t xml:space="preserve">              Irodabútor vásárlás</t>
  </si>
  <si>
    <t xml:space="preserve">              Kamerák (Kulipintyó épülete) </t>
  </si>
  <si>
    <t xml:space="preserve">              Matrac beszerzés (2 db)</t>
  </si>
  <si>
    <t>K1109</t>
  </si>
  <si>
    <t>K1106</t>
  </si>
  <si>
    <t>2019. évi felhalmozási bevételei, kiadásai</t>
  </si>
  <si>
    <t>3. melléklet a /2019.(....) önkormányzati rendelethez</t>
  </si>
  <si>
    <t xml:space="preserve">      2. Ingatlanok értékesítése</t>
  </si>
  <si>
    <t xml:space="preserve">         2.2. Felhalmozási célú hitel parkolók kialakításához</t>
  </si>
  <si>
    <t xml:space="preserve">             Közös Önkormányzati Hivatal (szoftverek, telefonközpont, egyéb tárgyi eszk. beszerzés)</t>
  </si>
  <si>
    <t xml:space="preserve">            Ebből céltartalék:</t>
  </si>
  <si>
    <t xml:space="preserve">                     Közterületek, utak, zöldfelület fenntartása (GAMESZ) </t>
  </si>
  <si>
    <t>lakás</t>
  </si>
  <si>
    <t>(Pub-Lik előtti terület +)</t>
  </si>
  <si>
    <t xml:space="preserve">        Műszaki jellegű szolgáltatások</t>
  </si>
  <si>
    <t xml:space="preserve">        Gyermek- és felnőtt eü szolgáltatás</t>
  </si>
  <si>
    <t xml:space="preserve">            Felhalmozási célra elkülönített tartalék </t>
  </si>
  <si>
    <t xml:space="preserve">              Hivatal épületében kábelhálózat (internet) korszerűsítése</t>
  </si>
  <si>
    <t xml:space="preserve">        Egyéb szakmai tevékenységet segítő szolgáltatás</t>
  </si>
  <si>
    <t xml:space="preserve">               EFOP projekt</t>
  </si>
  <si>
    <t>bruttó</t>
  </si>
  <si>
    <t xml:space="preserve">               Hivatal energetikai felújítása</t>
  </si>
  <si>
    <r>
      <t xml:space="preserve">        Beruházásokhoz kapcsolódó előkészítési 
        és egyéb járulékos költségek, dologi kiadások* </t>
    </r>
    <r>
      <rPr>
        <b/>
        <sz val="8"/>
        <rFont val="Times New Roman"/>
        <family val="1"/>
        <charset val="238"/>
      </rPr>
      <t xml:space="preserve">alább </t>
    </r>
  </si>
  <si>
    <t xml:space="preserve">             TDM Egyesület</t>
  </si>
  <si>
    <t xml:space="preserve">               Működési célú maradvány</t>
  </si>
  <si>
    <t xml:space="preserve">         " Hivatal épületének energetikai korszerűsítése" többletköltsége önerőből (nettó)</t>
  </si>
  <si>
    <t xml:space="preserve">        Felhalmozási célú átvett pénzeszközök (Nonprofit Kft. hiteltörlesztés)</t>
  </si>
  <si>
    <t xml:space="preserve">         " Hivatal épületének energetikai korszerűsítése" (TOP-3.2.1-15-SO-2016-00012) (nettó)</t>
  </si>
  <si>
    <t xml:space="preserve">              Dísz- és térvilágítás kivitelezése</t>
  </si>
  <si>
    <t xml:space="preserve">              Játszótér építés</t>
  </si>
  <si>
    <t xml:space="preserve">              Új buszvárók telepítése (2 db, központban)</t>
  </si>
  <si>
    <t xml:space="preserve">              Temető kerítés</t>
  </si>
  <si>
    <t xml:space="preserve">              Óvoda tetőszerkezet felújítása</t>
  </si>
  <si>
    <t xml:space="preserve">              Iskola padlóburkolat felújítása</t>
  </si>
  <si>
    <t xml:space="preserve">              Út- és járdafelújítások</t>
  </si>
  <si>
    <t xml:space="preserve">              Kvassay sétány partvédőmű rekonstrukciója (II. ütem) (nettó)</t>
  </si>
  <si>
    <t xml:space="preserve">                  Zöld Város projekt</t>
  </si>
  <si>
    <t xml:space="preserve">                  Hivatal energetikai felújítása</t>
  </si>
  <si>
    <t xml:space="preserve">              Széchényi Imre mellszobor</t>
  </si>
  <si>
    <t xml:space="preserve">         2.1. Felhalmozási célú hitel  2019. évi út- és járdafejlesztéshez</t>
  </si>
  <si>
    <t xml:space="preserve">         Hitel törlesztés (OTP 100+100 M Ft-os fejlesztési hitel)</t>
  </si>
  <si>
    <t xml:space="preserve">         " Hivatal épületének energetikai korszerűsítése" többletköltsége önerőből (tető pótmunka, nettó)</t>
  </si>
  <si>
    <t xml:space="preserve">              Új buszvárók telepítése (2 db, Kőröshegy u.)</t>
  </si>
  <si>
    <t xml:space="preserve">              Csapadékvízelvezető árok burkolása (Panoráma körút)</t>
  </si>
  <si>
    <t xml:space="preserve">          "Balatonföldvár zöld város program megval.-a" (TOP-2.1.2-15-2016-00002) építés (nettó)</t>
  </si>
  <si>
    <t xml:space="preserve">          "Balatonföldvár zöld város program megval.-a" (TOP-2.1.2-15-2016-00002) többletktg önerő (nettő)</t>
  </si>
  <si>
    <t>br. 60 m</t>
  </si>
  <si>
    <t>EU-s 
össz.</t>
  </si>
  <si>
    <t>Saját
 forrásból</t>
  </si>
  <si>
    <t>EU-s
önerő</t>
  </si>
  <si>
    <t>EU-s 
támogatott</t>
  </si>
  <si>
    <t>Fejlesztések 2019-ben</t>
  </si>
  <si>
    <t>2022. évi eredeti előirányzat</t>
  </si>
  <si>
    <t xml:space="preserve">   Számítástechnikai szoftverek,  egyéb tárgyi e. beszerzése </t>
  </si>
  <si>
    <t xml:space="preserve"> Állami támogatás</t>
  </si>
  <si>
    <t>Futamidő (fizetési kötelezettség, tőke + kamat)</t>
  </si>
  <si>
    <t>Önkormány
zati önerő összege
beadott pályázat szerint</t>
  </si>
  <si>
    <t xml:space="preserve">      1.3.  Meglévő részesedések növeléséhez kapcsolódó kiadások</t>
  </si>
  <si>
    <t>I. Működési célú támogatások államháztartáson belülről (A+B+C+D)</t>
  </si>
  <si>
    <t xml:space="preserve">             Közös Önkormányzati Hivatal (szoftverek, számítástech. és egyéb tárgyi eszk. beszerzés)</t>
  </si>
  <si>
    <t>Átvett pénzeszköz (TKT)</t>
  </si>
  <si>
    <t>Átvett pénzeszköz (közös hivatali önkormányzatok)</t>
  </si>
  <si>
    <t xml:space="preserve">    Kamatkiadások (hitelkamat)</t>
  </si>
  <si>
    <r>
      <t xml:space="preserve">      Egyéb kommunikációs szolgáltatások</t>
    </r>
    <r>
      <rPr>
        <sz val="8"/>
        <rFont val="Times New Roman"/>
        <family val="1"/>
        <charset val="238"/>
      </rPr>
      <t xml:space="preserve"> (telefon)</t>
    </r>
  </si>
  <si>
    <t xml:space="preserve">    Fizetendő ÁFA ** alább részletezve</t>
  </si>
  <si>
    <t>Zöld város program építés (fordított áfa)</t>
  </si>
  <si>
    <t>bevétel-kiadás egyenlege előző évi maradvány, 
tartalék és működésben jelentkező beruh. ktg-ek nélkül</t>
  </si>
  <si>
    <t xml:space="preserve">        Különféle adók, díjak, adójellegű befiz., hj.-ok, egyéb dologi</t>
  </si>
  <si>
    <t>Egyéb</t>
  </si>
  <si>
    <t>működési többlet (pénzmaradvány, tartalék nélkül)</t>
  </si>
  <si>
    <t xml:space="preserve">             Összpróba Alapítvány</t>
  </si>
  <si>
    <t xml:space="preserve">             Nyári rendezvények finanszírozása</t>
  </si>
  <si>
    <t>2023. évi eredeti előirányzat</t>
  </si>
  <si>
    <t xml:space="preserve">         Hitel törlesztés (tőke rész, kamat a működésben)</t>
  </si>
  <si>
    <t xml:space="preserve">Bölcsődei férőhelyek kialakítása, fejlesztése </t>
  </si>
  <si>
    <t>Adósságot keletkeztető ügylet
(kiadás)
Stabilitási tv. 8.§ (2) bek.</t>
  </si>
  <si>
    <t>Tőke</t>
  </si>
  <si>
    <t>Kamat</t>
  </si>
  <si>
    <t>Fejlesztési célú hitel (közterületi parkolók kialakítása)</t>
  </si>
  <si>
    <t>Fejlesztési célú hitel (útfelújítás)</t>
  </si>
  <si>
    <t>K1103</t>
  </si>
  <si>
    <t xml:space="preserve">     Jutalom</t>
  </si>
  <si>
    <t>B354</t>
  </si>
  <si>
    <t>B355</t>
  </si>
  <si>
    <t xml:space="preserve">     Szociális étkeztetés csomagolás</t>
  </si>
  <si>
    <t xml:space="preserve">      Önerős felújítások elmaradása</t>
  </si>
  <si>
    <t xml:space="preserve"> </t>
  </si>
  <si>
    <t>1. melléklet</t>
  </si>
  <si>
    <t>2. melléklet</t>
  </si>
  <si>
    <t>3. melléklet</t>
  </si>
  <si>
    <t>4. melléklet</t>
  </si>
  <si>
    <t>011130 Önk. és önk.-i hivatalok jogalkotói és ált. igazgatási tevékenysége</t>
  </si>
  <si>
    <t>9. melléklet</t>
  </si>
  <si>
    <t>10. melléklet</t>
  </si>
  <si>
    <r>
      <rPr>
        <b/>
        <i/>
        <sz val="12"/>
        <rFont val="Arial CE"/>
        <charset val="238"/>
      </rPr>
      <t xml:space="preserve"> </t>
    </r>
    <r>
      <rPr>
        <b/>
        <i/>
        <u/>
        <sz val="12"/>
        <rFont val="Arial CE"/>
        <charset val="238"/>
      </rPr>
      <t xml:space="preserve">Balatonföldvár Város Önkormányzatának </t>
    </r>
  </si>
  <si>
    <t>K312</t>
  </si>
  <si>
    <t xml:space="preserve">     Járulékok </t>
  </si>
  <si>
    <t xml:space="preserve">     Hivatal működésének támogatása (kiegészítő támogatás)</t>
  </si>
  <si>
    <t xml:space="preserve">     Béren kívüli juttatás (kiegészítő támogatásból)</t>
  </si>
  <si>
    <t xml:space="preserve">     Települési önk.-ok egyes köznevelési feladatainak tám.-a (óvoda) (kiegészítő támogatás)</t>
  </si>
  <si>
    <t xml:space="preserve">     Család és gyermekjóléti szolgálat (kiegészítő támogatás)</t>
  </si>
  <si>
    <t xml:space="preserve">     2019. évi normatíva elszámolásból adódó többlettámogatás továbbadása</t>
  </si>
  <si>
    <t xml:space="preserve">     Gépjárműadó központi elvonás </t>
  </si>
  <si>
    <t xml:space="preserve">     Iparűzési adó</t>
  </si>
  <si>
    <t>K341</t>
  </si>
  <si>
    <t xml:space="preserve">     Kiküldetések: EFOP (átcsoportosítás K1101-re)</t>
  </si>
  <si>
    <t xml:space="preserve">     2. Egyéb működési célú pénzeszközátadás </t>
  </si>
  <si>
    <t xml:space="preserve">     Települési önk.-ok egyes köznevelési feladatainak tám.-a (óvoda) (októberi felmérés)</t>
  </si>
  <si>
    <t>intézmény finanszírozás növelése</t>
  </si>
  <si>
    <t xml:space="preserve">     Pénzeszközátadás társulásban közösen ellátott feladatokra (labor, ügyelet, TV ktgnövekedés)</t>
  </si>
  <si>
    <t xml:space="preserve">     Fizetendő ÁFA Zöld város projekt</t>
  </si>
  <si>
    <t>Teljesítés 2021.12.31.</t>
  </si>
  <si>
    <t>Önkormányzat (módosított előirányzat 2021. .havi)</t>
  </si>
  <si>
    <t xml:space="preserve">       Kötelező (módosított előirányzat 2021. .havi)</t>
  </si>
  <si>
    <t xml:space="preserve">       Nem kötelező (módosított előirányzat 2021. . havi)</t>
  </si>
  <si>
    <t>KÖH (módosított előirányzat 2021. .havi)</t>
  </si>
  <si>
    <t>Önk.mindösszesen (módosított ei. 2021. .havi)</t>
  </si>
  <si>
    <t>Önk.mindösszesen (Teljesítés 2021.12.31.)</t>
  </si>
  <si>
    <t xml:space="preserve">       Teljesítés 2021.12.31.</t>
  </si>
  <si>
    <t>Önkormányzat: Teljesítés 2021.12.31.</t>
  </si>
  <si>
    <t>KÖH: Teljesítés 2021.12.31.</t>
  </si>
  <si>
    <t>Módosított előirányzat 2021.12.31</t>
  </si>
  <si>
    <t xml:space="preserve">    1. A helyi önkormányzatok általános működésének és ágazati feladatainak támogatása</t>
  </si>
  <si>
    <t xml:space="preserve">        1.1. A települési önkormányzatok működésének általános támogatása</t>
  </si>
  <si>
    <t xml:space="preserve">           1.1.1. A települési önkormányzatok működésének támogatása</t>
  </si>
  <si>
    <t xml:space="preserve">              1.1.1.1. Önkormányzati hivatal működésének támogatása</t>
  </si>
  <si>
    <t xml:space="preserve">              1.1.1.3. Településüzemeltetés - közvilágítás támogatása </t>
  </si>
  <si>
    <t xml:space="preserve">              1.1.1.6. Egyéb önkormányzati feladatok támogatása </t>
  </si>
  <si>
    <t xml:space="preserve">              1.1.1.7. Lakott külterülettel kapcsolatos feladatok támogatása</t>
  </si>
  <si>
    <t xml:space="preserve">           1.1.2. Nem közművel összegyűjtött háztartási szennyvíz ártalmatlanítása</t>
  </si>
  <si>
    <t xml:space="preserve">           1.1.3. Határátkelőhelyek fenntartásának támogatása</t>
  </si>
  <si>
    <r>
      <t xml:space="preserve">       1.2. A települési önkormányzatok egyes köznevelési feladatainak támogatása</t>
    </r>
    <r>
      <rPr>
        <sz val="8"/>
        <rFont val="Times New Roman"/>
        <family val="1"/>
        <charset val="238"/>
      </rPr>
      <t xml:space="preserve"> (TKT)</t>
    </r>
  </si>
  <si>
    <t xml:space="preserve">       1.3. A települési önkormányzatok egyes szociális és gyermekjóléti feladatainak támogatása</t>
  </si>
  <si>
    <t xml:space="preserve">          1.3.1. A települési önkormányzatok szociális és gyermekjóléti feladatainak egyéb támogatása</t>
  </si>
  <si>
    <t xml:space="preserve">          1.3.2. Egyes szociális és gyermekjóléti feladatok támogatása</t>
  </si>
  <si>
    <r>
      <t xml:space="preserve">             1.3.2.1. Család- és gyermekjóléti szolgálatt </t>
    </r>
    <r>
      <rPr>
        <sz val="8"/>
        <rFont val="Times New Roman"/>
        <family val="1"/>
        <charset val="238"/>
      </rPr>
      <t>(TKT)</t>
    </r>
  </si>
  <si>
    <t xml:space="preserve">             1.3.2.3. Szociális étkeztetés </t>
  </si>
  <si>
    <t xml:space="preserve">             1.3.2.4. Házi segítségnyújtás </t>
  </si>
  <si>
    <r>
      <t xml:space="preserve">                1.3.2.4.3. Személyi gondozás - társulás által történő feladatellátás </t>
    </r>
    <r>
      <rPr>
        <sz val="8"/>
        <rFont val="Times New Roman"/>
        <family val="1"/>
        <charset val="238"/>
      </rPr>
      <t>(TKT)</t>
    </r>
  </si>
  <si>
    <t xml:space="preserve">             1.3.2.5. Falugondnoki vagy tanyagondnoki szolgáltatás</t>
  </si>
  <si>
    <t xml:space="preserve">       1.4. A települési önkormányzatok gyermekétkeztetési feladatainak támogatása</t>
  </si>
  <si>
    <t xml:space="preserve">          1.4.1. Intézményi gyermekétkeztetés támogatása</t>
  </si>
  <si>
    <t xml:space="preserve">             1.4.1.1. Intézményi gyermekétkeztetés - bértámogatás (TKT)</t>
  </si>
  <si>
    <t xml:space="preserve">             1.4.1.2. Intézményi gyermekétkeztetés - üzemeltetési támogatás (TKT)</t>
  </si>
  <si>
    <t xml:space="preserve">          1.4.2. Szünidei étkeztetés támogatása </t>
  </si>
  <si>
    <t xml:space="preserve">       1.5. A települési önkormányzatok kulturális feladatainak támogatása</t>
  </si>
  <si>
    <t xml:space="preserve">       2. Működési célú költségvetési támogatások és kiegészítő támogatások</t>
  </si>
  <si>
    <t xml:space="preserve">       2.1. A helyi önkormányzatok kiegészítő támogatásai</t>
  </si>
  <si>
    <t xml:space="preserve">          2.1.1. Lakossági víz- és csatornaszolgáltatás támogatása</t>
  </si>
  <si>
    <t xml:space="preserve">          2.1.4. A nem közművel összegyűjtött háztartási szennyvíz ideiglenes begyűjtésére kijelölt közérdekű közszolgáltató meg nem térülő költségeinek támogatása</t>
  </si>
  <si>
    <t xml:space="preserve">          2.1.5. Önkormányzatok rendkívüli támogatása        </t>
  </si>
  <si>
    <t xml:space="preserve">          2.2.1. A települési önkormányzatok szociális célú tüzelőanyag vásárlásához kapcsolódó támogatása</t>
  </si>
  <si>
    <t xml:space="preserve">          2.2.3. Óvodai és iskolai szociális segítő tevékenység támogatása</t>
  </si>
  <si>
    <t xml:space="preserve">      Egyéb működési célú támogatások államháztartáson belülről </t>
  </si>
  <si>
    <t xml:space="preserve">          2.2.2. Szociális ágazati összevont pótlék és egészségügyi kiegészítő pótlék (TKT)</t>
  </si>
  <si>
    <t xml:space="preserve">       2.2. A települési önkormányzatok egyes szociális és gyermekjóléti feladatainak működési célú támogatása</t>
  </si>
  <si>
    <t xml:space="preserve">       2.3. A települési önkormányzatok kulturális feladatainak működési célú támogatása</t>
  </si>
  <si>
    <t xml:space="preserve">              Nonprofit Kft. működési támogatás (állami)</t>
  </si>
  <si>
    <t xml:space="preserve">              Nonprofit Kft. működési támogatás (saját)</t>
  </si>
  <si>
    <t xml:space="preserve">                1.3.2.3.1. Szociális étkeztetés - önálló feladatellátás</t>
  </si>
  <si>
    <t xml:space="preserve">              1.1.1.2. Településüzemeltetés - zöldterület-gazdálkodás támogatása (Nonprofit Kft.)</t>
  </si>
  <si>
    <t xml:space="preserve">              1.1.1.4. Településüzemeltetés - köztemető támogatása (Nonprofit Kft.)</t>
  </si>
  <si>
    <t xml:space="preserve">              1.1.1.5. Településüzemeltetés - közutak támogatása (Nonprofit Kft.)</t>
  </si>
  <si>
    <t>Állami támogatás</t>
  </si>
  <si>
    <t xml:space="preserve">          Pénzeszközátvétel Többcélú Társulástól (Hivatal) </t>
  </si>
  <si>
    <r>
      <t xml:space="preserve">          1.5.2. Települési önk.-ok nyilvános könyvtári és a közművelődési feladatainak tám.-a </t>
    </r>
    <r>
      <rPr>
        <sz val="8"/>
        <rFont val="Times New Roman"/>
        <family val="1"/>
        <charset val="238"/>
      </rPr>
      <t>(Nonprofit Kft.)</t>
    </r>
  </si>
  <si>
    <t xml:space="preserve">        Szociális célú tűzifa besz. </t>
  </si>
  <si>
    <t>074031 Család és nővédelmi egészségügyi gondozás</t>
  </si>
  <si>
    <t>zö</t>
  </si>
  <si>
    <t>előleg kifiz.</t>
  </si>
  <si>
    <t>visszalévő</t>
  </si>
  <si>
    <t>váll. díj</t>
  </si>
  <si>
    <t xml:space="preserve">fordított áfa </t>
  </si>
  <si>
    <t>opcióval, ráemeléssel</t>
  </si>
  <si>
    <t>ráemelés</t>
  </si>
  <si>
    <t>Fizetendő áfa **</t>
  </si>
  <si>
    <t>működésben jelentkező költségek tételesen *</t>
  </si>
  <si>
    <t>korrekció (beruházásokhoz kapcsolódó működésben jelentkező kapcsolódó kiadások)</t>
  </si>
  <si>
    <t>korrekció (beruházások fordított áfa fizetési kötelezettsége)</t>
  </si>
  <si>
    <t xml:space="preserve">           Ebből felhalmozási célú céltartalék</t>
  </si>
  <si>
    <t xml:space="preserve">           2020. évi áthúzódó bérkompenzáció</t>
  </si>
  <si>
    <t xml:space="preserve">          2.2. Idegenforgalmi adó</t>
  </si>
  <si>
    <t xml:space="preserve">        Főszerkesztői feladatok ellátása</t>
  </si>
  <si>
    <t>működési egyenleg</t>
  </si>
  <si>
    <t xml:space="preserve">Egyéb elvonások, befizetések </t>
  </si>
  <si>
    <t>Költségfelosztás 2021. Összesítő (2021.02.03.)</t>
  </si>
  <si>
    <t>Települések</t>
  </si>
  <si>
    <t>Lakosságszám 
(fő)</t>
  </si>
  <si>
    <t xml:space="preserve">TKT </t>
  </si>
  <si>
    <t>2020. évi hozzájárulás (módosított)</t>
  </si>
  <si>
    <t>2020. évi
 hátralék</t>
  </si>
  <si>
    <t>Társulási díj   
500Ft/fő/év</t>
  </si>
  <si>
    <t>TKT működési h.jár</t>
  </si>
  <si>
    <t xml:space="preserve">Ügyelet  </t>
  </si>
  <si>
    <t xml:space="preserve">Labor  </t>
  </si>
  <si>
    <t>TKT
összesen</t>
  </si>
  <si>
    <t xml:space="preserve">BTKT TV </t>
  </si>
  <si>
    <t>JHS</t>
  </si>
  <si>
    <t xml:space="preserve">Családseg.,Gyerm.jólét </t>
  </si>
  <si>
    <t xml:space="preserve">Óvodák (Bf. Bálv.) </t>
  </si>
  <si>
    <t xml:space="preserve">PÜG iroda, étkeztetés </t>
  </si>
  <si>
    <t xml:space="preserve">Intézmények
összesen                         </t>
  </si>
  <si>
    <t>különb
ség</t>
  </si>
  <si>
    <t>B.földvár</t>
  </si>
  <si>
    <t>B.őszöd</t>
  </si>
  <si>
    <t>B.szárszó</t>
  </si>
  <si>
    <t>B.szemes</t>
  </si>
  <si>
    <t>Bálványos</t>
  </si>
  <si>
    <t>Kereki</t>
  </si>
  <si>
    <t>Kőröshegy</t>
  </si>
  <si>
    <t>Kötcse</t>
  </si>
  <si>
    <t>N.csepely</t>
  </si>
  <si>
    <t>P.szemes</t>
  </si>
  <si>
    <t>Szántód</t>
  </si>
  <si>
    <t>Szólád</t>
  </si>
  <si>
    <t>Teleki</t>
  </si>
  <si>
    <t>Balatonendréd</t>
  </si>
  <si>
    <t>Házi segítség
nyújtás 
2021</t>
  </si>
  <si>
    <t xml:space="preserve">előző év
</t>
  </si>
  <si>
    <t>TKT ügyeleti díj / labor díj alakulása</t>
  </si>
  <si>
    <t>ügyelet 
2020. I.</t>
  </si>
  <si>
    <t>ügyelet 2020. II.</t>
  </si>
  <si>
    <t>többletfin.
ügyelet
2020.II-2021</t>
  </si>
  <si>
    <t>labor 
2020. I.</t>
  </si>
  <si>
    <t>labor 
2020. II.</t>
  </si>
  <si>
    <t>többletfin.
labor
2020.II-2021</t>
  </si>
  <si>
    <t>Eü-i feladatok többlete összesen</t>
  </si>
  <si>
    <t>EÜ feladatokon kívül 
változás előző évhez képes</t>
  </si>
  <si>
    <t>többletfin. 2020. évi
eredetihez</t>
  </si>
  <si>
    <t>Bölcsőde fejlesztés</t>
  </si>
  <si>
    <t>2024. évi eredeti előirányzat</t>
  </si>
  <si>
    <t xml:space="preserve">          Ágazati pótlék</t>
  </si>
  <si>
    <t xml:space="preserve">           Táncművészeti szervek támogatása (Előadó és Alkotóművészetért Alapítvány)</t>
  </si>
  <si>
    <t xml:space="preserve">     Közutak támogatása (kiegészítő támogatás)</t>
  </si>
  <si>
    <t xml:space="preserve">     Szociális étkeztetés állami támogatás átadása (májusi felmérés)</t>
  </si>
  <si>
    <t xml:space="preserve">     Intézményi gyermekétkeztetés - bértámogatás (májusi felmérés alapján)</t>
  </si>
  <si>
    <t xml:space="preserve">            Szociális ágazati pótlék</t>
  </si>
  <si>
    <t xml:space="preserve">     Szociális ágazati pótlék (átcsoportosítás B115-ről) </t>
  </si>
  <si>
    <t xml:space="preserve">     Egyéb személyi juttatás: védőnő OEP fin.</t>
  </si>
  <si>
    <t>K121</t>
  </si>
  <si>
    <t>K332</t>
  </si>
  <si>
    <t>K5021</t>
  </si>
  <si>
    <t>K311</t>
  </si>
  <si>
    <t>K322</t>
  </si>
  <si>
    <t>K334</t>
  </si>
  <si>
    <t xml:space="preserve">         3.1. Egyéb felh.-i célú tám. visszafizetés</t>
  </si>
  <si>
    <t xml:space="preserve">    Egyéb felhalmozási célú kiadások</t>
  </si>
  <si>
    <t xml:space="preserve">031030 Közterület felügyelet </t>
  </si>
  <si>
    <t>K84</t>
  </si>
  <si>
    <t xml:space="preserve">      Vízisport és Vitorlás Egyesület támogatása</t>
  </si>
  <si>
    <t xml:space="preserve">     IFA ellenőrök megbízási djía </t>
  </si>
  <si>
    <t xml:space="preserve">        Biztosítások (vagyon, jogvédelem, felelősségbizt.)</t>
  </si>
  <si>
    <t xml:space="preserve">     Intézményi gyermekétkeztetés - üzemeltetési támogatás (kiegészítő támogatás)</t>
  </si>
  <si>
    <t xml:space="preserve">     Intézményi gyermekétkeztetés - üzemeltetési tám. átadás TKT részére (kiegészítő felmérés alapján)</t>
  </si>
  <si>
    <t xml:space="preserve">          2.1.6. Önkormányzati elszámolások (iparűzési adó kieg.tám.)</t>
  </si>
  <si>
    <t xml:space="preserve">     Nyilvános könyvtári és közművelődési feladatainak támogatása (kerekítés)</t>
  </si>
  <si>
    <t xml:space="preserve">     Idegenforgalmi adó bevételek</t>
  </si>
  <si>
    <t xml:space="preserve">     Bírság és pótlék bevételek</t>
  </si>
  <si>
    <t xml:space="preserve">         3.2. Felhalmozási célú támogatások ÁHK-re</t>
  </si>
  <si>
    <t>K89</t>
  </si>
  <si>
    <t xml:space="preserve">     Kiszámlázott ÁFA</t>
  </si>
  <si>
    <t>K335</t>
  </si>
  <si>
    <t xml:space="preserve">     Murva elterítés (útjavítás)</t>
  </si>
  <si>
    <t xml:space="preserve">      Bajcsy-Zs. u. járdaszegély építése (szivattyúpark pályázaton kívüli rész)</t>
  </si>
  <si>
    <t xml:space="preserve">     Működési célú tartalék</t>
  </si>
  <si>
    <t xml:space="preserve">    Fejlesztési célú hitel  felvétele (ingatlan vásárlás)  (8/2021.(VI.24.))</t>
  </si>
  <si>
    <t xml:space="preserve">     Idegenforgalmi adóhoz kapcsolódó kieg.tám. (2020. évről 2.532 e Ft) átcsop.B116-ra</t>
  </si>
  <si>
    <t>Fejlesztési célú hitel (ingatlan vásárlás)</t>
  </si>
  <si>
    <t xml:space="preserve">   </t>
  </si>
  <si>
    <t xml:space="preserve">      Egyéb működési támogatás ÁHK-ről</t>
  </si>
  <si>
    <t>Változás (összeg)</t>
  </si>
  <si>
    <t xml:space="preserve">   Felhalmozási célú hitel felvétele</t>
  </si>
  <si>
    <t>11. melléklet</t>
  </si>
  <si>
    <t xml:space="preserve">2022. évi költségvetésének módosítása - indoklás </t>
  </si>
  <si>
    <t xml:space="preserve">          Állami támogatás visszatérítése TKT-tól</t>
  </si>
  <si>
    <t xml:space="preserve">     3. K507 Működési célú garancia- és kezességvállalásból származó kifizetés államházt.-on kívülre</t>
  </si>
  <si>
    <t xml:space="preserve">         Hitel törlesztés (OTP  fejlesztési hitelek)</t>
  </si>
  <si>
    <t>fordított áfa (működésben)</t>
  </si>
  <si>
    <t>projekthez kapcsolódó egyéb kiadások (működésben)</t>
  </si>
  <si>
    <t xml:space="preserve">         Hitel törlesztés (OTP fejlesztési hitelek)</t>
  </si>
  <si>
    <t>Választás támogatása</t>
  </si>
  <si>
    <r>
      <t xml:space="preserve">      Elszámolásból származó bevételek</t>
    </r>
    <r>
      <rPr>
        <sz val="10"/>
        <rFont val="Times New Roman"/>
        <family val="1"/>
        <charset val="238"/>
      </rPr>
      <t xml:space="preserve"> (szoc. allami elszámolás többlet)</t>
    </r>
  </si>
  <si>
    <t>2025. évi eredeti előirányzat</t>
  </si>
  <si>
    <t>2022. évi költségvetés érintő várható önerő összege</t>
  </si>
  <si>
    <t>Projekt eredeti összköltsége
(Bföldvárra jutó)
további a konzorciumi partnereknél</t>
  </si>
  <si>
    <t xml:space="preserve">          Kulturális támogatás bérfejesztés fedezetére</t>
  </si>
  <si>
    <t xml:space="preserve">      1. Egyéb felh.-i célú tám. visszafizetés</t>
  </si>
  <si>
    <t xml:space="preserve">      2. Felhalmozási célú támogatások államháztartáson kívülre</t>
  </si>
  <si>
    <t xml:space="preserve">14. melléklet </t>
  </si>
  <si>
    <t>Balatonföldvár Város Önkormányzat bevételeinek és kiadásainak mérlegszerű kimutatása
2020-2022. év</t>
  </si>
  <si>
    <t>Költségvetési bevételek</t>
  </si>
  <si>
    <t>2021. évi várható teljesítés</t>
  </si>
  <si>
    <t>2020. évi
 teljesítés</t>
  </si>
  <si>
    <t>Költségvetési kiadások</t>
  </si>
  <si>
    <t xml:space="preserve">A. Költségvetési bevételek </t>
  </si>
  <si>
    <t xml:space="preserve">A. Költségvetési kiadások </t>
  </si>
  <si>
    <t>I. Működési költségvetési bevételek</t>
  </si>
  <si>
    <t xml:space="preserve">I. Működési költségvetési kiadások </t>
  </si>
  <si>
    <t>1.Működési célú támogatások államháztartáson belülről</t>
  </si>
  <si>
    <t>1. Személyi juttatások</t>
  </si>
  <si>
    <t>2. Közhatalmi bevételek</t>
  </si>
  <si>
    <t>2.  Munkaadókat terhelő járulékok és szociális hozzájárulási adó</t>
  </si>
  <si>
    <t>3. Működési bevételek</t>
  </si>
  <si>
    <t>3. Dologi kiadások</t>
  </si>
  <si>
    <t>4. Működési célú átvett pénzeszközök</t>
  </si>
  <si>
    <t>4. Ellátottak pénzbeli juttatásai</t>
  </si>
  <si>
    <t>5. Egyéb működési célú kiadások</t>
  </si>
  <si>
    <t>II. Felhalmozási költségvetési bevételek</t>
  </si>
  <si>
    <t xml:space="preserve">II. Felhalmozási költségvetési kiadások </t>
  </si>
  <si>
    <t>1. Felhalmozási célú támogatások államháztartáson belülről</t>
  </si>
  <si>
    <t>2. Felhalmozási bevételek</t>
  </si>
  <si>
    <t>3. Felhalmozási célú átvett pénzeszközök</t>
  </si>
  <si>
    <t>3. Egyéb felhalmozási célú kiadások</t>
  </si>
  <si>
    <t>B. Finanszírozási bevételek</t>
  </si>
  <si>
    <t>B. Finanszírozási kiadások</t>
  </si>
  <si>
    <t>1. Belföldi finanszírozás bevételei</t>
  </si>
  <si>
    <t>1. Belföldi finanszírozás kiadásai</t>
  </si>
  <si>
    <t xml:space="preserve">1.1. Előző év költségvetési maradványának igénybevétele (belső finanszírozás) </t>
  </si>
  <si>
    <t xml:space="preserve">        Hitel törlesztés</t>
  </si>
  <si>
    <t>Felhalmozási célú maradvány</t>
  </si>
  <si>
    <t>3. Külföldi finanszírozás kiadásai</t>
  </si>
  <si>
    <t xml:space="preserve">    1.2. ÁHB megelőlegezés</t>
  </si>
  <si>
    <t>2. Költségvetési hiány külső finanszírozására szolgáló eszközök</t>
  </si>
  <si>
    <t xml:space="preserve">        MFP (óvoda): pályázat műszaki tartalmának elkészítése</t>
  </si>
  <si>
    <t xml:space="preserve">      MFP: óvoda játszóudvar fejlesztés </t>
  </si>
  <si>
    <t xml:space="preserve">     MFP: útfelújítás támogatása</t>
  </si>
  <si>
    <t>K342</t>
  </si>
  <si>
    <t xml:space="preserve">     Keleti strand felújítás támogatása (Kisfaludy)</t>
  </si>
  <si>
    <t xml:space="preserve">     Nyugati strand felújítás támogatása (Kisfaludy)</t>
  </si>
  <si>
    <t xml:space="preserve">      Keleti strand felújítása (Kisfaludy) (45/2022.(III.24.))</t>
  </si>
  <si>
    <t xml:space="preserve">      Automata defibrillátor beszerzés (Keleti strand; Kisfaludy) (45/2022.(III.24.))</t>
  </si>
  <si>
    <t xml:space="preserve">      Városháza díszkivilágítása (átcsoportosítás K7-re)</t>
  </si>
  <si>
    <t xml:space="preserve">      Partfal megerősítése (Kemping utca) (67/2022.(V.6.))</t>
  </si>
  <si>
    <t xml:space="preserve">      Városháza előtti tér (parkoló, park) felújítása (68/2022.(V.6.))</t>
  </si>
  <si>
    <t xml:space="preserve">     Szociális étkeztetés állami normatíva (átcsoportosítás K332-re)</t>
  </si>
  <si>
    <t xml:space="preserve">     Szociális ágazati pótlék (átcsoportosítás B113-ra) </t>
  </si>
  <si>
    <t xml:space="preserve">     DRV Zrt. lakossági víz és csatornaszolg. tám. továbbutalása </t>
  </si>
  <si>
    <t xml:space="preserve">     Lakossági víz és csatornaszolgáltatás pályázat támogatása </t>
  </si>
  <si>
    <t xml:space="preserve">          Gyógyító Megelőző Ellátás finanszírozás (védőnő)</t>
  </si>
  <si>
    <t xml:space="preserve">          Egyéb működési célú támogatások </t>
  </si>
  <si>
    <t xml:space="preserve">     Közlekedési költségtérítés (védőnő)</t>
  </si>
  <si>
    <t xml:space="preserve">     Iskola energetikai korszerűsítése támogatás (előleg)</t>
  </si>
  <si>
    <t xml:space="preserve">     Közvetített szolgáltatások </t>
  </si>
  <si>
    <t xml:space="preserve">     Közvetített szolgáltatások ellenértéke (TRE mód.)</t>
  </si>
  <si>
    <t>K353</t>
  </si>
  <si>
    <t xml:space="preserve">    Polgármester illetménye, jutalma</t>
  </si>
  <si>
    <t>K333</t>
  </si>
  <si>
    <t xml:space="preserve">     Közvilágítás bérleti díj</t>
  </si>
  <si>
    <t xml:space="preserve">        Rovarirtás, kártevőírtás, gyepmester</t>
  </si>
  <si>
    <t xml:space="preserve">     Közvilágítás üzemeltetési költség</t>
  </si>
  <si>
    <t xml:space="preserve">     Villamos biztonsági felülvizsgálat</t>
  </si>
  <si>
    <t xml:space="preserve">        Egyéb (füvesítés, zöldter.karb.,kamerarend., telepvez., szakvélemény)</t>
  </si>
  <si>
    <t xml:space="preserve">     Egyéb szolgáltatások: szakvélemény veszélyes fák (átcsoportosítás K336-ról)</t>
  </si>
  <si>
    <t xml:space="preserve">     Reklám- és propagandakiadások: szórólapok készítése (Nyugati strand) saját forrás</t>
  </si>
  <si>
    <t xml:space="preserve">     Reklám- és propagandakiadások: nyilvánosság (Nyugati strand)</t>
  </si>
  <si>
    <t xml:space="preserve">2022. évi szoc.tűzifa támogatás visszafizetés </t>
  </si>
  <si>
    <t xml:space="preserve">     2021. évi szoc.tűzifa támogatás visszafizetés</t>
  </si>
  <si>
    <t xml:space="preserve">               Emberi Erőforrás Támogatáskezelő (BURSA)</t>
  </si>
  <si>
    <t xml:space="preserve">     Települési Önkormányzatok Országos Szövetsége tagdíj (átcsop.K512-re)</t>
  </si>
  <si>
    <t xml:space="preserve">     Munka- és tűzvédelmi Társulás tagdíj (átcsoportosítás K5021, 512-re)</t>
  </si>
  <si>
    <t xml:space="preserve">     BURSA támogatás (átcsoportosítás K512-ről)</t>
  </si>
  <si>
    <t xml:space="preserve">     BURSA támogatás (átcsoportosítás K506-ra)</t>
  </si>
  <si>
    <t xml:space="preserve">     Balatoni Szövetség éves tagdíj</t>
  </si>
  <si>
    <t xml:space="preserve">      Hematológiai automata készülék</t>
  </si>
  <si>
    <t xml:space="preserve">      Elektromos vízmelegítő beszerzés</t>
  </si>
  <si>
    <t>Finanszírozás</t>
  </si>
  <si>
    <t xml:space="preserve">     Reprezentáció (átcsoportosítás K1101-re)</t>
  </si>
  <si>
    <t>K321</t>
  </si>
  <si>
    <t xml:space="preserve">     Irodaszer beszerzés (választás átcsoportosítás K123-ról)</t>
  </si>
  <si>
    <t xml:space="preserve">     Szakmai anyagok beszerzése (átcsoportosítás K1101, K312-re)</t>
  </si>
  <si>
    <t xml:space="preserve">     Üzemeltetési anyagok: emléklap, alkatrész, porzsák</t>
  </si>
  <si>
    <t xml:space="preserve">     Jubileumi jutalom (2 fő)</t>
  </si>
  <si>
    <t xml:space="preserve">           Fénymásolók (Alba-Kontakt)</t>
  </si>
  <si>
    <t xml:space="preserve">          WinSzoc program (Abacus)</t>
  </si>
  <si>
    <t xml:space="preserve">     Postaköltség</t>
  </si>
  <si>
    <t xml:space="preserve">     Egyéb szakmai szolgáltatások (átcsoportosítás K337-re)</t>
  </si>
  <si>
    <t xml:space="preserve">     Egyéb szolgáltatások (átcsoportosítás K336-ról)</t>
  </si>
  <si>
    <t>több éves kihatással járó feladatai</t>
  </si>
  <si>
    <t>Módosított előirányzat 2022.06.hó</t>
  </si>
  <si>
    <t>Önkormányzat (módosított előirányzat 2022.06.havi)</t>
  </si>
  <si>
    <t xml:space="preserve">       Kötelező (módosított előirányzat 2022.06. havi)</t>
  </si>
  <si>
    <t xml:space="preserve">       Nem kötelező (módosított előirányzat 2022.06. havi)</t>
  </si>
  <si>
    <t>KÖH (módosított előirányzat 2022.06. havi)</t>
  </si>
  <si>
    <t>Önk.mindösszesen (módosított ei. 2022.06. havi)</t>
  </si>
  <si>
    <t xml:space="preserve">     Közvetített szolgáltatások ellenértéke (menekültek étkeztetése)</t>
  </si>
  <si>
    <t>K48</t>
  </si>
  <si>
    <t xml:space="preserve">     Ellátottak juttatása</t>
  </si>
  <si>
    <t xml:space="preserve">          "Balatonföldvár zöld város program megval.-a" (TOP-2.1.2-15-2016-00002) (nettó)</t>
  </si>
  <si>
    <t>(TOP_Plusz-2.1.1-21-SO1-2022-00005)</t>
  </si>
  <si>
    <t>Köznevelési intézmény energetikai korszerűsítése Balatonföldváron</t>
  </si>
  <si>
    <t>2022. évi költségvetést érintő kiadás</t>
  </si>
  <si>
    <t xml:space="preserve">   Tartalék felhasználás (céltartalék)</t>
  </si>
  <si>
    <t xml:space="preserve">12. melléklet </t>
  </si>
  <si>
    <t>(TOP-1.4.1-19-SO1-2019-00013)</t>
  </si>
  <si>
    <t>mód.ei.          2022.10.hó</t>
  </si>
  <si>
    <t xml:space="preserve">     Fúvószenekar támogatása (84/2022.(V.25.))</t>
  </si>
  <si>
    <t xml:space="preserve">     Ingatlan értékbecslés (98/2022.(VII.21.))</t>
  </si>
  <si>
    <t xml:space="preserve">     Schilhán J.park játszótér kiviteli tervek (100/2022.(VII.21.))</t>
  </si>
  <si>
    <t xml:space="preserve">     Műszaki tanácsadás (Zöld város) (101/2022.(VII.21.))</t>
  </si>
  <si>
    <t xml:space="preserve">     Közbeszerzés (útfelújítás) (111/2022.(VIII.12.))</t>
  </si>
  <si>
    <t xml:space="preserve">     Schilhán J.park kiviteli tervek (113/2022.(VIII.12.))</t>
  </si>
  <si>
    <t xml:space="preserve">     Felhalmozási célú tartalék </t>
  </si>
  <si>
    <t xml:space="preserve">      Balatonföldvár, lakóutcák burkolat megerősítése 116/2022.(IX.20.)</t>
  </si>
  <si>
    <t xml:space="preserve">     Műszaki ellenőrzés: útfelújítások (117/2022.(IX.20.))</t>
  </si>
  <si>
    <t xml:space="preserve">     Csoportos közbeszerzés (villamos energia) (118/2022.(IX.20.))</t>
  </si>
  <si>
    <t xml:space="preserve">     Köznevelési feladatok támogatás (október havi felmérés: óvoda póttámogatás)</t>
  </si>
  <si>
    <t xml:space="preserve">     Házi segítségnyújtás (október havi felmérés alapján)</t>
  </si>
  <si>
    <t xml:space="preserve">     Szociális étkeztetés (októberi felmérés alapján)</t>
  </si>
  <si>
    <t xml:space="preserve">     Személyi gondozás (októberi felmérés: póttámogatás)</t>
  </si>
  <si>
    <t xml:space="preserve">     Önkormányzati elszámolások (iparűzési adó kieg.tám.)</t>
  </si>
  <si>
    <t xml:space="preserve">     Szociális célú tüzelőanyag vásárlásához kapcsolódó támogatás </t>
  </si>
  <si>
    <t xml:space="preserve">     Szociális célú tűzifa beszerzés</t>
  </si>
  <si>
    <t xml:space="preserve">     Szociális célú tűzifa szállítási költsége</t>
  </si>
  <si>
    <t xml:space="preserve">     Településrendezési eszközök módosításából származó bevétel</t>
  </si>
  <si>
    <t xml:space="preserve">     Tulajdonosi bevételek: bérleti díjak</t>
  </si>
  <si>
    <t xml:space="preserve">     Ellátási díjak (szoc.étk.díj bev.)</t>
  </si>
  <si>
    <t xml:space="preserve">     Útvonalengedélyek bevétele</t>
  </si>
  <si>
    <t xml:space="preserve">     Biztosító által fizetett kártérítés (kilátó viharkár)</t>
  </si>
  <si>
    <t xml:space="preserve">     Kilátó üvegkár </t>
  </si>
  <si>
    <t xml:space="preserve">          Város fásítási programjának támogatása</t>
  </si>
  <si>
    <t xml:space="preserve">      Város fásítási programjának támogatása</t>
  </si>
  <si>
    <t xml:space="preserve">     Zöld Város projekt - támogatás ráemelés két üteme</t>
  </si>
  <si>
    <t xml:space="preserve">     Megbízási díjak (átcsoportosítás K1101-ről)</t>
  </si>
  <si>
    <t>K1104</t>
  </si>
  <si>
    <t xml:space="preserve">     Készenléti, ügyeleti, helyettesítési díj, túlóra (átcsop. K1101-ről)</t>
  </si>
  <si>
    <t xml:space="preserve">     Alkalmazottak illetménye (átcsop. K122, K1104-re)</t>
  </si>
  <si>
    <t xml:space="preserve">     Üzemeltetési anyagok: üzemanyag, virágok, ásványvíz</t>
  </si>
  <si>
    <t xml:space="preserve">     Informatikai szolgáltatás </t>
  </si>
  <si>
    <t xml:space="preserve">     Közüzemi díjak (hőszivattyú, szerverszoba, piac, rendelők)</t>
  </si>
  <si>
    <t xml:space="preserve">     Műszaki ellenőrzés (Bölcsőde pályázat) (átcsop. K351-ről)</t>
  </si>
  <si>
    <t xml:space="preserve">     Egyéb dologi kiadás: fúvószenekar (átcsoportosítás K337-re)</t>
  </si>
  <si>
    <t xml:space="preserve">     Bogrács-fesztivál (átcsop. K355-ről)</t>
  </si>
  <si>
    <t xml:space="preserve">     Reklám- és propagandakiadások: reklám, hírlevél</t>
  </si>
  <si>
    <t xml:space="preserve">     Kamatkiadások (hitelek kamatai)</t>
  </si>
  <si>
    <t>B116</t>
  </si>
  <si>
    <t xml:space="preserve">     Egyéb működési célú támogatások (átcsop. B116-ról)</t>
  </si>
  <si>
    <t xml:space="preserve">     Állami támogatás visszafizetés (2020-2021. évi állami elszámolásból)</t>
  </si>
  <si>
    <t xml:space="preserve">               Működési hozzájárulás (EFI iroda állami támogatás csökkentés miatt)</t>
  </si>
  <si>
    <t xml:space="preserve">     Működési hozzájárulás (EFI iroda állami támogatás csökkentés miatt)</t>
  </si>
  <si>
    <t xml:space="preserve">              Automata defibrillátor, mentő katamarán, kerékpártámasz beszerzés (Nyugati strand; Kisfaludy) (átcsop. K7-re)</t>
  </si>
  <si>
    <t xml:space="preserve">      Nyugati strand felújítása (Kisfaludy) (átcsop. K6-ról)</t>
  </si>
  <si>
    <t xml:space="preserve">       MFP támogatás visszafizetése</t>
  </si>
  <si>
    <t xml:space="preserve">        MFP (útfelújítás): tervdok. elkészítése, műszaki ell.</t>
  </si>
  <si>
    <t>Népszámlálás támogatása</t>
  </si>
  <si>
    <t xml:space="preserve">     Népszámlálás támogatása (Hivatal)</t>
  </si>
  <si>
    <t xml:space="preserve">     Megbízási díjak (népszámlálás)</t>
  </si>
  <si>
    <t xml:space="preserve">     Belső ellenőrzés (2021. 12 hó)</t>
  </si>
  <si>
    <t xml:space="preserve">     Egyéb személyi juttatás (bérkomp., betegsz., szabi megv, megbíz.)</t>
  </si>
  <si>
    <t xml:space="preserve">     Anyakönyvvezető helyettesítés</t>
  </si>
  <si>
    <t xml:space="preserve">     Megbízási díj (anyakönyvvezető helyettesítés)</t>
  </si>
  <si>
    <t xml:space="preserve">     Választások támogatása (átcsop. B411-re)</t>
  </si>
  <si>
    <t xml:space="preserve">     Közüzemi díj visszatérítés</t>
  </si>
  <si>
    <t xml:space="preserve">     Jutalom (választás átcsop. K123-ről)</t>
  </si>
  <si>
    <t xml:space="preserve">     Tiszteletdíjak (választás átcsoportosítás K1104, K1103-ra)</t>
  </si>
  <si>
    <t xml:space="preserve">     Cafeteria (átcsoportosítás K1109-re)</t>
  </si>
  <si>
    <t xml:space="preserve">     Közlekedési költségtérítés (átcsoportosítás K1107-ről)</t>
  </si>
  <si>
    <t>K1105</t>
  </si>
  <si>
    <t xml:space="preserve">     Végkielégítés</t>
  </si>
  <si>
    <t xml:space="preserve">     Egyéb munkavégzéshez kapcs. juttatás (betegszabi, szabadság megvált. ) (átcsop. K1101-ről)</t>
  </si>
  <si>
    <t xml:space="preserve">     Fénymásolók karbantartása (átcsop. K312, K322, K355-ről)</t>
  </si>
  <si>
    <t xml:space="preserve">     Telefonköltség (átcsoportosítás K334-re)</t>
  </si>
  <si>
    <t xml:space="preserve">     Egyéb dologi kiadások (átcsop. K334-re)</t>
  </si>
  <si>
    <t xml:space="preserve">     Foglalkozás egészségügyi ellátás (átcsop. K312-ről)</t>
  </si>
  <si>
    <t xml:space="preserve">     Üzemeltetési anyagok beszerzése: nyomtatvány, munkaruha (átcsop. K334, K366-ra)</t>
  </si>
  <si>
    <t xml:space="preserve">     Külső adatvédelmi tisztviselő (átcsop. K312-ről)</t>
  </si>
  <si>
    <t xml:space="preserve">     Üzemanyag beszerzés (átcsop. K336-ra)</t>
  </si>
  <si>
    <t xml:space="preserve">     Marketing (Zöld város)</t>
  </si>
  <si>
    <t xml:space="preserve">     Polgármesteri, képviselői tiszteletdíjak</t>
  </si>
  <si>
    <t xml:space="preserve">     Egyéb személyi juttatás </t>
  </si>
  <si>
    <t xml:space="preserve">     Dacia Daster értékesítése (126/2022. (X.13.))</t>
  </si>
  <si>
    <t xml:space="preserve">       Kötelező (módosított előirányzat 2022.10. havi)</t>
  </si>
  <si>
    <t>Módosított előirányzat 2022.10.hó</t>
  </si>
  <si>
    <t xml:space="preserve">       Nem kötelező (módosított előirányzat 2022.10. havi)</t>
  </si>
  <si>
    <t>Önkormányzat (módosított előirányzat 2022.10.havi)</t>
  </si>
  <si>
    <t>KÖH (módosított előirányzat 2022.10. havi)</t>
  </si>
  <si>
    <t>Önk.mindösszesen (módosított ei. 2022.10. havi)</t>
  </si>
  <si>
    <t xml:space="preserve">     Pénzeszközátvétel önkormányzatoktól </t>
  </si>
  <si>
    <t xml:space="preserve">     Elszámolásból származó bevételek (szoc. allami elszámolás többlet átcsop. B16-ra)</t>
  </si>
  <si>
    <t xml:space="preserve">     Alkalmazottak illetménye (átcsop. K1105, K1113, K2-re)</t>
  </si>
  <si>
    <t>a /2023.() önkormányzati rendelethez</t>
  </si>
  <si>
    <t>2023. évi összevont mérlege</t>
  </si>
  <si>
    <t>2023. évi működési célú bevételei, kiadásai</t>
  </si>
  <si>
    <t xml:space="preserve">          2022. évi lakossági víz tám. elszámolás (DRV-től)</t>
  </si>
  <si>
    <t xml:space="preserve">      1. Egyéb működési célú átvett pénzeszközök (Földvár kártya értékesítés terv. bevétele 2023. évi)</t>
  </si>
  <si>
    <t>2023. évi felhalmozási bevételei, kiadásai</t>
  </si>
  <si>
    <t xml:space="preserve">      2. Ingatlanok értékesítése, lakásrészletek befizetései </t>
  </si>
  <si>
    <t xml:space="preserve">         2.1. Fejlesztési célú hitel  felvétele </t>
  </si>
  <si>
    <t>2023. évi működési célú támogatásai, pénzeszközátadásai, közvetett támogatásai</t>
  </si>
  <si>
    <t xml:space="preserve">               Ágazati pótlék átadás</t>
  </si>
  <si>
    <t xml:space="preserve">2022. évi lakossági víz támogatás visszafizetés </t>
  </si>
  <si>
    <r>
      <rPr>
        <b/>
        <i/>
        <u/>
        <sz val="14"/>
        <rFont val="Times New Roman"/>
        <family val="1"/>
        <charset val="238"/>
      </rPr>
      <t>Balatonföldvár Város Önkormányzatának 2023. évi bevételei kiemelt előirányzatonként, feladatonként</t>
    </r>
    <r>
      <rPr>
        <b/>
        <i/>
        <sz val="14"/>
        <rFont val="Times New Roman"/>
        <family val="1"/>
        <charset val="238"/>
      </rPr>
      <t xml:space="preserve"> </t>
    </r>
  </si>
  <si>
    <t>Önkormányzat (eredeti előirányzat 2023. év)</t>
  </si>
  <si>
    <t xml:space="preserve">       Kötelező (eredeti előirányzat 2023. év)</t>
  </si>
  <si>
    <t xml:space="preserve">       Nem kötelező (eredeti előirányzat 2023. év)</t>
  </si>
  <si>
    <t xml:space="preserve">       Államigazgatási feladatok (eredeti előirányzat 2023. év)</t>
  </si>
  <si>
    <t>Önk.mindösszesen (eredeti előirányzat 2023. év)</t>
  </si>
  <si>
    <t>Balatonföldvár Város Önkormányzatának 2023. évi kiadásai intézményenként, kiemelt előirányzatonként, 
feladatonkénti bontásban</t>
  </si>
  <si>
    <t>KÖH (eredeti előirányzat 2023. év)</t>
  </si>
  <si>
    <t xml:space="preserve">Balatonföldvár Város Önkormányzatának 2023. évi intézményi szintű összes kiadásai, intézményfinanszírozása
</t>
  </si>
  <si>
    <t>2023. évi költségvetési kiadásainak részletezése kormányzati funkciók szerint</t>
  </si>
  <si>
    <t>107051 Szociális étkeztetés;      107060 Ellátottak pénzbeli juttatásai</t>
  </si>
  <si>
    <t>082044 Könyvtári szolgáltatások; 082092 Közművelődési feladatok; 046020 Vezetékes műsorelosztás, kábel TV</t>
  </si>
  <si>
    <t xml:space="preserve">011130 Önk. és önk.-i hivatalok 
jogalkotói és ált. igazgatási tev.-e  </t>
  </si>
  <si>
    <t>062020 Településfejlesztési projektek és támogatásuk;                                        066020 Város-, községgazdálkodási egyéb szolgáltatások</t>
  </si>
  <si>
    <t xml:space="preserve">     Alkalmazottak illetménye, illetménykiegészítése (34+4 fő)</t>
  </si>
  <si>
    <t xml:space="preserve">        Egyéb dologi kiadások</t>
  </si>
  <si>
    <t>Bevétel összesen</t>
  </si>
  <si>
    <t>2022 és korábbi évek</t>
  </si>
  <si>
    <t>2023. évi adósságot keletkeztető ügyleteiből eredő fizetési kötelezettségek, várható saját bevételek</t>
  </si>
  <si>
    <t>2027 és további évek</t>
  </si>
  <si>
    <r>
      <t xml:space="preserve">                                           </t>
    </r>
    <r>
      <rPr>
        <b/>
        <i/>
        <u/>
        <sz val="12"/>
        <rFont val="Times New Roman"/>
        <family val="1"/>
        <charset val="238"/>
      </rPr>
      <t>Balatonföldvár Város Önkormányzat 2023. évi bevétel-kiadási előirányzat-felhasználási ütemterve</t>
    </r>
  </si>
  <si>
    <t>2023-2026. évi gördülő tervezése</t>
  </si>
  <si>
    <t>2026. évi eredeti előirányzat</t>
  </si>
  <si>
    <t>2023. évi Európai Uniós forrásból finanszírozott támogatással megvalósuló projektek kiadásai, 
projekt megvalósításhoz történő önkormányzati hozzájárulásai</t>
  </si>
  <si>
    <t xml:space="preserve">          Rendszer és szoftvertanácsadás (IRIS Rendszerház)</t>
  </si>
  <si>
    <t xml:space="preserve">        Külső adatvédelmi tisztviselő</t>
  </si>
  <si>
    <r>
      <t xml:space="preserve">        Egyéb szakmai szolgáltatások</t>
    </r>
    <r>
      <rPr>
        <sz val="8"/>
        <rFont val="Times New Roman"/>
        <family val="1"/>
        <charset val="238"/>
      </rPr>
      <t xml:space="preserve"> </t>
    </r>
  </si>
  <si>
    <t xml:space="preserve">           Telefonközpont átalánydíja (Microsystel)</t>
  </si>
  <si>
    <t xml:space="preserve">          Egyéb informatikai szolgáltatások (e-szigno, e-hiteles tullap)</t>
  </si>
  <si>
    <r>
      <t xml:space="preserve">     Bérleti és lízingdíjak </t>
    </r>
    <r>
      <rPr>
        <sz val="8"/>
        <rFont val="Times New Roman"/>
        <family val="1"/>
        <charset val="238"/>
      </rPr>
      <t>(fiókbérlés)</t>
    </r>
  </si>
  <si>
    <t xml:space="preserve">      3. Egyéb közhatalmi bevételek (igazgatási szolgáltatási díj, bírságok)</t>
  </si>
  <si>
    <t xml:space="preserve">      8. Kamatbevételek </t>
  </si>
  <si>
    <t xml:space="preserve">     11. Egyéb működési bevételek (pl.: perktg B.szemes) </t>
  </si>
  <si>
    <t>2023. évi eredeti ei.</t>
  </si>
  <si>
    <t>072111, 074011, 072112, 072420, 072450 Egészségügyi 
ellátások</t>
  </si>
  <si>
    <t>K33</t>
  </si>
  <si>
    <t>K34</t>
  </si>
  <si>
    <t>K35</t>
  </si>
  <si>
    <t xml:space="preserve">        Gépjármű casco, KFB</t>
  </si>
  <si>
    <t xml:space="preserve">        Szemétszállítás, veszélyes hulladék</t>
  </si>
  <si>
    <t xml:space="preserve">             Tagdíjak (Települési Önkormányzatok Országos Szövetsége, Balatoni Szövetség…..)</t>
  </si>
  <si>
    <t xml:space="preserve">              DRV Zrt. lakossági víz és csatornaszolgáltatás támogatás továbbutalása (2023. évi)</t>
  </si>
  <si>
    <t xml:space="preserve">             Előirányzott támogatási keret </t>
  </si>
  <si>
    <t xml:space="preserve">    Reprezentációs kiadás </t>
  </si>
  <si>
    <t xml:space="preserve">    Megbízási díj (helyettesítési feladatok ellátása, piacfelügyelet)</t>
  </si>
  <si>
    <t xml:space="preserve">           1.1.4. Polgármesteri illetményhez és költségtérítéshez nyújtott támogatás</t>
  </si>
  <si>
    <t xml:space="preserve">     Megbízási díj (belső ellenőr)</t>
  </si>
  <si>
    <t xml:space="preserve">          Pénzeszközátvétel önkormányzatoktól (Hivatal ebből előző évi hátralék 7.014 e Ft)</t>
  </si>
  <si>
    <t xml:space="preserve">     Népszámlálás díjazása</t>
  </si>
  <si>
    <t xml:space="preserve">     Megbízási díjak: népszámlálás</t>
  </si>
  <si>
    <t xml:space="preserve">    1. Működési célú pénzeszközátadások, támogatások (ebből Hivatal: 512 e Ft)</t>
  </si>
  <si>
    <t xml:space="preserve">           1.1.5. Közvilágítás kiegészítő támogatása</t>
  </si>
  <si>
    <t>Szolidaritási hozzájárulás</t>
  </si>
  <si>
    <t>Boldog Békeidők</t>
  </si>
  <si>
    <t xml:space="preserve">    Informatikai szolgáltatások  (NTAK rendszer, szoftver védőnő)</t>
  </si>
  <si>
    <r>
      <t xml:space="preserve">    Egyéb kommunikációs szolgáltatások</t>
    </r>
    <r>
      <rPr>
        <sz val="8"/>
        <rFont val="Times New Roman"/>
        <family val="1"/>
        <charset val="238"/>
      </rPr>
      <t xml:space="preserve"> (telefon, mobiltelefon)</t>
    </r>
  </si>
  <si>
    <t>Műszaki ellenőrzés (zöld város)</t>
  </si>
  <si>
    <t>Szemléletformálás (zöld város)</t>
  </si>
  <si>
    <t xml:space="preserve">           Köznevelési intézmény energetikai korszerűsítése (TOP_PLUSZ-2.1.1-21-SO1-2022-00005)</t>
  </si>
  <si>
    <t>Közbeszerzés (iskola energetika)</t>
  </si>
  <si>
    <t>Műszaki ellenőrzés (iskola energetika)</t>
  </si>
  <si>
    <t>Szemléletformálás (iskola energetika)</t>
  </si>
  <si>
    <t>Energetikai szakértő (iskola energetika)</t>
  </si>
  <si>
    <t>Kiviteli tervek (Boldog Békeidők)</t>
  </si>
  <si>
    <t>Engedélyes terv (Boldog Békeidők)</t>
  </si>
  <si>
    <t xml:space="preserve">           Partfal megerősítése (I. ütem)</t>
  </si>
  <si>
    <t xml:space="preserve">           Partfal megerősítése (II. ütem)</t>
  </si>
  <si>
    <t>Tervezés (parfal megerősítés II.ütem)</t>
  </si>
  <si>
    <t>Műszaki ellenőrzés (parfal megerősítés I.ütem)</t>
  </si>
  <si>
    <t>Geodéziai feladatok (bölcsőde)</t>
  </si>
  <si>
    <t>Műszaki tanácsadás (zöld város)</t>
  </si>
  <si>
    <t>Tendertervek elkészítése (2023. évi út- és járdafelújítások)</t>
  </si>
  <si>
    <t>Világítástervezés (központi park felújítás)</t>
  </si>
  <si>
    <t>Műszaki ellenőri feladatok (2023. évi út- és járdafelújítások, park felújítás)</t>
  </si>
  <si>
    <t xml:space="preserve">      3. Felhalmozási célú tartalék </t>
  </si>
  <si>
    <r>
      <t xml:space="preserve">     </t>
    </r>
    <r>
      <rPr>
        <i/>
        <sz val="10"/>
        <rFont val="Times New Roman"/>
        <family val="1"/>
        <charset val="238"/>
      </rPr>
      <t xml:space="preserve">   3.3. Felhalmozási célú tartalék </t>
    </r>
  </si>
  <si>
    <t xml:space="preserve">          Szakirányú oktatás adókedvezményének visszaigénylése (Hivatal)</t>
  </si>
  <si>
    <t xml:space="preserve">             Városháza mögötti terület térburkolása</t>
  </si>
  <si>
    <t xml:space="preserve">           BFT: zöldterület fejlesztés, Kelta sétány megvilágítása</t>
  </si>
  <si>
    <t xml:space="preserve">           Tourinform épületének belső átalakítása</t>
  </si>
  <si>
    <t>Tervezői művezetés (zöld város)</t>
  </si>
  <si>
    <t>Igazságügyi szakértő (zöld város)</t>
  </si>
  <si>
    <t>Közbeszerzői díj (parti sétány felújítás)</t>
  </si>
  <si>
    <t>Közbeszerzés ktg.-e (2023. évi út- és járdafelújítások, park felújítás)</t>
  </si>
  <si>
    <t xml:space="preserve">          BFT pályázati támogatás 80% (zöldterület fejlesztés, Kelta sétány)</t>
  </si>
  <si>
    <t xml:space="preserve">Állami támogatás visszafizetés </t>
  </si>
  <si>
    <t xml:space="preserve">    Megbízási díj (városi zenekari feladatok)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</si>
</sst>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Ft&quot;;[Red]\-#,##0\ &quot;Ft&quot;"/>
    <numFmt numFmtId="164" formatCode="_-* #,##0.00\ _F_t_-;\-* #,##0.00\ _F_t_-;_-* &quot;-&quot;??\ _F_t_-;_-@_-"/>
    <numFmt numFmtId="165" formatCode="_-* #,##0.00\ _F_t_-;\-* #,##0.00\ _F_t_-;_-* \-??\ _F_t_-;_-@_-"/>
  </numFmts>
  <fonts count="9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i/>
      <sz val="14"/>
      <name val="Times New Roman"/>
      <family val="1"/>
      <charset val="238"/>
    </font>
    <font>
      <sz val="14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i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u/>
      <sz val="14"/>
      <name val="Times New Roman"/>
      <family val="1"/>
      <charset val="238"/>
    </font>
    <font>
      <b/>
      <sz val="8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sz val="9"/>
      <name val="Arial CE"/>
      <charset val="238"/>
    </font>
    <font>
      <b/>
      <i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7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6"/>
      <name val="Times New Roman"/>
      <family val="1"/>
      <charset val="238"/>
    </font>
    <font>
      <sz val="9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u/>
      <sz val="12"/>
      <name val="Arial CE"/>
      <charset val="238"/>
    </font>
    <font>
      <b/>
      <i/>
      <sz val="10"/>
      <name val="Arial CE"/>
      <family val="2"/>
      <charset val="238"/>
    </font>
    <font>
      <i/>
      <sz val="12"/>
      <name val="Times New Roman"/>
      <family val="1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sz val="8"/>
      <name val="Times New Roman"/>
      <family val="1"/>
    </font>
    <font>
      <b/>
      <sz val="7"/>
      <name val="Times New Roman"/>
      <family val="1"/>
      <charset val="238"/>
    </font>
    <font>
      <b/>
      <i/>
      <sz val="9"/>
      <name val="Arial CE"/>
      <family val="2"/>
      <charset val="238"/>
    </font>
    <font>
      <sz val="7"/>
      <name val="Arial CE"/>
      <charset val="238"/>
    </font>
    <font>
      <b/>
      <sz val="9"/>
      <name val="Arial CE"/>
      <charset val="238"/>
    </font>
    <font>
      <b/>
      <i/>
      <sz val="8"/>
      <name val="Arial CE"/>
      <family val="2"/>
      <charset val="238"/>
    </font>
    <font>
      <i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0"/>
      <name val="Arial CE"/>
      <charset val="238"/>
    </font>
    <font>
      <sz val="10"/>
      <color theme="0"/>
      <name val="Arial CE"/>
      <charset val="238"/>
    </font>
    <font>
      <sz val="10"/>
      <color rgb="FF000000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sz val="8"/>
      <color rgb="FFFF0000"/>
      <name val="Arial CE"/>
      <charset val="238"/>
    </font>
    <font>
      <sz val="10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i/>
      <u/>
      <sz val="12"/>
      <name val="Arial"/>
      <family val="2"/>
      <charset val="238"/>
    </font>
    <font>
      <sz val="10"/>
      <name val="Times New Roman"/>
      <family val="1"/>
      <charset val="1"/>
    </font>
    <font>
      <sz val="10"/>
      <color theme="1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9">
    <xf numFmtId="0" fontId="0" fillId="0" borderId="0"/>
    <xf numFmtId="164" fontId="12" fillId="0" borderId="0" applyFont="0" applyFill="0" applyBorder="0" applyAlignment="0" applyProtection="0"/>
    <xf numFmtId="165" fontId="21" fillId="0" borderId="0" applyFill="0" applyBorder="0" applyAlignment="0" applyProtection="0"/>
    <xf numFmtId="0" fontId="12" fillId="0" borderId="0"/>
    <xf numFmtId="0" fontId="12" fillId="0" borderId="0"/>
    <xf numFmtId="0" fontId="71" fillId="0" borderId="0"/>
    <xf numFmtId="0" fontId="52" fillId="0" borderId="0"/>
    <xf numFmtId="0" fontId="54" fillId="0" borderId="0"/>
    <xf numFmtId="0" fontId="63" fillId="0" borderId="0"/>
    <xf numFmtId="0" fontId="21" fillId="0" borderId="0"/>
    <xf numFmtId="0" fontId="7" fillId="0" borderId="0"/>
    <xf numFmtId="0" fontId="65" fillId="0" borderId="0"/>
    <xf numFmtId="0" fontId="12" fillId="0" borderId="0"/>
    <xf numFmtId="0" fontId="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916">
    <xf numFmtId="0" fontId="0" fillId="0" borderId="0" xfId="0"/>
    <xf numFmtId="0" fontId="3" fillId="2" borderId="0" xfId="0" applyFont="1" applyFill="1"/>
    <xf numFmtId="0" fontId="3" fillId="0" borderId="0" xfId="0" applyFont="1"/>
    <xf numFmtId="0" fontId="0" fillId="2" borderId="0" xfId="0" applyFill="1"/>
    <xf numFmtId="0" fontId="11" fillId="0" borderId="0" xfId="0" applyFont="1"/>
    <xf numFmtId="3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/>
    <xf numFmtId="3" fontId="3" fillId="0" borderId="0" xfId="0" applyNumberFormat="1" applyFont="1"/>
    <xf numFmtId="0" fontId="3" fillId="0" borderId="1" xfId="0" applyFont="1" applyBorder="1"/>
    <xf numFmtId="0" fontId="13" fillId="0" borderId="0" xfId="0" applyFont="1"/>
    <xf numFmtId="0" fontId="3" fillId="2" borderId="0" xfId="0" applyFont="1" applyFill="1" applyAlignment="1">
      <alignment horizontal="right"/>
    </xf>
    <xf numFmtId="3" fontId="3" fillId="0" borderId="1" xfId="0" applyNumberFormat="1" applyFont="1" applyBorder="1"/>
    <xf numFmtId="0" fontId="3" fillId="0" borderId="2" xfId="0" applyFont="1" applyBorder="1"/>
    <xf numFmtId="3" fontId="3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3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left" vertical="center"/>
    </xf>
    <xf numFmtId="0" fontId="6" fillId="0" borderId="2" xfId="0" applyFont="1" applyBorder="1"/>
    <xf numFmtId="0" fontId="5" fillId="0" borderId="1" xfId="0" applyFont="1" applyBorder="1"/>
    <xf numFmtId="0" fontId="6" fillId="2" borderId="1" xfId="0" applyFont="1" applyFill="1" applyBorder="1"/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7" fillId="0" borderId="0" xfId="0" applyFont="1"/>
    <xf numFmtId="0" fontId="16" fillId="0" borderId="0" xfId="0" applyFont="1"/>
    <xf numFmtId="3" fontId="16" fillId="0" borderId="0" xfId="0" applyNumberFormat="1" applyFont="1"/>
    <xf numFmtId="0" fontId="13" fillId="0" borderId="3" xfId="0" applyFont="1" applyBorder="1"/>
    <xf numFmtId="0" fontId="3" fillId="0" borderId="1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right"/>
    </xf>
    <xf numFmtId="3" fontId="13" fillId="0" borderId="1" xfId="0" applyNumberFormat="1" applyFont="1" applyBorder="1"/>
    <xf numFmtId="0" fontId="15" fillId="2" borderId="0" xfId="0" applyFont="1" applyFill="1"/>
    <xf numFmtId="3" fontId="20" fillId="0" borderId="1" xfId="0" applyNumberFormat="1" applyFont="1" applyBorder="1"/>
    <xf numFmtId="3" fontId="18" fillId="0" borderId="1" xfId="0" applyNumberFormat="1" applyFont="1" applyBorder="1" applyAlignment="1">
      <alignment horizontal="right"/>
    </xf>
    <xf numFmtId="3" fontId="13" fillId="0" borderId="0" xfId="0" applyNumberFormat="1" applyFont="1"/>
    <xf numFmtId="3" fontId="5" fillId="0" borderId="1" xfId="0" applyNumberFormat="1" applyFont="1" applyBorder="1"/>
    <xf numFmtId="3" fontId="3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3" fontId="10" fillId="5" borderId="6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center"/>
    </xf>
    <xf numFmtId="0" fontId="12" fillId="0" borderId="0" xfId="0" applyFont="1"/>
    <xf numFmtId="0" fontId="20" fillId="0" borderId="0" xfId="0" applyFont="1"/>
    <xf numFmtId="0" fontId="3" fillId="0" borderId="3" xfId="0" applyFont="1" applyBorder="1" applyAlignment="1">
      <alignment horizontal="left" vertical="center"/>
    </xf>
    <xf numFmtId="0" fontId="3" fillId="6" borderId="0" xfId="0" applyFont="1" applyFill="1" applyAlignment="1">
      <alignment horizontal="center"/>
    </xf>
    <xf numFmtId="0" fontId="0" fillId="6" borderId="0" xfId="0" applyFill="1"/>
    <xf numFmtId="0" fontId="3" fillId="6" borderId="0" xfId="0" applyFont="1" applyFill="1"/>
    <xf numFmtId="3" fontId="3" fillId="0" borderId="0" xfId="0" applyNumberFormat="1" applyFont="1" applyAlignment="1">
      <alignment horizontal="right"/>
    </xf>
    <xf numFmtId="0" fontId="23" fillId="2" borderId="0" xfId="0" applyFont="1" applyFill="1" applyAlignment="1">
      <alignment horizontal="right"/>
    </xf>
    <xf numFmtId="3" fontId="0" fillId="0" borderId="1" xfId="0" applyNumberFormat="1" applyBorder="1"/>
    <xf numFmtId="0" fontId="25" fillId="0" borderId="1" xfId="0" applyFont="1" applyBorder="1"/>
    <xf numFmtId="3" fontId="0" fillId="2" borderId="1" xfId="0" applyNumberFormat="1" applyFill="1" applyBorder="1"/>
    <xf numFmtId="0" fontId="0" fillId="0" borderId="1" xfId="0" applyBorder="1"/>
    <xf numFmtId="0" fontId="0" fillId="2" borderId="1" xfId="0" applyFill="1" applyBorder="1"/>
    <xf numFmtId="0" fontId="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3" fontId="28" fillId="0" borderId="0" xfId="0" applyNumberFormat="1" applyFont="1" applyAlignment="1">
      <alignment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3" fillId="0" borderId="2" xfId="1" applyNumberFormat="1" applyFont="1" applyFill="1" applyBorder="1" applyAlignment="1">
      <alignment horizontal="right" vertical="center"/>
    </xf>
    <xf numFmtId="3" fontId="28" fillId="0" borderId="7" xfId="0" applyNumberFormat="1" applyFont="1" applyBorder="1" applyAlignment="1">
      <alignment vertical="center"/>
    </xf>
    <xf numFmtId="0" fontId="17" fillId="3" borderId="8" xfId="0" applyFont="1" applyFill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right"/>
    </xf>
    <xf numFmtId="3" fontId="34" fillId="0" borderId="1" xfId="0" applyNumberFormat="1" applyFont="1" applyBorder="1" applyAlignment="1">
      <alignment horizontal="right"/>
    </xf>
    <xf numFmtId="9" fontId="16" fillId="0" borderId="0" xfId="0" applyNumberFormat="1" applyFont="1"/>
    <xf numFmtId="3" fontId="0" fillId="0" borderId="0" xfId="0" applyNumberFormat="1"/>
    <xf numFmtId="0" fontId="6" fillId="5" borderId="4" xfId="0" applyFont="1" applyFill="1" applyBorder="1" applyAlignment="1">
      <alignment horizontal="left"/>
    </xf>
    <xf numFmtId="0" fontId="26" fillId="0" borderId="3" xfId="0" applyFont="1" applyBorder="1" applyAlignment="1">
      <alignment horizontal="left"/>
    </xf>
    <xf numFmtId="3" fontId="3" fillId="0" borderId="1" xfId="0" applyNumberFormat="1" applyFont="1" applyBorder="1" applyAlignment="1">
      <alignment vertical="center" wrapText="1"/>
    </xf>
    <xf numFmtId="3" fontId="3" fillId="0" borderId="2" xfId="0" applyNumberFormat="1" applyFont="1" applyBorder="1"/>
    <xf numFmtId="0" fontId="8" fillId="0" borderId="1" xfId="0" applyFont="1" applyBorder="1"/>
    <xf numFmtId="3" fontId="3" fillId="0" borderId="3" xfId="0" applyNumberFormat="1" applyFont="1" applyBorder="1"/>
    <xf numFmtId="3" fontId="3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23" fillId="6" borderId="0" xfId="0" applyFont="1" applyFill="1" applyAlignment="1">
      <alignment horizontal="right"/>
    </xf>
    <xf numFmtId="0" fontId="7" fillId="2" borderId="0" xfId="0" applyFont="1" applyFill="1"/>
    <xf numFmtId="0" fontId="36" fillId="2" borderId="0" xfId="0" applyFont="1" applyFill="1"/>
    <xf numFmtId="0" fontId="23" fillId="2" borderId="0" xfId="0" applyFont="1" applyFill="1"/>
    <xf numFmtId="0" fontId="36" fillId="2" borderId="0" xfId="0" applyFont="1" applyFill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right"/>
    </xf>
    <xf numFmtId="3" fontId="39" fillId="0" borderId="0" xfId="0" applyNumberFormat="1" applyFont="1" applyAlignment="1">
      <alignment horizontal="center" vertical="center" wrapText="1"/>
    </xf>
    <xf numFmtId="3" fontId="9" fillId="0" borderId="0" xfId="0" applyNumberFormat="1" applyFont="1"/>
    <xf numFmtId="0" fontId="9" fillId="2" borderId="1" xfId="0" applyFont="1" applyFill="1" applyBorder="1"/>
    <xf numFmtId="3" fontId="36" fillId="0" borderId="0" xfId="0" applyNumberFormat="1" applyFont="1"/>
    <xf numFmtId="0" fontId="36" fillId="0" borderId="0" xfId="0" applyFont="1"/>
    <xf numFmtId="0" fontId="42" fillId="2" borderId="0" xfId="0" applyFont="1" applyFill="1"/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0" fillId="0" borderId="11" xfId="0" applyBorder="1"/>
    <xf numFmtId="3" fontId="9" fillId="0" borderId="12" xfId="0" applyNumberFormat="1" applyFont="1" applyBorder="1"/>
    <xf numFmtId="0" fontId="9" fillId="0" borderId="11" xfId="0" applyFont="1" applyBorder="1"/>
    <xf numFmtId="3" fontId="9" fillId="0" borderId="1" xfId="0" applyNumberFormat="1" applyFont="1" applyBorder="1"/>
    <xf numFmtId="0" fontId="9" fillId="0" borderId="13" xfId="0" applyFont="1" applyBorder="1"/>
    <xf numFmtId="3" fontId="9" fillId="2" borderId="8" xfId="0" applyNumberFormat="1" applyFont="1" applyFill="1" applyBorder="1"/>
    <xf numFmtId="3" fontId="9" fillId="2" borderId="14" xfId="0" applyNumberFormat="1" applyFont="1" applyFill="1" applyBorder="1"/>
    <xf numFmtId="0" fontId="9" fillId="2" borderId="0" xfId="0" applyFont="1" applyFill="1"/>
    <xf numFmtId="0" fontId="43" fillId="2" borderId="0" xfId="0" applyFont="1" applyFill="1"/>
    <xf numFmtId="0" fontId="2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6" fillId="5" borderId="15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6" fillId="7" borderId="1" xfId="0" applyFont="1" applyFill="1" applyBorder="1"/>
    <xf numFmtId="3" fontId="6" fillId="7" borderId="2" xfId="0" applyNumberFormat="1" applyFont="1" applyFill="1" applyBorder="1"/>
    <xf numFmtId="3" fontId="23" fillId="0" borderId="3" xfId="0" applyNumberFormat="1" applyFont="1" applyBorder="1" applyAlignment="1">
      <alignment horizontal="right"/>
    </xf>
    <xf numFmtId="0" fontId="23" fillId="0" borderId="3" xfId="0" applyFont="1" applyBorder="1" applyAlignment="1">
      <alignment horizontal="right"/>
    </xf>
    <xf numFmtId="0" fontId="44" fillId="7" borderId="1" xfId="0" applyFont="1" applyFill="1" applyBorder="1"/>
    <xf numFmtId="0" fontId="9" fillId="7" borderId="1" xfId="0" applyFont="1" applyFill="1" applyBorder="1" applyAlignment="1">
      <alignment horizontal="center" vertical="center" wrapText="1"/>
    </xf>
    <xf numFmtId="3" fontId="7" fillId="7" borderId="1" xfId="0" applyNumberFormat="1" applyFont="1" applyFill="1" applyBorder="1"/>
    <xf numFmtId="3" fontId="0" fillId="7" borderId="1" xfId="0" applyNumberFormat="1" applyFill="1" applyBorder="1"/>
    <xf numFmtId="0" fontId="0" fillId="0" borderId="11" xfId="0" applyBorder="1" applyAlignment="1">
      <alignment wrapText="1"/>
    </xf>
    <xf numFmtId="3" fontId="6" fillId="8" borderId="4" xfId="0" applyNumberFormat="1" applyFont="1" applyFill="1" applyBorder="1" applyAlignment="1">
      <alignment horizontal="left" vertical="center"/>
    </xf>
    <xf numFmtId="3" fontId="6" fillId="8" borderId="5" xfId="1" applyNumberFormat="1" applyFont="1" applyFill="1" applyBorder="1" applyAlignment="1">
      <alignment horizontal="right" vertical="center"/>
    </xf>
    <xf numFmtId="3" fontId="6" fillId="8" borderId="6" xfId="0" applyNumberFormat="1" applyFont="1" applyFill="1" applyBorder="1" applyAlignment="1">
      <alignment vertical="center"/>
    </xf>
    <xf numFmtId="3" fontId="29" fillId="8" borderId="5" xfId="1" applyNumberFormat="1" applyFont="1" applyFill="1" applyBorder="1" applyAlignment="1">
      <alignment horizontal="right" vertical="center"/>
    </xf>
    <xf numFmtId="3" fontId="29" fillId="8" borderId="6" xfId="1" applyNumberFormat="1" applyFont="1" applyFill="1" applyBorder="1" applyAlignment="1">
      <alignment horizontal="right" vertical="center"/>
    </xf>
    <xf numFmtId="3" fontId="3" fillId="0" borderId="3" xfId="1" applyNumberFormat="1" applyFont="1" applyFill="1" applyBorder="1" applyAlignment="1">
      <alignment horizontal="right" vertical="center"/>
    </xf>
    <xf numFmtId="3" fontId="16" fillId="0" borderId="1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6" fillId="8" borderId="5" xfId="0" applyNumberFormat="1" applyFont="1" applyFill="1" applyBorder="1" applyAlignment="1">
      <alignment vertical="center"/>
    </xf>
    <xf numFmtId="3" fontId="27" fillId="8" borderId="4" xfId="0" applyNumberFormat="1" applyFont="1" applyFill="1" applyBorder="1" applyAlignment="1">
      <alignment horizontal="left" vertical="center" wrapText="1"/>
    </xf>
    <xf numFmtId="3" fontId="27" fillId="8" borderId="5" xfId="0" applyNumberFormat="1" applyFont="1" applyFill="1" applyBorder="1" applyAlignment="1">
      <alignment vertical="center"/>
    </xf>
    <xf numFmtId="3" fontId="27" fillId="8" borderId="6" xfId="0" applyNumberFormat="1" applyFont="1" applyFill="1" applyBorder="1" applyAlignment="1">
      <alignment vertical="center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3" xfId="1" applyNumberFormat="1" applyFont="1" applyFill="1" applyBorder="1" applyAlignment="1">
      <alignment horizontal="right" vertical="center"/>
    </xf>
    <xf numFmtId="3" fontId="6" fillId="8" borderId="6" xfId="1" applyNumberFormat="1" applyFont="1" applyFill="1" applyBorder="1" applyAlignment="1">
      <alignment horizontal="right" vertical="center"/>
    </xf>
    <xf numFmtId="0" fontId="36" fillId="6" borderId="0" xfId="0" applyFont="1" applyFill="1"/>
    <xf numFmtId="0" fontId="37" fillId="2" borderId="0" xfId="0" applyFont="1" applyFill="1"/>
    <xf numFmtId="0" fontId="18" fillId="2" borderId="4" xfId="0" applyFont="1" applyFill="1" applyBorder="1"/>
    <xf numFmtId="0" fontId="18" fillId="2" borderId="5" xfId="0" applyFont="1" applyFill="1" applyBorder="1"/>
    <xf numFmtId="3" fontId="18" fillId="2" borderId="5" xfId="0" applyNumberFormat="1" applyFont="1" applyFill="1" applyBorder="1"/>
    <xf numFmtId="3" fontId="18" fillId="2" borderId="6" xfId="0" applyNumberFormat="1" applyFont="1" applyFill="1" applyBorder="1"/>
    <xf numFmtId="49" fontId="3" fillId="0" borderId="2" xfId="0" applyNumberFormat="1" applyFont="1" applyBorder="1" applyAlignment="1">
      <alignment horizontal="right"/>
    </xf>
    <xf numFmtId="3" fontId="7" fillId="0" borderId="1" xfId="0" applyNumberFormat="1" applyFont="1" applyBorder="1"/>
    <xf numFmtId="0" fontId="3" fillId="0" borderId="16" xfId="0" applyFont="1" applyBorder="1" applyAlignment="1">
      <alignment horizontal="left" vertical="center" wrapText="1"/>
    </xf>
    <xf numFmtId="0" fontId="6" fillId="0" borderId="3" xfId="0" applyFont="1" applyBorder="1"/>
    <xf numFmtId="3" fontId="18" fillId="0" borderId="1" xfId="0" applyNumberFormat="1" applyFont="1" applyBorder="1"/>
    <xf numFmtId="3" fontId="6" fillId="7" borderId="1" xfId="0" applyNumberFormat="1" applyFont="1" applyFill="1" applyBorder="1"/>
    <xf numFmtId="0" fontId="0" fillId="0" borderId="17" xfId="0" applyBorder="1"/>
    <xf numFmtId="0" fontId="23" fillId="0" borderId="1" xfId="0" applyFont="1" applyBorder="1"/>
    <xf numFmtId="0" fontId="6" fillId="7" borderId="2" xfId="0" applyFont="1" applyFill="1" applyBorder="1"/>
    <xf numFmtId="0" fontId="8" fillId="0" borderId="17" xfId="0" applyFont="1" applyBorder="1"/>
    <xf numFmtId="3" fontId="23" fillId="0" borderId="3" xfId="0" applyNumberFormat="1" applyFont="1" applyBorder="1"/>
    <xf numFmtId="3" fontId="4" fillId="7" borderId="5" xfId="0" applyNumberFormat="1" applyFont="1" applyFill="1" applyBorder="1"/>
    <xf numFmtId="0" fontId="10" fillId="7" borderId="4" xfId="0" applyFont="1" applyFill="1" applyBorder="1" applyAlignment="1">
      <alignment horizontal="left"/>
    </xf>
    <xf numFmtId="0" fontId="8" fillId="0" borderId="3" xfId="0" applyFont="1" applyBorder="1"/>
    <xf numFmtId="3" fontId="6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/>
    <xf numFmtId="3" fontId="14" fillId="0" borderId="1" xfId="0" applyNumberFormat="1" applyFont="1" applyBorder="1" applyAlignment="1">
      <alignment horizontal="right"/>
    </xf>
    <xf numFmtId="3" fontId="6" fillId="7" borderId="3" xfId="0" applyNumberFormat="1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horizontal="left"/>
    </xf>
    <xf numFmtId="0" fontId="3" fillId="0" borderId="3" xfId="0" applyFont="1" applyBorder="1"/>
    <xf numFmtId="3" fontId="32" fillId="0" borderId="0" xfId="0" applyNumberFormat="1" applyFont="1"/>
    <xf numFmtId="0" fontId="3" fillId="0" borderId="2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wrapText="1"/>
    </xf>
    <xf numFmtId="3" fontId="25" fillId="0" borderId="0" xfId="0" applyNumberFormat="1" applyFont="1"/>
    <xf numFmtId="0" fontId="25" fillId="0" borderId="0" xfId="0" applyFont="1"/>
    <xf numFmtId="3" fontId="4" fillId="0" borderId="2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vertical="center"/>
    </xf>
    <xf numFmtId="3" fontId="4" fillId="0" borderId="3" xfId="0" applyNumberFormat="1" applyFont="1" applyBorder="1"/>
    <xf numFmtId="0" fontId="4" fillId="0" borderId="2" xfId="0" applyFont="1" applyBorder="1" applyAlignment="1">
      <alignment vertical="center"/>
    </xf>
    <xf numFmtId="3" fontId="16" fillId="0" borderId="1" xfId="0" applyNumberFormat="1" applyFont="1" applyBorder="1" applyAlignment="1">
      <alignment horizontal="right"/>
    </xf>
    <xf numFmtId="0" fontId="3" fillId="6" borderId="0" xfId="0" applyFont="1" applyFill="1" applyAlignment="1">
      <alignment horizontal="right"/>
    </xf>
    <xf numFmtId="0" fontId="41" fillId="3" borderId="18" xfId="0" applyFont="1" applyFill="1" applyBorder="1" applyAlignment="1">
      <alignment horizontal="center" vertical="center" wrapText="1"/>
    </xf>
    <xf numFmtId="3" fontId="10" fillId="5" borderId="5" xfId="0" applyNumberFormat="1" applyFont="1" applyFill="1" applyBorder="1" applyAlignment="1">
      <alignment horizontal="right"/>
    </xf>
    <xf numFmtId="0" fontId="15" fillId="6" borderId="0" xfId="0" applyFont="1" applyFill="1"/>
    <xf numFmtId="3" fontId="3" fillId="6" borderId="0" xfId="0" applyNumberFormat="1" applyFont="1" applyFill="1" applyAlignment="1">
      <alignment horizontal="right"/>
    </xf>
    <xf numFmtId="0" fontId="16" fillId="6" borderId="0" xfId="0" applyFont="1" applyFill="1"/>
    <xf numFmtId="3" fontId="18" fillId="0" borderId="5" xfId="0" applyNumberFormat="1" applyFont="1" applyBorder="1"/>
    <xf numFmtId="3" fontId="8" fillId="2" borderId="1" xfId="0" applyNumberFormat="1" applyFont="1" applyFill="1" applyBorder="1" applyAlignment="1">
      <alignment horizontal="right"/>
    </xf>
    <xf numFmtId="3" fontId="13" fillId="6" borderId="0" xfId="0" applyNumberFormat="1" applyFont="1" applyFill="1"/>
    <xf numFmtId="0" fontId="5" fillId="2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wrapText="1"/>
    </xf>
    <xf numFmtId="3" fontId="6" fillId="0" borderId="0" xfId="0" applyNumberFormat="1" applyFont="1"/>
    <xf numFmtId="3" fontId="4" fillId="0" borderId="1" xfId="0" applyNumberFormat="1" applyFont="1" applyBorder="1" applyAlignment="1">
      <alignment horizontal="right" vertical="center"/>
    </xf>
    <xf numFmtId="3" fontId="33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3" fontId="16" fillId="0" borderId="1" xfId="0" applyNumberFormat="1" applyFont="1" applyBorder="1"/>
    <xf numFmtId="3" fontId="49" fillId="0" borderId="0" xfId="0" applyNumberFormat="1" applyFont="1"/>
    <xf numFmtId="3" fontId="0" fillId="9" borderId="19" xfId="0" applyNumberFormat="1" applyFill="1" applyBorder="1"/>
    <xf numFmtId="0" fontId="6" fillId="0" borderId="4" xfId="0" applyFont="1" applyBorder="1"/>
    <xf numFmtId="0" fontId="6" fillId="0" borderId="0" xfId="0" applyFont="1"/>
    <xf numFmtId="0" fontId="10" fillId="7" borderId="20" xfId="0" applyFont="1" applyFill="1" applyBorder="1" applyAlignment="1">
      <alignment horizontal="left"/>
    </xf>
    <xf numFmtId="3" fontId="4" fillId="7" borderId="21" xfId="0" applyNumberFormat="1" applyFont="1" applyFill="1" applyBorder="1"/>
    <xf numFmtId="0" fontId="72" fillId="0" borderId="0" xfId="0" applyFont="1"/>
    <xf numFmtId="0" fontId="73" fillId="0" borderId="0" xfId="0" applyFont="1"/>
    <xf numFmtId="0" fontId="73" fillId="6" borderId="0" xfId="0" applyFont="1" applyFill="1"/>
    <xf numFmtId="0" fontId="6" fillId="7" borderId="3" xfId="0" applyFont="1" applyFill="1" applyBorder="1"/>
    <xf numFmtId="0" fontId="5" fillId="7" borderId="4" xfId="0" applyFont="1" applyFill="1" applyBorder="1"/>
    <xf numFmtId="0" fontId="33" fillId="0" borderId="1" xfId="0" applyFont="1" applyBorder="1"/>
    <xf numFmtId="0" fontId="5" fillId="7" borderId="7" xfId="0" applyFont="1" applyFill="1" applyBorder="1"/>
    <xf numFmtId="3" fontId="5" fillId="7" borderId="7" xfId="0" applyNumberFormat="1" applyFont="1" applyFill="1" applyBorder="1"/>
    <xf numFmtId="0" fontId="4" fillId="7" borderId="4" xfId="0" applyFont="1" applyFill="1" applyBorder="1"/>
    <xf numFmtId="0" fontId="23" fillId="5" borderId="11" xfId="0" applyFont="1" applyFill="1" applyBorder="1" applyAlignment="1">
      <alignment horizontal="center"/>
    </xf>
    <xf numFmtId="3" fontId="48" fillId="0" borderId="0" xfId="0" applyNumberFormat="1" applyFont="1"/>
    <xf numFmtId="3" fontId="28" fillId="6" borderId="0" xfId="0" applyNumberFormat="1" applyFont="1" applyFill="1" applyAlignment="1">
      <alignment vertical="center"/>
    </xf>
    <xf numFmtId="0" fontId="3" fillId="5" borderId="4" xfId="0" applyFont="1" applyFill="1" applyBorder="1"/>
    <xf numFmtId="0" fontId="10" fillId="5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3" fontId="13" fillId="0" borderId="18" xfId="0" applyNumberFormat="1" applyFont="1" applyBorder="1"/>
    <xf numFmtId="3" fontId="30" fillId="3" borderId="8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Alignment="1">
      <alignment vertical="center"/>
    </xf>
    <xf numFmtId="0" fontId="23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3" fontId="10" fillId="5" borderId="5" xfId="0" applyNumberFormat="1" applyFont="1" applyFill="1" applyBorder="1"/>
    <xf numFmtId="0" fontId="16" fillId="0" borderId="1" xfId="0" applyFont="1" applyBorder="1"/>
    <xf numFmtId="3" fontId="33" fillId="0" borderId="1" xfId="0" applyNumberFormat="1" applyFont="1" applyBorder="1" applyAlignment="1">
      <alignment horizontal="left" vertical="center"/>
    </xf>
    <xf numFmtId="0" fontId="0" fillId="0" borderId="0" xfId="0" applyAlignment="1">
      <alignment wrapText="1"/>
    </xf>
    <xf numFmtId="3" fontId="3" fillId="0" borderId="3" xfId="0" applyNumberFormat="1" applyFont="1" applyBorder="1" applyAlignment="1">
      <alignment vertical="center" wrapText="1"/>
    </xf>
    <xf numFmtId="0" fontId="0" fillId="0" borderId="5" xfId="0" applyBorder="1"/>
    <xf numFmtId="3" fontId="6" fillId="7" borderId="1" xfId="0" applyNumberFormat="1" applyFont="1" applyFill="1" applyBorder="1" applyAlignment="1">
      <alignment horizontal="right"/>
    </xf>
    <xf numFmtId="3" fontId="6" fillId="7" borderId="2" xfId="0" applyNumberFormat="1" applyFont="1" applyFill="1" applyBorder="1" applyAlignment="1">
      <alignment horizontal="right"/>
    </xf>
    <xf numFmtId="3" fontId="4" fillId="7" borderId="5" xfId="0" applyNumberFormat="1" applyFont="1" applyFill="1" applyBorder="1" applyAlignment="1">
      <alignment horizontal="right"/>
    </xf>
    <xf numFmtId="3" fontId="6" fillId="7" borderId="3" xfId="0" applyNumberFormat="1" applyFont="1" applyFill="1" applyBorder="1" applyAlignment="1">
      <alignment horizontal="right"/>
    </xf>
    <xf numFmtId="3" fontId="34" fillId="0" borderId="1" xfId="0" applyNumberFormat="1" applyFont="1" applyBorder="1"/>
    <xf numFmtId="3" fontId="23" fillId="0" borderId="1" xfId="0" applyNumberFormat="1" applyFont="1" applyBorder="1"/>
    <xf numFmtId="3" fontId="6" fillId="5" borderId="22" xfId="0" applyNumberFormat="1" applyFont="1" applyFill="1" applyBorder="1"/>
    <xf numFmtId="3" fontId="6" fillId="5" borderId="2" xfId="0" applyNumberFormat="1" applyFont="1" applyFill="1" applyBorder="1"/>
    <xf numFmtId="3" fontId="6" fillId="5" borderId="1" xfId="0" applyNumberFormat="1" applyFont="1" applyFill="1" applyBorder="1"/>
    <xf numFmtId="3" fontId="6" fillId="5" borderId="5" xfId="0" applyNumberFormat="1" applyFont="1" applyFill="1" applyBorder="1"/>
    <xf numFmtId="3" fontId="6" fillId="5" borderId="3" xfId="0" applyNumberFormat="1" applyFont="1" applyFill="1" applyBorder="1"/>
    <xf numFmtId="3" fontId="6" fillId="5" borderId="23" xfId="0" applyNumberFormat="1" applyFont="1" applyFill="1" applyBorder="1"/>
    <xf numFmtId="3" fontId="6" fillId="5" borderId="12" xfId="0" applyNumberFormat="1" applyFont="1" applyFill="1" applyBorder="1"/>
    <xf numFmtId="3" fontId="6" fillId="9" borderId="6" xfId="0" applyNumberFormat="1" applyFont="1" applyFill="1" applyBorder="1"/>
    <xf numFmtId="3" fontId="6" fillId="5" borderId="10" xfId="0" applyNumberFormat="1" applyFont="1" applyFill="1" applyBorder="1"/>
    <xf numFmtId="3" fontId="10" fillId="5" borderId="6" xfId="0" applyNumberFormat="1" applyFont="1" applyFill="1" applyBorder="1"/>
    <xf numFmtId="0" fontId="4" fillId="0" borderId="3" xfId="0" applyFont="1" applyBorder="1" applyAlignment="1">
      <alignment horizontal="left" vertical="center"/>
    </xf>
    <xf numFmtId="3" fontId="5" fillId="0" borderId="3" xfId="0" applyNumberFormat="1" applyFont="1" applyBorder="1"/>
    <xf numFmtId="0" fontId="10" fillId="5" borderId="5" xfId="0" applyFont="1" applyFill="1" applyBorder="1" applyAlignment="1">
      <alignment horizontal="center" wrapText="1"/>
    </xf>
    <xf numFmtId="3" fontId="10" fillId="5" borderId="5" xfId="0" applyNumberFormat="1" applyFont="1" applyFill="1" applyBorder="1" applyAlignment="1">
      <alignment vertical="center"/>
    </xf>
    <xf numFmtId="3" fontId="10" fillId="5" borderId="6" xfId="0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horizontal="left" vertical="center"/>
    </xf>
    <xf numFmtId="3" fontId="4" fillId="5" borderId="5" xfId="0" applyNumberFormat="1" applyFont="1" applyFill="1" applyBorder="1" applyAlignment="1">
      <alignment horizontal="right"/>
    </xf>
    <xf numFmtId="0" fontId="4" fillId="5" borderId="4" xfId="0" applyFont="1" applyFill="1" applyBorder="1" applyAlignment="1">
      <alignment horizontal="left" vertical="center" wrapText="1"/>
    </xf>
    <xf numFmtId="0" fontId="4" fillId="5" borderId="4" xfId="0" applyFont="1" applyFill="1" applyBorder="1"/>
    <xf numFmtId="3" fontId="6" fillId="0" borderId="3" xfId="0" applyNumberFormat="1" applyFont="1" applyBorder="1" applyAlignment="1">
      <alignment vertical="center" wrapText="1"/>
    </xf>
    <xf numFmtId="3" fontId="16" fillId="0" borderId="16" xfId="0" applyNumberFormat="1" applyFont="1" applyBorder="1" applyAlignment="1">
      <alignment vertical="center"/>
    </xf>
    <xf numFmtId="3" fontId="3" fillId="9" borderId="1" xfId="0" applyNumberFormat="1" applyFont="1" applyFill="1" applyBorder="1" applyAlignment="1">
      <alignment horizontal="right"/>
    </xf>
    <xf numFmtId="3" fontId="3" fillId="0" borderId="3" xfId="0" applyNumberFormat="1" applyFont="1" applyBorder="1" applyAlignment="1">
      <alignment vertical="center"/>
    </xf>
    <xf numFmtId="3" fontId="23" fillId="0" borderId="0" xfId="0" applyNumberFormat="1" applyFont="1"/>
    <xf numFmtId="0" fontId="74" fillId="0" borderId="0" xfId="0" applyFont="1"/>
    <xf numFmtId="0" fontId="6" fillId="5" borderId="4" xfId="0" applyFont="1" applyFill="1" applyBorder="1"/>
    <xf numFmtId="0" fontId="75" fillId="6" borderId="0" xfId="0" applyFont="1" applyFill="1"/>
    <xf numFmtId="0" fontId="76" fillId="0" borderId="0" xfId="0" applyFont="1"/>
    <xf numFmtId="3" fontId="33" fillId="0" borderId="3" xfId="0" applyNumberFormat="1" applyFont="1" applyBorder="1" applyAlignment="1">
      <alignment horizontal="right"/>
    </xf>
    <xf numFmtId="0" fontId="6" fillId="9" borderId="4" xfId="0" applyFont="1" applyFill="1" applyBorder="1" applyAlignment="1">
      <alignment wrapText="1"/>
    </xf>
    <xf numFmtId="3" fontId="6" fillId="9" borderId="6" xfId="0" applyNumberFormat="1" applyFont="1" applyFill="1" applyBorder="1" applyAlignment="1">
      <alignment vertical="center"/>
    </xf>
    <xf numFmtId="3" fontId="51" fillId="0" borderId="1" xfId="0" applyNumberFormat="1" applyFont="1" applyBorder="1" applyAlignment="1">
      <alignment horizontal="right"/>
    </xf>
    <xf numFmtId="0" fontId="34" fillId="0" borderId="1" xfId="0" applyFont="1" applyBorder="1"/>
    <xf numFmtId="0" fontId="34" fillId="0" borderId="1" xfId="0" applyFont="1" applyBorder="1" applyAlignment="1">
      <alignment horizontal="left"/>
    </xf>
    <xf numFmtId="0" fontId="34" fillId="0" borderId="1" xfId="0" applyFont="1" applyBorder="1" applyAlignment="1">
      <alignment horizontal="left" wrapText="1"/>
    </xf>
    <xf numFmtId="0" fontId="34" fillId="0" borderId="3" xfId="0" applyFont="1" applyBorder="1"/>
    <xf numFmtId="3" fontId="23" fillId="0" borderId="2" xfId="0" applyNumberFormat="1" applyFont="1" applyBorder="1"/>
    <xf numFmtId="3" fontId="34" fillId="0" borderId="2" xfId="0" applyNumberFormat="1" applyFont="1" applyBorder="1"/>
    <xf numFmtId="0" fontId="25" fillId="0" borderId="11" xfId="0" applyFont="1" applyBorder="1"/>
    <xf numFmtId="0" fontId="25" fillId="6" borderId="0" xfId="0" applyFont="1" applyFill="1"/>
    <xf numFmtId="0" fontId="49" fillId="0" borderId="3" xfId="0" applyFont="1" applyBorder="1"/>
    <xf numFmtId="0" fontId="49" fillId="0" borderId="1" xfId="0" applyFont="1" applyBorder="1"/>
    <xf numFmtId="0" fontId="25" fillId="0" borderId="17" xfId="0" applyFont="1" applyBorder="1"/>
    <xf numFmtId="0" fontId="49" fillId="0" borderId="17" xfId="0" applyFont="1" applyBorder="1"/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 wrapText="1"/>
    </xf>
    <xf numFmtId="0" fontId="6" fillId="5" borderId="9" xfId="0" applyFont="1" applyFill="1" applyBorder="1" applyAlignment="1">
      <alignment horizontal="left"/>
    </xf>
    <xf numFmtId="0" fontId="17" fillId="3" borderId="22" xfId="0" applyFont="1" applyFill="1" applyBorder="1" applyAlignment="1">
      <alignment horizontal="center" vertical="center"/>
    </xf>
    <xf numFmtId="3" fontId="33" fillId="9" borderId="5" xfId="0" applyNumberFormat="1" applyFont="1" applyFill="1" applyBorder="1" applyAlignment="1">
      <alignment horizontal="right"/>
    </xf>
    <xf numFmtId="0" fontId="26" fillId="0" borderId="25" xfId="0" applyFont="1" applyBorder="1" applyAlignment="1">
      <alignment horizontal="center" vertical="center" wrapText="1"/>
    </xf>
    <xf numFmtId="0" fontId="25" fillId="0" borderId="26" xfId="0" applyFont="1" applyBorder="1"/>
    <xf numFmtId="3" fontId="3" fillId="8" borderId="3" xfId="0" applyNumberFormat="1" applyFont="1" applyFill="1" applyBorder="1"/>
    <xf numFmtId="3" fontId="6" fillId="8" borderId="1" xfId="0" applyNumberFormat="1" applyFont="1" applyFill="1" applyBorder="1"/>
    <xf numFmtId="0" fontId="8" fillId="0" borderId="0" xfId="0" applyFont="1"/>
    <xf numFmtId="0" fontId="49" fillId="9" borderId="27" xfId="0" applyFont="1" applyFill="1" applyBorder="1"/>
    <xf numFmtId="0" fontId="23" fillId="0" borderId="2" xfId="0" applyFont="1" applyBorder="1" applyAlignment="1">
      <alignment horizontal="center"/>
    </xf>
    <xf numFmtId="0" fontId="3" fillId="5" borderId="11" xfId="0" applyFont="1" applyFill="1" applyBorder="1" applyAlignment="1">
      <alignment horizontal="center" wrapText="1"/>
    </xf>
    <xf numFmtId="3" fontId="6" fillId="8" borderId="4" xfId="0" applyNumberFormat="1" applyFont="1" applyFill="1" applyBorder="1" applyAlignment="1">
      <alignment horizontal="left" vertical="center" wrapText="1"/>
    </xf>
    <xf numFmtId="3" fontId="3" fillId="0" borderId="11" xfId="0" applyNumberFormat="1" applyFont="1" applyBorder="1" applyAlignment="1">
      <alignment horizontal="left" vertical="center" wrapText="1"/>
    </xf>
    <xf numFmtId="3" fontId="6" fillId="0" borderId="12" xfId="0" applyNumberFormat="1" applyFont="1" applyBorder="1" applyAlignment="1">
      <alignment vertical="center"/>
    </xf>
    <xf numFmtId="3" fontId="32" fillId="0" borderId="16" xfId="0" applyNumberFormat="1" applyFont="1" applyBorder="1" applyAlignment="1">
      <alignment vertical="center"/>
    </xf>
    <xf numFmtId="3" fontId="6" fillId="0" borderId="28" xfId="0" applyNumberFormat="1" applyFont="1" applyBorder="1" applyAlignment="1">
      <alignment vertical="center"/>
    </xf>
    <xf numFmtId="3" fontId="28" fillId="6" borderId="0" xfId="0" applyNumberFormat="1" applyFont="1" applyFill="1" applyAlignment="1">
      <alignment horizontal="right" vertical="center"/>
    </xf>
    <xf numFmtId="3" fontId="46" fillId="0" borderId="16" xfId="0" applyNumberFormat="1" applyFont="1" applyBorder="1" applyAlignment="1">
      <alignment vertical="center"/>
    </xf>
    <xf numFmtId="3" fontId="31" fillId="0" borderId="16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horizontal="left" vertical="center" wrapText="1"/>
    </xf>
    <xf numFmtId="3" fontId="6" fillId="0" borderId="10" xfId="1" applyNumberFormat="1" applyFont="1" applyFill="1" applyBorder="1" applyAlignment="1">
      <alignment horizontal="right" vertical="center"/>
    </xf>
    <xf numFmtId="3" fontId="3" fillId="0" borderId="29" xfId="0" applyNumberFormat="1" applyFont="1" applyBorder="1" applyAlignment="1">
      <alignment horizontal="left" vertical="center" wrapText="1"/>
    </xf>
    <xf numFmtId="3" fontId="6" fillId="8" borderId="3" xfId="0" applyNumberFormat="1" applyFont="1" applyFill="1" applyBorder="1" applyAlignment="1">
      <alignment horizontal="right" vertical="center" wrapText="1"/>
    </xf>
    <xf numFmtId="3" fontId="3" fillId="8" borderId="3" xfId="0" applyNumberFormat="1" applyFont="1" applyFill="1" applyBorder="1" applyAlignment="1">
      <alignment horizontal="right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center"/>
    </xf>
    <xf numFmtId="3" fontId="4" fillId="5" borderId="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4" applyFont="1"/>
    <xf numFmtId="0" fontId="3" fillId="0" borderId="0" xfId="4" applyFont="1" applyAlignment="1">
      <alignment horizontal="right"/>
    </xf>
    <xf numFmtId="0" fontId="27" fillId="7" borderId="4" xfId="4" applyFont="1" applyFill="1" applyBorder="1" applyAlignment="1">
      <alignment horizontal="center" vertical="top" wrapText="1"/>
    </xf>
    <xf numFmtId="0" fontId="27" fillId="7" borderId="5" xfId="4" applyFont="1" applyFill="1" applyBorder="1" applyAlignment="1">
      <alignment horizontal="center" vertical="center" wrapText="1"/>
    </xf>
    <xf numFmtId="0" fontId="27" fillId="7" borderId="25" xfId="4" applyFont="1" applyFill="1" applyBorder="1" applyAlignment="1">
      <alignment horizontal="center" vertical="center" wrapText="1"/>
    </xf>
    <xf numFmtId="0" fontId="6" fillId="0" borderId="0" xfId="4" applyFont="1"/>
    <xf numFmtId="0" fontId="3" fillId="0" borderId="9" xfId="4" applyFont="1" applyBorder="1" applyAlignment="1">
      <alignment horizontal="center" vertical="top" wrapText="1"/>
    </xf>
    <xf numFmtId="0" fontId="3" fillId="0" borderId="3" xfId="4" applyFont="1" applyBorder="1" applyAlignment="1">
      <alignment horizontal="left" vertical="top" wrapText="1"/>
    </xf>
    <xf numFmtId="3" fontId="3" fillId="0" borderId="3" xfId="4" applyNumberFormat="1" applyFont="1" applyBorder="1" applyAlignment="1">
      <alignment horizontal="right" vertical="top" wrapText="1"/>
    </xf>
    <xf numFmtId="3" fontId="3" fillId="7" borderId="31" xfId="4" applyNumberFormat="1" applyFont="1" applyFill="1" applyBorder="1" applyAlignment="1">
      <alignment horizontal="right" vertical="top" wrapText="1"/>
    </xf>
    <xf numFmtId="0" fontId="3" fillId="0" borderId="11" xfId="4" applyFont="1" applyBorder="1" applyAlignment="1">
      <alignment horizontal="center" vertical="top" wrapText="1"/>
    </xf>
    <xf numFmtId="0" fontId="3" fillId="0" borderId="1" xfId="4" applyFont="1" applyBorder="1" applyAlignment="1">
      <alignment horizontal="left" vertical="top" wrapText="1"/>
    </xf>
    <xf numFmtId="3" fontId="3" fillId="0" borderId="1" xfId="4" applyNumberFormat="1" applyFont="1" applyBorder="1" applyAlignment="1">
      <alignment horizontal="right" vertical="top" wrapText="1"/>
    </xf>
    <xf numFmtId="3" fontId="3" fillId="7" borderId="32" xfId="4" applyNumberFormat="1" applyFont="1" applyFill="1" applyBorder="1" applyAlignment="1">
      <alignment horizontal="right" vertical="top" wrapText="1"/>
    </xf>
    <xf numFmtId="3" fontId="3" fillId="0" borderId="0" xfId="4" applyNumberFormat="1" applyFont="1"/>
    <xf numFmtId="0" fontId="6" fillId="0" borderId="11" xfId="4" applyFont="1" applyBorder="1" applyAlignment="1">
      <alignment horizontal="center" vertical="top" wrapText="1"/>
    </xf>
    <xf numFmtId="0" fontId="6" fillId="0" borderId="1" xfId="4" applyFont="1" applyBorder="1" applyAlignment="1">
      <alignment horizontal="left" vertical="top" wrapText="1"/>
    </xf>
    <xf numFmtId="3" fontId="6" fillId="0" borderId="1" xfId="4" applyNumberFormat="1" applyFont="1" applyBorder="1" applyAlignment="1">
      <alignment horizontal="right" vertical="top" wrapText="1"/>
    </xf>
    <xf numFmtId="3" fontId="6" fillId="7" borderId="32" xfId="4" applyNumberFormat="1" applyFont="1" applyFill="1" applyBorder="1" applyAlignment="1">
      <alignment horizontal="right" vertical="top" wrapText="1"/>
    </xf>
    <xf numFmtId="3" fontId="16" fillId="0" borderId="0" xfId="4" applyNumberFormat="1" applyFont="1"/>
    <xf numFmtId="3" fontId="3" fillId="0" borderId="1" xfId="4" applyNumberFormat="1" applyFont="1" applyBorder="1" applyAlignment="1">
      <alignment horizontal="right" vertical="center" wrapText="1"/>
    </xf>
    <xf numFmtId="3" fontId="3" fillId="7" borderId="32" xfId="4" applyNumberFormat="1" applyFont="1" applyFill="1" applyBorder="1" applyAlignment="1">
      <alignment horizontal="right" vertical="center" wrapText="1"/>
    </xf>
    <xf numFmtId="0" fontId="6" fillId="0" borderId="13" xfId="4" applyFont="1" applyBorder="1" applyAlignment="1">
      <alignment horizontal="center" vertical="top" wrapText="1"/>
    </xf>
    <xf numFmtId="0" fontId="6" fillId="0" borderId="8" xfId="4" applyFont="1" applyBorder="1" applyAlignment="1">
      <alignment horizontal="left" vertical="top" wrapText="1"/>
    </xf>
    <xf numFmtId="3" fontId="6" fillId="0" borderId="8" xfId="4" applyNumberFormat="1" applyFont="1" applyBorder="1" applyAlignment="1">
      <alignment horizontal="right" vertical="top" wrapText="1"/>
    </xf>
    <xf numFmtId="3" fontId="6" fillId="7" borderId="33" xfId="4" applyNumberFormat="1" applyFont="1" applyFill="1" applyBorder="1" applyAlignment="1">
      <alignment horizontal="right" vertical="top" wrapText="1"/>
    </xf>
    <xf numFmtId="0" fontId="27" fillId="7" borderId="1" xfId="4" applyFont="1" applyFill="1" applyBorder="1" applyAlignment="1">
      <alignment horizontal="center" vertical="top" wrapText="1"/>
    </xf>
    <xf numFmtId="0" fontId="27" fillId="7" borderId="1" xfId="4" applyFont="1" applyFill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top" wrapText="1"/>
    </xf>
    <xf numFmtId="0" fontId="6" fillId="0" borderId="1" xfId="4" applyFont="1" applyBorder="1" applyAlignment="1">
      <alignment horizontal="center" vertical="top" wrapText="1"/>
    </xf>
    <xf numFmtId="0" fontId="3" fillId="0" borderId="1" xfId="4" applyFont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top" wrapText="1"/>
    </xf>
    <xf numFmtId="0" fontId="27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right" vertical="top" wrapText="1"/>
    </xf>
    <xf numFmtId="0" fontId="21" fillId="0" borderId="0" xfId="6" applyFont="1" applyAlignment="1">
      <alignment vertical="center"/>
    </xf>
    <xf numFmtId="0" fontId="3" fillId="0" borderId="0" xfId="6" applyFont="1" applyAlignment="1">
      <alignment horizontal="right" vertical="center"/>
    </xf>
    <xf numFmtId="3" fontId="21" fillId="0" borderId="0" xfId="6" applyNumberFormat="1" applyFont="1" applyAlignment="1">
      <alignment vertical="center"/>
    </xf>
    <xf numFmtId="3" fontId="19" fillId="0" borderId="0" xfId="0" applyNumberFormat="1" applyFont="1"/>
    <xf numFmtId="0" fontId="22" fillId="0" borderId="0" xfId="6" applyFont="1" applyAlignment="1">
      <alignment horizontal="right" vertical="center"/>
    </xf>
    <xf numFmtId="0" fontId="3" fillId="0" borderId="13" xfId="6" applyFont="1" applyBorder="1" applyAlignment="1">
      <alignment horizontal="center" vertical="center" wrapText="1"/>
    </xf>
    <xf numFmtId="0" fontId="3" fillId="0" borderId="8" xfId="6" applyFont="1" applyBorder="1" applyAlignment="1">
      <alignment horizontal="center" vertical="center" wrapText="1"/>
    </xf>
    <xf numFmtId="0" fontId="6" fillId="0" borderId="8" xfId="6" applyFont="1" applyBorder="1" applyAlignment="1">
      <alignment horizontal="center" vertical="center" wrapText="1"/>
    </xf>
    <xf numFmtId="0" fontId="6" fillId="0" borderId="14" xfId="6" applyFont="1" applyBorder="1" applyAlignment="1">
      <alignment horizontal="center" vertical="center" wrapText="1"/>
    </xf>
    <xf numFmtId="0" fontId="33" fillId="0" borderId="3" xfId="6" applyFont="1" applyBorder="1" applyAlignment="1">
      <alignment horizontal="left" vertical="center" wrapText="1"/>
    </xf>
    <xf numFmtId="3" fontId="6" fillId="0" borderId="3" xfId="6" applyNumberFormat="1" applyFont="1" applyBorder="1" applyAlignment="1">
      <alignment horizontal="right" vertical="center" wrapText="1"/>
    </xf>
    <xf numFmtId="0" fontId="3" fillId="0" borderId="1" xfId="6" applyFont="1" applyBorder="1" applyAlignment="1">
      <alignment horizontal="left" vertical="center" wrapText="1"/>
    </xf>
    <xf numFmtId="0" fontId="6" fillId="0" borderId="1" xfId="6" applyFont="1" applyBorder="1" applyAlignment="1">
      <alignment horizontal="left" vertical="center" wrapText="1"/>
    </xf>
    <xf numFmtId="3" fontId="6" fillId="0" borderId="1" xfId="6" applyNumberFormat="1" applyFont="1" applyBorder="1" applyAlignment="1">
      <alignment horizontal="right" vertical="center" wrapText="1"/>
    </xf>
    <xf numFmtId="3" fontId="3" fillId="0" borderId="1" xfId="6" applyNumberFormat="1" applyFont="1" applyBorder="1" applyAlignment="1">
      <alignment horizontal="right" vertical="center" wrapText="1"/>
    </xf>
    <xf numFmtId="0" fontId="33" fillId="0" borderId="1" xfId="6" applyFont="1" applyBorder="1" applyAlignment="1">
      <alignment horizontal="left" vertical="center" wrapText="1"/>
    </xf>
    <xf numFmtId="0" fontId="33" fillId="0" borderId="1" xfId="6" applyFont="1" applyBorder="1" applyAlignment="1">
      <alignment vertical="center" wrapText="1"/>
    </xf>
    <xf numFmtId="0" fontId="55" fillId="0" borderId="1" xfId="6" applyFont="1" applyBorder="1" applyAlignment="1">
      <alignment horizontal="left" vertical="center" wrapText="1"/>
    </xf>
    <xf numFmtId="3" fontId="57" fillId="0" borderId="0" xfId="6" applyNumberFormat="1" applyFont="1" applyAlignment="1">
      <alignment vertical="center"/>
    </xf>
    <xf numFmtId="3" fontId="16" fillId="0" borderId="1" xfId="6" applyNumberFormat="1" applyFont="1" applyBorder="1" applyAlignment="1">
      <alignment horizontal="right" vertical="center" wrapText="1"/>
    </xf>
    <xf numFmtId="3" fontId="17" fillId="0" borderId="1" xfId="6" applyNumberFormat="1" applyFont="1" applyBorder="1" applyAlignment="1">
      <alignment horizontal="right" vertical="center" wrapText="1"/>
    </xf>
    <xf numFmtId="0" fontId="56" fillId="0" borderId="1" xfId="6" applyFont="1" applyBorder="1" applyAlignment="1">
      <alignment horizontal="left" vertical="center" wrapText="1"/>
    </xf>
    <xf numFmtId="3" fontId="58" fillId="0" borderId="1" xfId="6" applyNumberFormat="1" applyFont="1" applyBorder="1" applyAlignment="1">
      <alignment horizontal="right" vertical="center" wrapText="1"/>
    </xf>
    <xf numFmtId="3" fontId="6" fillId="0" borderId="1" xfId="6" applyNumberFormat="1" applyFont="1" applyBorder="1" applyAlignment="1">
      <alignment horizontal="right" vertical="top" wrapText="1"/>
    </xf>
    <xf numFmtId="3" fontId="56" fillId="0" borderId="1" xfId="6" applyNumberFormat="1" applyFont="1" applyBorder="1" applyAlignment="1">
      <alignment horizontal="right" vertical="center" wrapText="1"/>
    </xf>
    <xf numFmtId="0" fontId="6" fillId="0" borderId="1" xfId="6" applyFont="1" applyBorder="1" applyAlignment="1">
      <alignment horizontal="justify" vertical="center" wrapText="1"/>
    </xf>
    <xf numFmtId="0" fontId="3" fillId="0" borderId="1" xfId="6" applyFont="1" applyBorder="1" applyAlignment="1">
      <alignment horizontal="justify" vertical="center" wrapText="1"/>
    </xf>
    <xf numFmtId="3" fontId="58" fillId="0" borderId="0" xfId="6" applyNumberFormat="1" applyFont="1" applyAlignment="1">
      <alignment vertical="center" wrapText="1"/>
    </xf>
    <xf numFmtId="0" fontId="14" fillId="0" borderId="1" xfId="6" applyFont="1" applyBorder="1" applyAlignment="1">
      <alignment horizontal="left" vertical="center" wrapText="1"/>
    </xf>
    <xf numFmtId="0" fontId="59" fillId="0" borderId="1" xfId="6" applyFont="1" applyBorder="1" applyAlignment="1">
      <alignment horizontal="left" vertical="center" wrapText="1"/>
    </xf>
    <xf numFmtId="0" fontId="60" fillId="0" borderId="1" xfId="6" applyFont="1" applyBorder="1" applyAlignment="1">
      <alignment horizontal="left" vertical="center" wrapText="1"/>
    </xf>
    <xf numFmtId="3" fontId="6" fillId="4" borderId="1" xfId="6" applyNumberFormat="1" applyFont="1" applyFill="1" applyBorder="1" applyAlignment="1">
      <alignment horizontal="right" vertical="center" wrapText="1"/>
    </xf>
    <xf numFmtId="0" fontId="3" fillId="0" borderId="0" xfId="6" applyFont="1" applyAlignment="1">
      <alignment horizontal="justify" vertical="center"/>
    </xf>
    <xf numFmtId="3" fontId="53" fillId="0" borderId="0" xfId="6" applyNumberFormat="1" applyFont="1" applyAlignment="1">
      <alignment horizontal="right" vertical="center"/>
    </xf>
    <xf numFmtId="0" fontId="56" fillId="0" borderId="0" xfId="6" applyFont="1" applyAlignment="1">
      <alignment vertical="center"/>
    </xf>
    <xf numFmtId="0" fontId="56" fillId="0" borderId="0" xfId="6" applyFont="1" applyAlignment="1">
      <alignment horizontal="right" vertical="center"/>
    </xf>
    <xf numFmtId="0" fontId="6" fillId="0" borderId="6" xfId="6" applyFont="1" applyBorder="1" applyAlignment="1">
      <alignment horizontal="center" vertical="center" wrapText="1"/>
    </xf>
    <xf numFmtId="0" fontId="21" fillId="0" borderId="3" xfId="6" applyFont="1" applyBorder="1" applyAlignment="1">
      <alignment vertical="center"/>
    </xf>
    <xf numFmtId="0" fontId="56" fillId="0" borderId="3" xfId="6" applyFont="1" applyBorder="1" applyAlignment="1">
      <alignment horizontal="left" vertical="center" wrapText="1"/>
    </xf>
    <xf numFmtId="3" fontId="3" fillId="0" borderId="3" xfId="6" applyNumberFormat="1" applyFont="1" applyBorder="1" applyAlignment="1">
      <alignment horizontal="right" vertical="center" wrapText="1"/>
    </xf>
    <xf numFmtId="0" fontId="21" fillId="0" borderId="1" xfId="6" applyFont="1" applyBorder="1" applyAlignment="1">
      <alignment vertical="center"/>
    </xf>
    <xf numFmtId="0" fontId="58" fillId="0" borderId="1" xfId="6" applyFont="1" applyBorder="1" applyAlignment="1">
      <alignment horizontal="left" vertical="center" wrapText="1"/>
    </xf>
    <xf numFmtId="0" fontId="62" fillId="0" borderId="0" xfId="6" applyFont="1" applyAlignment="1">
      <alignment horizontal="left" vertical="center"/>
    </xf>
    <xf numFmtId="0" fontId="61" fillId="0" borderId="0" xfId="6" applyFont="1" applyAlignment="1">
      <alignment horizontal="center" vertical="center"/>
    </xf>
    <xf numFmtId="0" fontId="56" fillId="0" borderId="0" xfId="6" applyFont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6" fillId="0" borderId="1" xfId="6" applyFont="1" applyBorder="1" applyAlignment="1">
      <alignment horizontal="left" vertical="center"/>
    </xf>
    <xf numFmtId="3" fontId="3" fillId="0" borderId="1" xfId="2" applyNumberFormat="1" applyFont="1" applyFill="1" applyBorder="1" applyAlignment="1" applyProtection="1">
      <alignment horizontal="center" vertical="center"/>
    </xf>
    <xf numFmtId="0" fontId="3" fillId="0" borderId="1" xfId="6" applyFont="1" applyBorder="1" applyAlignment="1">
      <alignment vertical="center"/>
    </xf>
    <xf numFmtId="0" fontId="3" fillId="0" borderId="16" xfId="6" applyFont="1" applyBorder="1" applyAlignment="1">
      <alignment vertical="center"/>
    </xf>
    <xf numFmtId="0" fontId="3" fillId="0" borderId="34" xfId="6" applyFont="1" applyBorder="1" applyAlignment="1">
      <alignment horizontal="center"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vertical="center"/>
    </xf>
    <xf numFmtId="3" fontId="3" fillId="0" borderId="0" xfId="2" applyNumberFormat="1" applyFont="1" applyFill="1" applyBorder="1" applyAlignment="1" applyProtection="1">
      <alignment horizontal="center" vertical="center"/>
    </xf>
    <xf numFmtId="0" fontId="3" fillId="0" borderId="0" xfId="6" applyFont="1" applyAlignment="1">
      <alignment horizontal="left" vertical="center"/>
    </xf>
    <xf numFmtId="0" fontId="3" fillId="0" borderId="1" xfId="6" applyFont="1" applyBorder="1" applyAlignment="1">
      <alignment horizontal="left" vertical="center"/>
    </xf>
    <xf numFmtId="0" fontId="3" fillId="0" borderId="1" xfId="6" applyFont="1" applyBorder="1" applyAlignment="1">
      <alignment vertical="center" wrapText="1"/>
    </xf>
    <xf numFmtId="3" fontId="9" fillId="0" borderId="10" xfId="0" applyNumberFormat="1" applyFont="1" applyBorder="1"/>
    <xf numFmtId="0" fontId="8" fillId="0" borderId="11" xfId="0" applyFont="1" applyBorder="1"/>
    <xf numFmtId="3" fontId="8" fillId="0" borderId="12" xfId="0" applyNumberFormat="1" applyFont="1" applyBorder="1"/>
    <xf numFmtId="0" fontId="8" fillId="0" borderId="13" xfId="0" applyFont="1" applyBorder="1"/>
    <xf numFmtId="3" fontId="8" fillId="0" borderId="14" xfId="0" applyNumberFormat="1" applyFont="1" applyBorder="1"/>
    <xf numFmtId="0" fontId="9" fillId="0" borderId="9" xfId="0" applyFont="1" applyBorder="1" applyAlignment="1">
      <alignment horizontal="left" wrapText="1"/>
    </xf>
    <xf numFmtId="3" fontId="0" fillId="0" borderId="12" xfId="0" applyNumberFormat="1" applyBorder="1"/>
    <xf numFmtId="0" fontId="9" fillId="0" borderId="11" xfId="0" applyFont="1" applyBorder="1" applyAlignment="1">
      <alignment wrapText="1"/>
    </xf>
    <xf numFmtId="0" fontId="0" fillId="0" borderId="0" xfId="0" applyAlignment="1">
      <alignment vertical="center"/>
    </xf>
    <xf numFmtId="3" fontId="13" fillId="0" borderId="0" xfId="0" applyNumberFormat="1" applyFont="1" applyAlignment="1">
      <alignment vertical="center"/>
    </xf>
    <xf numFmtId="0" fontId="0" fillId="0" borderId="13" xfId="0" applyBorder="1"/>
    <xf numFmtId="0" fontId="9" fillId="0" borderId="9" xfId="0" applyFont="1" applyBorder="1" applyAlignment="1">
      <alignment vertical="center" wrapText="1"/>
    </xf>
    <xf numFmtId="3" fontId="9" fillId="0" borderId="10" xfId="0" applyNumberFormat="1" applyFont="1" applyBorder="1" applyAlignment="1">
      <alignment vertical="center"/>
    </xf>
    <xf numFmtId="3" fontId="13" fillId="0" borderId="12" xfId="0" applyNumberFormat="1" applyFont="1" applyBorder="1"/>
    <xf numFmtId="0" fontId="13" fillId="0" borderId="11" xfId="0" applyFont="1" applyBorder="1" applyAlignment="1">
      <alignment horizontal="left"/>
    </xf>
    <xf numFmtId="3" fontId="0" fillId="0" borderId="14" xfId="0" applyNumberFormat="1" applyBorder="1"/>
    <xf numFmtId="3" fontId="39" fillId="7" borderId="35" xfId="0" applyNumberFormat="1" applyFont="1" applyFill="1" applyBorder="1" applyAlignment="1">
      <alignment horizontal="center" vertical="center" wrapText="1"/>
    </xf>
    <xf numFmtId="0" fontId="77" fillId="0" borderId="1" xfId="0" applyFont="1" applyBorder="1" applyAlignment="1">
      <alignment wrapText="1"/>
    </xf>
    <xf numFmtId="49" fontId="0" fillId="0" borderId="1" xfId="0" applyNumberFormat="1" applyBorder="1" applyAlignment="1">
      <alignment wrapText="1"/>
    </xf>
    <xf numFmtId="3" fontId="7" fillId="0" borderId="1" xfId="0" applyNumberFormat="1" applyFont="1" applyBorder="1" applyAlignment="1">
      <alignment horizontal="right"/>
    </xf>
    <xf numFmtId="0" fontId="41" fillId="3" borderId="36" xfId="0" applyFont="1" applyFill="1" applyBorder="1" applyAlignment="1">
      <alignment horizontal="center" vertical="center" wrapText="1"/>
    </xf>
    <xf numFmtId="0" fontId="41" fillId="3" borderId="37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center"/>
    </xf>
    <xf numFmtId="0" fontId="78" fillId="0" borderId="0" xfId="5" applyFont="1"/>
    <xf numFmtId="0" fontId="78" fillId="6" borderId="0" xfId="5" applyFont="1" applyFill="1"/>
    <xf numFmtId="0" fontId="79" fillId="0" borderId="0" xfId="5" applyFont="1"/>
    <xf numFmtId="0" fontId="79" fillId="0" borderId="0" xfId="5" applyFont="1" applyAlignment="1">
      <alignment wrapText="1"/>
    </xf>
    <xf numFmtId="0" fontId="80" fillId="5" borderId="8" xfId="5" applyFont="1" applyFill="1" applyBorder="1" applyAlignment="1">
      <alignment horizontal="center"/>
    </xf>
    <xf numFmtId="0" fontId="80" fillId="5" borderId="14" xfId="5" applyFont="1" applyFill="1" applyBorder="1" applyAlignment="1">
      <alignment horizontal="center"/>
    </xf>
    <xf numFmtId="0" fontId="81" fillId="0" borderId="3" xfId="5" applyFont="1" applyBorder="1"/>
    <xf numFmtId="3" fontId="82" fillId="0" borderId="3" xfId="5" applyNumberFormat="1" applyFont="1" applyBorder="1" applyAlignment="1">
      <alignment horizontal="right"/>
    </xf>
    <xf numFmtId="3" fontId="77" fillId="0" borderId="0" xfId="5" applyNumberFormat="1" applyFont="1"/>
    <xf numFmtId="3" fontId="82" fillId="0" borderId="1" xfId="5" applyNumberFormat="1" applyFont="1" applyBorder="1" applyAlignment="1">
      <alignment horizontal="right"/>
    </xf>
    <xf numFmtId="0" fontId="81" fillId="0" borderId="7" xfId="5" applyFont="1" applyBorder="1"/>
    <xf numFmtId="3" fontId="82" fillId="0" borderId="2" xfId="5" applyNumberFormat="1" applyFont="1" applyBorder="1" applyAlignment="1">
      <alignment horizontal="right"/>
    </xf>
    <xf numFmtId="0" fontId="83" fillId="7" borderId="1" xfId="5" applyFont="1" applyFill="1" applyBorder="1"/>
    <xf numFmtId="3" fontId="77" fillId="7" borderId="1" xfId="5" applyNumberFormat="1" applyFont="1" applyFill="1" applyBorder="1" applyAlignment="1">
      <alignment horizontal="right"/>
    </xf>
    <xf numFmtId="0" fontId="83" fillId="8" borderId="1" xfId="5" applyFont="1" applyFill="1" applyBorder="1"/>
    <xf numFmtId="3" fontId="77" fillId="8" borderId="1" xfId="5" applyNumberFormat="1" applyFont="1" applyFill="1" applyBorder="1" applyAlignment="1">
      <alignment horizontal="right"/>
    </xf>
    <xf numFmtId="0" fontId="83" fillId="0" borderId="3" xfId="5" applyFont="1" applyBorder="1"/>
    <xf numFmtId="3" fontId="77" fillId="0" borderId="3" xfId="5" applyNumberFormat="1" applyFont="1" applyBorder="1" applyAlignment="1">
      <alignment horizontal="right"/>
    </xf>
    <xf numFmtId="0" fontId="83" fillId="0" borderId="1" xfId="5" applyFont="1" applyBorder="1"/>
    <xf numFmtId="3" fontId="77" fillId="0" borderId="1" xfId="5" applyNumberFormat="1" applyFont="1" applyBorder="1" applyAlignment="1">
      <alignment horizontal="right"/>
    </xf>
    <xf numFmtId="0" fontId="84" fillId="0" borderId="1" xfId="5" applyFont="1" applyBorder="1" applyAlignment="1">
      <alignment wrapText="1"/>
    </xf>
    <xf numFmtId="0" fontId="83" fillId="0" borderId="1" xfId="5" applyFont="1" applyBorder="1" applyAlignment="1">
      <alignment wrapText="1"/>
    </xf>
    <xf numFmtId="0" fontId="83" fillId="0" borderId="1" xfId="5" applyFont="1" applyBorder="1" applyAlignment="1">
      <alignment vertical="center" wrapText="1"/>
    </xf>
    <xf numFmtId="0" fontId="83" fillId="7" borderId="1" xfId="5" applyFont="1" applyFill="1" applyBorder="1" applyAlignment="1">
      <alignment vertical="center" wrapText="1"/>
    </xf>
    <xf numFmtId="3" fontId="80" fillId="7" borderId="1" xfId="5" applyNumberFormat="1" applyFont="1" applyFill="1" applyBorder="1" applyAlignment="1">
      <alignment horizontal="right"/>
    </xf>
    <xf numFmtId="0" fontId="83" fillId="8" borderId="2" xfId="5" applyFont="1" applyFill="1" applyBorder="1" applyAlignment="1">
      <alignment wrapText="1"/>
    </xf>
    <xf numFmtId="3" fontId="77" fillId="8" borderId="2" xfId="5" applyNumberFormat="1" applyFont="1" applyFill="1" applyBorder="1" applyAlignment="1">
      <alignment horizontal="right"/>
    </xf>
    <xf numFmtId="3" fontId="82" fillId="8" borderId="2" xfId="5" applyNumberFormat="1" applyFont="1" applyFill="1" applyBorder="1" applyAlignment="1">
      <alignment horizontal="right"/>
    </xf>
    <xf numFmtId="0" fontId="79" fillId="7" borderId="4" xfId="5" applyFont="1" applyFill="1" applyBorder="1"/>
    <xf numFmtId="3" fontId="83" fillId="7" borderId="5" xfId="5" applyNumberFormat="1" applyFont="1" applyFill="1" applyBorder="1" applyAlignment="1">
      <alignment horizontal="right"/>
    </xf>
    <xf numFmtId="3" fontId="83" fillId="7" borderId="6" xfId="5" applyNumberFormat="1" applyFont="1" applyFill="1" applyBorder="1" applyAlignment="1">
      <alignment horizontal="right"/>
    </xf>
    <xf numFmtId="3" fontId="78" fillId="0" borderId="0" xfId="5" applyNumberFormat="1" applyFont="1"/>
    <xf numFmtId="0" fontId="85" fillId="0" borderId="3" xfId="5" applyFont="1" applyBorder="1" applyAlignment="1">
      <alignment wrapText="1"/>
    </xf>
    <xf numFmtId="3" fontId="77" fillId="0" borderId="38" xfId="5" applyNumberFormat="1" applyFont="1" applyBorder="1"/>
    <xf numFmtId="3" fontId="77" fillId="0" borderId="39" xfId="5" applyNumberFormat="1" applyFont="1" applyBorder="1"/>
    <xf numFmtId="3" fontId="85" fillId="0" borderId="38" xfId="5" applyNumberFormat="1" applyFont="1" applyBorder="1"/>
    <xf numFmtId="3" fontId="85" fillId="0" borderId="39" xfId="5" applyNumberFormat="1" applyFont="1" applyBorder="1"/>
    <xf numFmtId="3" fontId="85" fillId="0" borderId="3" xfId="5" applyNumberFormat="1" applyFont="1" applyBorder="1" applyAlignment="1">
      <alignment horizontal="center"/>
    </xf>
    <xf numFmtId="3" fontId="80" fillId="0" borderId="17" xfId="5" applyNumberFormat="1" applyFont="1" applyBorder="1"/>
    <xf numFmtId="3" fontId="80" fillId="0" borderId="16" xfId="5" applyNumberFormat="1" applyFont="1" applyBorder="1"/>
    <xf numFmtId="3" fontId="83" fillId="0" borderId="1" xfId="5" applyNumberFormat="1" applyFont="1" applyBorder="1" applyAlignment="1">
      <alignment horizontal="center"/>
    </xf>
    <xf numFmtId="3" fontId="83" fillId="0" borderId="17" xfId="5" applyNumberFormat="1" applyFont="1" applyBorder="1"/>
    <xf numFmtId="3" fontId="83" fillId="0" borderId="16" xfId="5" applyNumberFormat="1" applyFont="1" applyBorder="1"/>
    <xf numFmtId="0" fontId="77" fillId="0" borderId="0" xfId="5" applyFont="1"/>
    <xf numFmtId="0" fontId="85" fillId="0" borderId="1" xfId="5" applyFont="1" applyBorder="1"/>
    <xf numFmtId="3" fontId="77" fillId="0" borderId="17" xfId="5" applyNumberFormat="1" applyFont="1" applyBorder="1"/>
    <xf numFmtId="3" fontId="77" fillId="0" borderId="16" xfId="5" applyNumberFormat="1" applyFont="1" applyBorder="1"/>
    <xf numFmtId="3" fontId="85" fillId="0" borderId="1" xfId="5" applyNumberFormat="1" applyFont="1" applyBorder="1" applyAlignment="1">
      <alignment horizontal="center"/>
    </xf>
    <xf numFmtId="3" fontId="85" fillId="0" borderId="17" xfId="5" applyNumberFormat="1" applyFont="1" applyBorder="1"/>
    <xf numFmtId="3" fontId="85" fillId="0" borderId="16" xfId="5" applyNumberFormat="1" applyFont="1" applyBorder="1"/>
    <xf numFmtId="3" fontId="85" fillId="0" borderId="0" xfId="5" applyNumberFormat="1" applyFont="1"/>
    <xf numFmtId="3" fontId="86" fillId="0" borderId="0" xfId="5" applyNumberFormat="1" applyFont="1"/>
    <xf numFmtId="0" fontId="77" fillId="0" borderId="0" xfId="5" applyFont="1" applyAlignment="1">
      <alignment wrapText="1"/>
    </xf>
    <xf numFmtId="3" fontId="80" fillId="0" borderId="0" xfId="5" applyNumberFormat="1" applyFont="1"/>
    <xf numFmtId="0" fontId="80" fillId="0" borderId="0" xfId="5" applyFont="1" applyAlignment="1">
      <alignment wrapText="1"/>
    </xf>
    <xf numFmtId="3" fontId="80" fillId="0" borderId="27" xfId="5" applyNumberFormat="1" applyFont="1" applyBorder="1"/>
    <xf numFmtId="3" fontId="80" fillId="0" borderId="25" xfId="5" applyNumberFormat="1" applyFont="1" applyBorder="1"/>
    <xf numFmtId="3" fontId="80" fillId="0" borderId="24" xfId="5" applyNumberFormat="1" applyFont="1" applyBorder="1"/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3" fillId="0" borderId="3" xfId="0" applyNumberFormat="1" applyFont="1" applyBorder="1" applyAlignment="1">
      <alignment horizontal="right"/>
    </xf>
    <xf numFmtId="0" fontId="49" fillId="0" borderId="0" xfId="0" applyFont="1"/>
    <xf numFmtId="3" fontId="20" fillId="0" borderId="0" xfId="0" applyNumberFormat="1" applyFont="1"/>
    <xf numFmtId="3" fontId="5" fillId="0" borderId="2" xfId="0" applyNumberFormat="1" applyFont="1" applyBorder="1"/>
    <xf numFmtId="3" fontId="87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5" borderId="24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1" xfId="0" applyFont="1" applyBorder="1"/>
    <xf numFmtId="0" fontId="3" fillId="0" borderId="11" xfId="0" applyFont="1" applyBorder="1"/>
    <xf numFmtId="0" fontId="33" fillId="0" borderId="11" xfId="0" applyFont="1" applyBorder="1"/>
    <xf numFmtId="0" fontId="33" fillId="0" borderId="1" xfId="0" applyFont="1" applyBorder="1" applyAlignment="1">
      <alignment horizontal="left" vertical="center" wrapText="1"/>
    </xf>
    <xf numFmtId="0" fontId="33" fillId="0" borderId="0" xfId="0" applyFont="1"/>
    <xf numFmtId="0" fontId="44" fillId="0" borderId="0" xfId="0" applyFont="1"/>
    <xf numFmtId="0" fontId="3" fillId="0" borderId="40" xfId="0" applyFont="1" applyBorder="1"/>
    <xf numFmtId="0" fontId="3" fillId="5" borderId="27" xfId="0" applyFont="1" applyFill="1" applyBorder="1"/>
    <xf numFmtId="3" fontId="10" fillId="5" borderId="5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14" fillId="0" borderId="1" xfId="0" applyFont="1" applyBorder="1"/>
    <xf numFmtId="0" fontId="10" fillId="5" borderId="4" xfId="0" applyFont="1" applyFill="1" applyBorder="1" applyAlignment="1">
      <alignment horizontal="center" vertical="center"/>
    </xf>
    <xf numFmtId="3" fontId="4" fillId="0" borderId="10" xfId="0" applyNumberFormat="1" applyFont="1" applyBorder="1" applyAlignment="1">
      <alignment vertical="center"/>
    </xf>
    <xf numFmtId="3" fontId="5" fillId="0" borderId="12" xfId="0" applyNumberFormat="1" applyFont="1" applyBorder="1"/>
    <xf numFmtId="3" fontId="3" fillId="0" borderId="12" xfId="0" applyNumberFormat="1" applyFont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33" fillId="0" borderId="12" xfId="0" applyNumberFormat="1" applyFont="1" applyBorder="1" applyAlignment="1">
      <alignment horizontal="right"/>
    </xf>
    <xf numFmtId="3" fontId="4" fillId="0" borderId="10" xfId="0" applyNumberFormat="1" applyFont="1" applyBorder="1"/>
    <xf numFmtId="3" fontId="14" fillId="0" borderId="12" xfId="0" applyNumberFormat="1" applyFont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3" fontId="3" fillId="0" borderId="7" xfId="0" applyNumberFormat="1" applyFont="1" applyBorder="1"/>
    <xf numFmtId="3" fontId="3" fillId="0" borderId="18" xfId="0" applyNumberFormat="1" applyFont="1" applyBorder="1"/>
    <xf numFmtId="3" fontId="10" fillId="5" borderId="41" xfId="0" applyNumberFormat="1" applyFont="1" applyFill="1" applyBorder="1"/>
    <xf numFmtId="3" fontId="3" fillId="9" borderId="1" xfId="0" applyNumberFormat="1" applyFont="1" applyFill="1" applyBorder="1"/>
    <xf numFmtId="0" fontId="26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4" fillId="5" borderId="41" xfId="0" applyFont="1" applyFill="1" applyBorder="1" applyAlignment="1">
      <alignment horizontal="center" vertical="center" wrapText="1"/>
    </xf>
    <xf numFmtId="3" fontId="10" fillId="5" borderId="41" xfId="0" applyNumberFormat="1" applyFont="1" applyFill="1" applyBorder="1" applyAlignment="1">
      <alignment vertical="center"/>
    </xf>
    <xf numFmtId="0" fontId="75" fillId="6" borderId="0" xfId="0" applyFont="1" applyFill="1" applyAlignment="1">
      <alignment horizontal="center"/>
    </xf>
    <xf numFmtId="3" fontId="25" fillId="9" borderId="24" xfId="0" applyNumberFormat="1" applyFont="1" applyFill="1" applyBorder="1"/>
    <xf numFmtId="3" fontId="3" fillId="9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87" fillId="9" borderId="1" xfId="0" applyNumberFormat="1" applyFont="1" applyFill="1" applyBorder="1" applyAlignment="1">
      <alignment horizontal="right"/>
    </xf>
    <xf numFmtId="3" fontId="3" fillId="10" borderId="0" xfId="0" applyNumberFormat="1" applyFont="1" applyFill="1"/>
    <xf numFmtId="0" fontId="3" fillId="10" borderId="1" xfId="0" applyFont="1" applyFill="1" applyBorder="1"/>
    <xf numFmtId="0" fontId="23" fillId="6" borderId="0" xfId="0" applyFont="1" applyFill="1"/>
    <xf numFmtId="3" fontId="8" fillId="0" borderId="1" xfId="0" applyNumberFormat="1" applyFont="1" applyBorder="1" applyAlignment="1">
      <alignment horizontal="center"/>
    </xf>
    <xf numFmtId="0" fontId="26" fillId="8" borderId="1" xfId="0" applyFont="1" applyFill="1" applyBorder="1" applyAlignment="1">
      <alignment horizontal="center" vertical="center" wrapText="1"/>
    </xf>
    <xf numFmtId="0" fontId="22" fillId="0" borderId="0" xfId="0" applyFont="1"/>
    <xf numFmtId="3" fontId="22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3" fontId="33" fillId="0" borderId="5" xfId="0" applyNumberFormat="1" applyFont="1" applyBorder="1" applyAlignment="1">
      <alignment horizontal="right"/>
    </xf>
    <xf numFmtId="0" fontId="5" fillId="11" borderId="1" xfId="0" applyFont="1" applyFill="1" applyBorder="1"/>
    <xf numFmtId="3" fontId="4" fillId="11" borderId="1" xfId="0" applyNumberFormat="1" applyFont="1" applyFill="1" applyBorder="1"/>
    <xf numFmtId="3" fontId="5" fillId="11" borderId="1" xfId="0" applyNumberFormat="1" applyFont="1" applyFill="1" applyBorder="1" applyAlignment="1">
      <alignment horizontal="right"/>
    </xf>
    <xf numFmtId="3" fontId="88" fillId="0" borderId="0" xfId="0" applyNumberFormat="1" applyFont="1"/>
    <xf numFmtId="3" fontId="8" fillId="0" borderId="0" xfId="0" applyNumberFormat="1" applyFont="1"/>
    <xf numFmtId="3" fontId="89" fillId="0" borderId="0" xfId="0" applyNumberFormat="1" applyFont="1"/>
    <xf numFmtId="3" fontId="10" fillId="5" borderId="41" xfId="0" applyNumberFormat="1" applyFont="1" applyFill="1" applyBorder="1" applyAlignment="1">
      <alignment horizontal="right"/>
    </xf>
    <xf numFmtId="3" fontId="39" fillId="3" borderId="1" xfId="0" applyNumberFormat="1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1" fontId="39" fillId="0" borderId="0" xfId="0" applyNumberFormat="1" applyFont="1" applyAlignment="1">
      <alignment horizontal="center" vertical="center" wrapText="1"/>
    </xf>
    <xf numFmtId="1" fontId="39" fillId="7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3" fontId="6" fillId="0" borderId="42" xfId="0" applyNumberFormat="1" applyFont="1" applyBorder="1" applyAlignment="1">
      <alignment vertical="center"/>
    </xf>
    <xf numFmtId="3" fontId="6" fillId="0" borderId="7" xfId="1" applyNumberFormat="1" applyFont="1" applyFill="1" applyBorder="1" applyAlignment="1">
      <alignment horizontal="right" vertical="center"/>
    </xf>
    <xf numFmtId="3" fontId="3" fillId="0" borderId="7" xfId="1" applyNumberFormat="1" applyFont="1" applyFill="1" applyBorder="1" applyAlignment="1">
      <alignment horizontal="right" vertical="center"/>
    </xf>
    <xf numFmtId="3" fontId="3" fillId="8" borderId="7" xfId="0" applyNumberFormat="1" applyFont="1" applyFill="1" applyBorder="1" applyAlignment="1">
      <alignment horizontal="right" vertical="center" wrapText="1"/>
    </xf>
    <xf numFmtId="0" fontId="3" fillId="0" borderId="43" xfId="0" applyFont="1" applyBorder="1"/>
    <xf numFmtId="3" fontId="3" fillId="0" borderId="12" xfId="0" applyNumberFormat="1" applyFont="1" applyBorder="1" applyAlignment="1">
      <alignment horizontal="right" vertical="center"/>
    </xf>
    <xf numFmtId="0" fontId="3" fillId="0" borderId="9" xfId="0" applyFont="1" applyBorder="1"/>
    <xf numFmtId="0" fontId="6" fillId="0" borderId="11" xfId="0" applyFont="1" applyBorder="1" applyAlignment="1">
      <alignment wrapText="1"/>
    </xf>
    <xf numFmtId="3" fontId="23" fillId="6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right" vertical="center"/>
    </xf>
    <xf numFmtId="3" fontId="23" fillId="2" borderId="0" xfId="0" applyNumberFormat="1" applyFont="1" applyFill="1" applyAlignment="1">
      <alignment horizontal="right"/>
    </xf>
    <xf numFmtId="0" fontId="3" fillId="0" borderId="16" xfId="0" applyFont="1" applyBorder="1"/>
    <xf numFmtId="0" fontId="23" fillId="6" borderId="0" xfId="0" applyFont="1" applyFill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3" fontId="6" fillId="0" borderId="10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horizontal="left" vertical="center"/>
    </xf>
    <xf numFmtId="3" fontId="6" fillId="0" borderId="2" xfId="0" applyNumberFormat="1" applyFont="1" applyBorder="1" applyAlignment="1">
      <alignment vertical="center"/>
    </xf>
    <xf numFmtId="3" fontId="3" fillId="0" borderId="40" xfId="0" applyNumberFormat="1" applyFont="1" applyBorder="1" applyAlignment="1">
      <alignment horizontal="left" vertical="center" wrapText="1"/>
    </xf>
    <xf numFmtId="3" fontId="18" fillId="8" borderId="4" xfId="0" applyNumberFormat="1" applyFont="1" applyFill="1" applyBorder="1" applyAlignment="1">
      <alignment horizontal="left" vertical="center" wrapText="1"/>
    </xf>
    <xf numFmtId="0" fontId="23" fillId="0" borderId="16" xfId="0" applyFont="1" applyBorder="1"/>
    <xf numFmtId="0" fontId="23" fillId="0" borderId="16" xfId="0" applyFont="1" applyBorder="1" applyAlignment="1">
      <alignment wrapText="1"/>
    </xf>
    <xf numFmtId="3" fontId="13" fillId="10" borderId="0" xfId="0" applyNumberFormat="1" applyFont="1" applyFill="1"/>
    <xf numFmtId="0" fontId="6" fillId="9" borderId="1" xfId="0" applyFont="1" applyFill="1" applyBorder="1"/>
    <xf numFmtId="4" fontId="13" fillId="0" borderId="0" xfId="0" applyNumberFormat="1" applyFont="1"/>
    <xf numFmtId="0" fontId="65" fillId="6" borderId="0" xfId="11" applyFill="1"/>
    <xf numFmtId="0" fontId="53" fillId="6" borderId="0" xfId="11" applyFont="1" applyFill="1"/>
    <xf numFmtId="3" fontId="65" fillId="0" borderId="0" xfId="11" applyNumberFormat="1"/>
    <xf numFmtId="0" fontId="65" fillId="0" borderId="0" xfId="11"/>
    <xf numFmtId="0" fontId="21" fillId="6" borderId="0" xfId="11" applyFont="1" applyFill="1" applyAlignment="1">
      <alignment horizontal="right"/>
    </xf>
    <xf numFmtId="0" fontId="66" fillId="8" borderId="44" xfId="11" applyFont="1" applyFill="1" applyBorder="1" applyAlignment="1">
      <alignment horizontal="center" vertical="center" wrapText="1"/>
    </xf>
    <xf numFmtId="0" fontId="66" fillId="8" borderId="37" xfId="11" applyFont="1" applyFill="1" applyBorder="1" applyAlignment="1">
      <alignment horizontal="center" vertical="center" wrapText="1"/>
    </xf>
    <xf numFmtId="0" fontId="66" fillId="8" borderId="45" xfId="11" applyFont="1" applyFill="1" applyBorder="1" applyAlignment="1">
      <alignment horizontal="center" vertical="center" wrapText="1"/>
    </xf>
    <xf numFmtId="0" fontId="66" fillId="8" borderId="25" xfId="11" applyFont="1" applyFill="1" applyBorder="1" applyAlignment="1">
      <alignment horizontal="center" vertical="center" wrapText="1"/>
    </xf>
    <xf numFmtId="0" fontId="65" fillId="0" borderId="0" xfId="11" applyAlignment="1">
      <alignment horizontal="center" vertical="center"/>
    </xf>
    <xf numFmtId="3" fontId="67" fillId="0" borderId="0" xfId="11" applyNumberFormat="1" applyFont="1" applyAlignment="1">
      <alignment horizontal="center" vertical="center" wrapText="1"/>
    </xf>
    <xf numFmtId="0" fontId="53" fillId="8" borderId="46" xfId="11" applyFont="1" applyFill="1" applyBorder="1"/>
    <xf numFmtId="3" fontId="65" fillId="0" borderId="31" xfId="11" applyNumberFormat="1" applyBorder="1"/>
    <xf numFmtId="3" fontId="21" fillId="0" borderId="16" xfId="11" applyNumberFormat="1" applyFont="1" applyBorder="1"/>
    <xf numFmtId="3" fontId="21" fillId="0" borderId="3" xfId="11" applyNumberFormat="1" applyFont="1" applyBorder="1"/>
    <xf numFmtId="3" fontId="65" fillId="0" borderId="3" xfId="11" applyNumberFormat="1" applyBorder="1"/>
    <xf numFmtId="3" fontId="65" fillId="0" borderId="47" xfId="11" applyNumberFormat="1" applyBorder="1"/>
    <xf numFmtId="3" fontId="53" fillId="0" borderId="31" xfId="11" applyNumberFormat="1" applyFont="1" applyBorder="1"/>
    <xf numFmtId="3" fontId="65" fillId="0" borderId="28" xfId="11" applyNumberFormat="1" applyBorder="1"/>
    <xf numFmtId="3" fontId="65" fillId="0" borderId="48" xfId="11" applyNumberFormat="1" applyBorder="1"/>
    <xf numFmtId="3" fontId="53" fillId="8" borderId="31" xfId="11" applyNumberFormat="1" applyFont="1" applyFill="1" applyBorder="1"/>
    <xf numFmtId="3" fontId="22" fillId="0" borderId="0" xfId="11" applyNumberFormat="1" applyFont="1"/>
    <xf numFmtId="3" fontId="65" fillId="8" borderId="49" xfId="11" applyNumberFormat="1" applyFill="1" applyBorder="1"/>
    <xf numFmtId="1" fontId="21" fillId="0" borderId="0" xfId="11" applyNumberFormat="1" applyFont="1"/>
    <xf numFmtId="0" fontId="53" fillId="8" borderId="43" xfId="11" applyFont="1" applyFill="1" applyBorder="1"/>
    <xf numFmtId="0" fontId="53" fillId="0" borderId="32" xfId="11" applyFont="1" applyBorder="1"/>
    <xf numFmtId="3" fontId="65" fillId="0" borderId="1" xfId="11" applyNumberFormat="1" applyBorder="1"/>
    <xf numFmtId="3" fontId="22" fillId="0" borderId="32" xfId="11" applyNumberFormat="1" applyFont="1" applyBorder="1"/>
    <xf numFmtId="3" fontId="65" fillId="8" borderId="32" xfId="11" applyNumberFormat="1" applyFill="1" applyBorder="1"/>
    <xf numFmtId="6" fontId="65" fillId="0" borderId="0" xfId="11" applyNumberFormat="1"/>
    <xf numFmtId="0" fontId="68" fillId="0" borderId="0" xfId="11" applyFont="1"/>
    <xf numFmtId="3" fontId="21" fillId="0" borderId="1" xfId="11" applyNumberFormat="1" applyFont="1" applyBorder="1"/>
    <xf numFmtId="3" fontId="53" fillId="0" borderId="32" xfId="11" applyNumberFormat="1" applyFont="1" applyBorder="1"/>
    <xf numFmtId="3" fontId="65" fillId="0" borderId="16" xfId="11" applyNumberFormat="1" applyBorder="1"/>
    <xf numFmtId="3" fontId="53" fillId="8" borderId="32" xfId="11" applyNumberFormat="1" applyFont="1" applyFill="1" applyBorder="1"/>
    <xf numFmtId="0" fontId="53" fillId="8" borderId="17" xfId="11" applyFont="1" applyFill="1" applyBorder="1"/>
    <xf numFmtId="3" fontId="65" fillId="0" borderId="32" xfId="11" applyNumberFormat="1" applyBorder="1"/>
    <xf numFmtId="3" fontId="65" fillId="0" borderId="17" xfId="11" applyNumberFormat="1" applyBorder="1"/>
    <xf numFmtId="0" fontId="53" fillId="8" borderId="32" xfId="11" applyFont="1" applyFill="1" applyBorder="1"/>
    <xf numFmtId="0" fontId="53" fillId="8" borderId="50" xfId="11" applyFont="1" applyFill="1" applyBorder="1"/>
    <xf numFmtId="3" fontId="53" fillId="8" borderId="51" xfId="11" applyNumberFormat="1" applyFont="1" applyFill="1" applyBorder="1"/>
    <xf numFmtId="3" fontId="53" fillId="8" borderId="44" xfId="11" applyNumberFormat="1" applyFont="1" applyFill="1" applyBorder="1"/>
    <xf numFmtId="3" fontId="53" fillId="8" borderId="37" xfId="11" applyNumberFormat="1" applyFont="1" applyFill="1" applyBorder="1"/>
    <xf numFmtId="3" fontId="53" fillId="8" borderId="52" xfId="11" applyNumberFormat="1" applyFont="1" applyFill="1" applyBorder="1"/>
    <xf numFmtId="0" fontId="53" fillId="8" borderId="51" xfId="11" applyFont="1" applyFill="1" applyBorder="1"/>
    <xf numFmtId="3" fontId="53" fillId="8" borderId="45" xfId="11" applyNumberFormat="1" applyFont="1" applyFill="1" applyBorder="1"/>
    <xf numFmtId="3" fontId="67" fillId="8" borderId="51" xfId="11" applyNumberFormat="1" applyFont="1" applyFill="1" applyBorder="1"/>
    <xf numFmtId="3" fontId="53" fillId="8" borderId="33" xfId="11" applyNumberFormat="1" applyFont="1" applyFill="1" applyBorder="1"/>
    <xf numFmtId="3" fontId="21" fillId="0" borderId="0" xfId="11" applyNumberFormat="1" applyFont="1"/>
    <xf numFmtId="0" fontId="53" fillId="0" borderId="0" xfId="11" applyFont="1"/>
    <xf numFmtId="3" fontId="22" fillId="6" borderId="0" xfId="11" applyNumberFormat="1" applyFont="1" applyFill="1"/>
    <xf numFmtId="3" fontId="53" fillId="0" borderId="0" xfId="11" applyNumberFormat="1" applyFont="1"/>
    <xf numFmtId="3" fontId="67" fillId="0" borderId="0" xfId="11" applyNumberFormat="1" applyFont="1"/>
    <xf numFmtId="1" fontId="65" fillId="0" borderId="0" xfId="11" applyNumberFormat="1"/>
    <xf numFmtId="0" fontId="66" fillId="8" borderId="4" xfId="11" applyFont="1" applyFill="1" applyBorder="1" applyAlignment="1">
      <alignment horizontal="center" vertical="center" wrapText="1"/>
    </xf>
    <xf numFmtId="0" fontId="66" fillId="8" borderId="5" xfId="11" applyFont="1" applyFill="1" applyBorder="1" applyAlignment="1">
      <alignment horizontal="center" vertical="center" wrapText="1"/>
    </xf>
    <xf numFmtId="0" fontId="69" fillId="8" borderId="24" xfId="11" applyFont="1" applyFill="1" applyBorder="1" applyAlignment="1">
      <alignment horizontal="center" vertical="center" wrapText="1"/>
    </xf>
    <xf numFmtId="3" fontId="21" fillId="0" borderId="10" xfId="11" applyNumberFormat="1" applyFont="1" applyBorder="1"/>
    <xf numFmtId="3" fontId="22" fillId="0" borderId="10" xfId="11" applyNumberFormat="1" applyFont="1" applyBorder="1"/>
    <xf numFmtId="0" fontId="53" fillId="8" borderId="31" xfId="11" applyFont="1" applyFill="1" applyBorder="1"/>
    <xf numFmtId="3" fontId="21" fillId="0" borderId="9" xfId="11" applyNumberFormat="1" applyFont="1" applyBorder="1"/>
    <xf numFmtId="3" fontId="70" fillId="0" borderId="53" xfId="11" applyNumberFormat="1" applyFont="1" applyBorder="1"/>
    <xf numFmtId="3" fontId="70" fillId="0" borderId="3" xfId="11" applyNumberFormat="1" applyFont="1" applyBorder="1"/>
    <xf numFmtId="3" fontId="65" fillId="0" borderId="10" xfId="11" applyNumberFormat="1" applyBorder="1"/>
    <xf numFmtId="3" fontId="21" fillId="0" borderId="11" xfId="11" applyNumberFormat="1" applyFont="1" applyBorder="1"/>
    <xf numFmtId="3" fontId="70" fillId="0" borderId="26" xfId="11" applyNumberFormat="1" applyFont="1" applyBorder="1"/>
    <xf numFmtId="3" fontId="70" fillId="0" borderId="1" xfId="11" applyNumberFormat="1" applyFont="1" applyBorder="1"/>
    <xf numFmtId="3" fontId="65" fillId="0" borderId="12" xfId="11" applyNumberFormat="1" applyBorder="1"/>
    <xf numFmtId="3" fontId="21" fillId="0" borderId="12" xfId="11" applyNumberFormat="1" applyFont="1" applyBorder="1"/>
    <xf numFmtId="3" fontId="22" fillId="0" borderId="12" xfId="11" applyNumberFormat="1" applyFont="1" applyBorder="1"/>
    <xf numFmtId="3" fontId="53" fillId="8" borderId="54" xfId="11" applyNumberFormat="1" applyFont="1" applyFill="1" applyBorder="1"/>
    <xf numFmtId="3" fontId="67" fillId="8" borderId="54" xfId="11" applyNumberFormat="1" applyFont="1" applyFill="1" applyBorder="1"/>
    <xf numFmtId="3" fontId="53" fillId="8" borderId="55" xfId="11" applyNumberFormat="1" applyFont="1" applyFill="1" applyBorder="1"/>
    <xf numFmtId="3" fontId="57" fillId="8" borderId="56" xfId="11" applyNumberFormat="1" applyFont="1" applyFill="1" applyBorder="1"/>
    <xf numFmtId="3" fontId="57" fillId="8" borderId="52" xfId="11" applyNumberFormat="1" applyFont="1" applyFill="1" applyBorder="1"/>
    <xf numFmtId="3" fontId="53" fillId="8" borderId="14" xfId="11" applyNumberFormat="1" applyFont="1" applyFill="1" applyBorder="1"/>
    <xf numFmtId="3" fontId="68" fillId="0" borderId="0" xfId="11" applyNumberFormat="1" applyFont="1"/>
    <xf numFmtId="0" fontId="53" fillId="9" borderId="0" xfId="11" applyFont="1" applyFill="1" applyAlignment="1">
      <alignment wrapText="1"/>
    </xf>
    <xf numFmtId="0" fontId="65" fillId="9" borderId="0" xfId="11" applyFill="1"/>
    <xf numFmtId="3" fontId="53" fillId="9" borderId="0" xfId="11" applyNumberFormat="1" applyFont="1" applyFill="1"/>
    <xf numFmtId="0" fontId="53" fillId="9" borderId="46" xfId="11" applyFont="1" applyFill="1" applyBorder="1"/>
    <xf numFmtId="3" fontId="65" fillId="9" borderId="31" xfId="11" applyNumberFormat="1" applyFill="1" applyBorder="1"/>
    <xf numFmtId="3" fontId="21" fillId="9" borderId="16" xfId="11" applyNumberFormat="1" applyFont="1" applyFill="1" applyBorder="1"/>
    <xf numFmtId="3" fontId="21" fillId="9" borderId="3" xfId="11" applyNumberFormat="1" applyFont="1" applyFill="1" applyBorder="1"/>
    <xf numFmtId="3" fontId="65" fillId="9" borderId="3" xfId="11" applyNumberFormat="1" applyFill="1" applyBorder="1"/>
    <xf numFmtId="3" fontId="65" fillId="9" borderId="47" xfId="11" applyNumberFormat="1" applyFill="1" applyBorder="1"/>
    <xf numFmtId="3" fontId="53" fillId="9" borderId="31" xfId="11" applyNumberFormat="1" applyFont="1" applyFill="1" applyBorder="1"/>
    <xf numFmtId="0" fontId="53" fillId="9" borderId="49" xfId="11" applyFont="1" applyFill="1" applyBorder="1"/>
    <xf numFmtId="3" fontId="65" fillId="9" borderId="28" xfId="11" applyNumberFormat="1" applyFill="1" applyBorder="1"/>
    <xf numFmtId="3" fontId="65" fillId="9" borderId="48" xfId="11" applyNumberFormat="1" applyFill="1" applyBorder="1"/>
    <xf numFmtId="3" fontId="22" fillId="9" borderId="49" xfId="11" applyNumberFormat="1" applyFont="1" applyFill="1" applyBorder="1"/>
    <xf numFmtId="0" fontId="53" fillId="0" borderId="1" xfId="0" applyFont="1" applyBorder="1"/>
    <xf numFmtId="0" fontId="21" fillId="0" borderId="1" xfId="0" applyFont="1" applyBorder="1" applyAlignment="1">
      <alignment wrapText="1"/>
    </xf>
    <xf numFmtId="3" fontId="6" fillId="8" borderId="3" xfId="0" applyNumberFormat="1" applyFont="1" applyFill="1" applyBorder="1"/>
    <xf numFmtId="3" fontId="3" fillId="8" borderId="1" xfId="0" applyNumberFormat="1" applyFont="1" applyFill="1" applyBorder="1"/>
    <xf numFmtId="0" fontId="3" fillId="0" borderId="2" xfId="0" applyFont="1" applyBorder="1" applyAlignment="1">
      <alignment wrapText="1"/>
    </xf>
    <xf numFmtId="3" fontId="53" fillId="0" borderId="1" xfId="0" applyNumberFormat="1" applyFont="1" applyBorder="1"/>
    <xf numFmtId="0" fontId="90" fillId="0" borderId="1" xfId="0" applyFont="1" applyBorder="1" applyAlignment="1">
      <alignment wrapText="1"/>
    </xf>
    <xf numFmtId="3" fontId="3" fillId="0" borderId="2" xfId="0" applyNumberFormat="1" applyFont="1" applyBorder="1" applyAlignment="1">
      <alignment horizontal="center" wrapText="1"/>
    </xf>
    <xf numFmtId="0" fontId="2" fillId="6" borderId="0" xfId="13" applyFill="1"/>
    <xf numFmtId="0" fontId="2" fillId="0" borderId="0" xfId="13"/>
    <xf numFmtId="3" fontId="3" fillId="6" borderId="0" xfId="13" applyNumberFormat="1" applyFont="1" applyFill="1" applyAlignment="1">
      <alignment horizontal="right"/>
    </xf>
    <xf numFmtId="0" fontId="3" fillId="12" borderId="0" xfId="13" applyFont="1" applyFill="1"/>
    <xf numFmtId="0" fontId="3" fillId="6" borderId="0" xfId="13" applyFont="1" applyFill="1"/>
    <xf numFmtId="0" fontId="2" fillId="13" borderId="1" xfId="13" applyFill="1" applyBorder="1"/>
    <xf numFmtId="0" fontId="6" fillId="13" borderId="1" xfId="13" applyFont="1" applyFill="1" applyBorder="1" applyAlignment="1">
      <alignment horizontal="center" vertical="center" wrapText="1"/>
    </xf>
    <xf numFmtId="0" fontId="93" fillId="0" borderId="1" xfId="13" applyFont="1" applyBorder="1"/>
    <xf numFmtId="0" fontId="6" fillId="0" borderId="1" xfId="13" applyFont="1" applyBorder="1" applyAlignment="1">
      <alignment horizontal="center" vertical="center" wrapText="1"/>
    </xf>
    <xf numFmtId="3" fontId="6" fillId="0" borderId="1" xfId="13" applyNumberFormat="1" applyFont="1" applyBorder="1" applyAlignment="1">
      <alignment vertical="center" wrapText="1"/>
    </xf>
    <xf numFmtId="0" fontId="6" fillId="0" borderId="1" xfId="13" applyFont="1" applyBorder="1" applyAlignment="1">
      <alignment horizontal="left" vertical="center"/>
    </xf>
    <xf numFmtId="3" fontId="6" fillId="0" borderId="1" xfId="13" applyNumberFormat="1" applyFont="1" applyBorder="1" applyAlignment="1">
      <alignment vertical="center"/>
    </xf>
    <xf numFmtId="0" fontId="6" fillId="0" borderId="1" xfId="13" applyFont="1" applyBorder="1" applyAlignment="1">
      <alignment vertical="center"/>
    </xf>
    <xf numFmtId="0" fontId="3" fillId="0" borderId="1" xfId="13" applyFont="1" applyBorder="1" applyAlignment="1">
      <alignment horizontal="left" vertical="center" indent="1"/>
    </xf>
    <xf numFmtId="3" fontId="3" fillId="0" borderId="1" xfId="13" applyNumberFormat="1" applyFont="1" applyBorder="1" applyAlignment="1">
      <alignment vertical="center"/>
    </xf>
    <xf numFmtId="49" fontId="93" fillId="0" borderId="1" xfId="13" applyNumberFormat="1" applyFont="1" applyBorder="1"/>
    <xf numFmtId="0" fontId="3" fillId="0" borderId="1" xfId="13" applyFont="1" applyBorder="1" applyAlignment="1">
      <alignment horizontal="left" vertical="center" wrapText="1" indent="1"/>
    </xf>
    <xf numFmtId="3" fontId="3" fillId="0" borderId="1" xfId="13" applyNumberFormat="1" applyFont="1" applyBorder="1" applyAlignment="1">
      <alignment vertical="center" wrapText="1"/>
    </xf>
    <xf numFmtId="0" fontId="3" fillId="0" borderId="1" xfId="13" applyFont="1" applyBorder="1" applyAlignment="1">
      <alignment vertical="center"/>
    </xf>
    <xf numFmtId="0" fontId="6" fillId="0" borderId="1" xfId="13" applyFont="1" applyBorder="1" applyAlignment="1">
      <alignment horizontal="center" vertical="center"/>
    </xf>
    <xf numFmtId="0" fontId="3" fillId="0" borderId="1" xfId="13" applyFont="1" applyBorder="1" applyAlignment="1">
      <alignment horizontal="left" indent="2"/>
    </xf>
    <xf numFmtId="3" fontId="3" fillId="0" borderId="1" xfId="13" applyNumberFormat="1" applyFont="1" applyBorder="1"/>
    <xf numFmtId="0" fontId="3" fillId="0" borderId="1" xfId="13" applyFont="1" applyBorder="1" applyAlignment="1">
      <alignment horizontal="left" vertical="center" indent="3"/>
    </xf>
    <xf numFmtId="0" fontId="3" fillId="0" borderId="1" xfId="13" applyFont="1" applyBorder="1" applyAlignment="1">
      <alignment horizontal="left" vertical="center"/>
    </xf>
    <xf numFmtId="3" fontId="3" fillId="0" borderId="1" xfId="13" applyNumberFormat="1" applyFont="1" applyBorder="1" applyAlignment="1">
      <alignment horizontal="center" vertical="center"/>
    </xf>
    <xf numFmtId="3" fontId="3" fillId="0" borderId="3" xfId="13" applyNumberFormat="1" applyFont="1" applyBorder="1" applyAlignment="1">
      <alignment horizontal="right" vertical="center"/>
    </xf>
    <xf numFmtId="0" fontId="93" fillId="0" borderId="1" xfId="13" applyFont="1" applyBorder="1" applyAlignment="1">
      <alignment horizontal="center"/>
    </xf>
    <xf numFmtId="3" fontId="23" fillId="6" borderId="0" xfId="0" applyNumberFormat="1" applyFont="1" applyFill="1" applyAlignment="1">
      <alignment horizontal="right"/>
    </xf>
    <xf numFmtId="3" fontId="33" fillId="0" borderId="25" xfId="0" applyNumberFormat="1" applyFont="1" applyBorder="1" applyAlignment="1">
      <alignment horizontal="right"/>
    </xf>
    <xf numFmtId="0" fontId="24" fillId="0" borderId="0" xfId="0" applyFont="1"/>
    <xf numFmtId="3" fontId="8" fillId="0" borderId="1" xfId="0" applyNumberFormat="1" applyFont="1" applyBorder="1"/>
    <xf numFmtId="0" fontId="3" fillId="6" borderId="0" xfId="0" applyFont="1" applyFill="1" applyAlignment="1">
      <alignment horizontal="right" vertical="center"/>
    </xf>
    <xf numFmtId="3" fontId="3" fillId="6" borderId="0" xfId="0" applyNumberFormat="1" applyFont="1" applyFill="1" applyAlignment="1">
      <alignment horizontal="right" vertical="center"/>
    </xf>
    <xf numFmtId="0" fontId="3" fillId="9" borderId="1" xfId="0" applyFont="1" applyFill="1" applyBorder="1" applyAlignment="1">
      <alignment horizontal="left" vertical="center"/>
    </xf>
    <xf numFmtId="0" fontId="3" fillId="9" borderId="1" xfId="0" applyFont="1" applyFill="1" applyBorder="1"/>
    <xf numFmtId="3" fontId="87" fillId="0" borderId="3" xfId="0" applyNumberFormat="1" applyFont="1" applyBorder="1" applyAlignment="1">
      <alignment vertical="center"/>
    </xf>
    <xf numFmtId="3" fontId="77" fillId="0" borderId="1" xfId="0" applyNumberFormat="1" applyFont="1" applyBorder="1" applyAlignment="1">
      <alignment horizontal="right" vertical="center"/>
    </xf>
    <xf numFmtId="3" fontId="80" fillId="0" borderId="1" xfId="0" applyNumberFormat="1" applyFont="1" applyBorder="1"/>
    <xf numFmtId="0" fontId="33" fillId="0" borderId="1" xfId="0" applyFont="1" applyBorder="1" applyAlignment="1">
      <alignment wrapText="1"/>
    </xf>
    <xf numFmtId="3" fontId="77" fillId="0" borderId="1" xfId="0" applyNumberFormat="1" applyFont="1" applyBorder="1" applyAlignment="1">
      <alignment horizontal="right"/>
    </xf>
    <xf numFmtId="0" fontId="94" fillId="0" borderId="0" xfId="0" applyFont="1"/>
    <xf numFmtId="3" fontId="3" fillId="0" borderId="25" xfId="0" applyNumberFormat="1" applyFont="1" applyBorder="1" applyAlignment="1">
      <alignment horizontal="right"/>
    </xf>
    <xf numFmtId="0" fontId="26" fillId="7" borderId="17" xfId="0" applyFont="1" applyFill="1" applyBorder="1" applyAlignment="1">
      <alignment horizontal="center" vertical="center" wrapText="1"/>
    </xf>
    <xf numFmtId="0" fontId="26" fillId="7" borderId="62" xfId="0" applyFont="1" applyFill="1" applyBorder="1" applyAlignment="1">
      <alignment horizontal="center" vertical="center" wrapText="1"/>
    </xf>
    <xf numFmtId="0" fontId="14" fillId="7" borderId="27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5" fillId="5" borderId="20" xfId="0" applyFont="1" applyFill="1" applyBorder="1" applyAlignment="1">
      <alignment horizontal="center" vertical="center"/>
    </xf>
    <xf numFmtId="0" fontId="5" fillId="5" borderId="55" xfId="0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horizontal="center" vertical="center" wrapText="1"/>
    </xf>
    <xf numFmtId="0" fontId="4" fillId="5" borderId="52" xfId="0" applyFont="1" applyFill="1" applyBorder="1" applyAlignment="1">
      <alignment horizontal="center" vertical="center" wrapText="1"/>
    </xf>
    <xf numFmtId="0" fontId="4" fillId="5" borderId="58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 wrapText="1"/>
    </xf>
    <xf numFmtId="0" fontId="0" fillId="0" borderId="0" xfId="0"/>
    <xf numFmtId="0" fontId="19" fillId="6" borderId="0" xfId="0" applyFont="1" applyFill="1" applyAlignment="1">
      <alignment horizontal="center" wrapText="1"/>
    </xf>
    <xf numFmtId="0" fontId="19" fillId="6" borderId="0" xfId="0" applyFont="1" applyFill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right" vertical="center"/>
    </xf>
    <xf numFmtId="0" fontId="10" fillId="6" borderId="0" xfId="0" applyFont="1" applyFill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 wrapText="1"/>
    </xf>
    <xf numFmtId="3" fontId="6" fillId="3" borderId="22" xfId="0" applyNumberFormat="1" applyFont="1" applyFill="1" applyBorder="1" applyAlignment="1">
      <alignment horizontal="center" vertical="center" wrapText="1"/>
    </xf>
    <xf numFmtId="3" fontId="6" fillId="3" borderId="23" xfId="0" applyNumberFormat="1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3" fontId="29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3" fontId="17" fillId="3" borderId="17" xfId="0" applyNumberFormat="1" applyFont="1" applyFill="1" applyBorder="1" applyAlignment="1">
      <alignment horizontal="center" vertical="center" wrapText="1"/>
    </xf>
    <xf numFmtId="3" fontId="17" fillId="3" borderId="16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3" fontId="6" fillId="3" borderId="13" xfId="0" applyNumberFormat="1" applyFont="1" applyFill="1" applyBorder="1" applyAlignment="1">
      <alignment horizontal="center" vertical="center" wrapText="1"/>
    </xf>
    <xf numFmtId="3" fontId="6" fillId="3" borderId="38" xfId="0" applyNumberFormat="1" applyFont="1" applyFill="1" applyBorder="1" applyAlignment="1">
      <alignment horizontal="center" vertical="center" wrapText="1"/>
    </xf>
    <xf numFmtId="3" fontId="6" fillId="3" borderId="60" xfId="0" applyNumberFormat="1" applyFont="1" applyFill="1" applyBorder="1" applyAlignment="1">
      <alignment horizontal="center" vertical="center" wrapText="1"/>
    </xf>
    <xf numFmtId="3" fontId="6" fillId="3" borderId="39" xfId="0" applyNumberFormat="1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top" wrapText="1"/>
    </xf>
    <xf numFmtId="0" fontId="19" fillId="6" borderId="0" xfId="0" applyFont="1" applyFill="1" applyAlignment="1">
      <alignment horizontal="center" vertical="top"/>
    </xf>
    <xf numFmtId="0" fontId="6" fillId="3" borderId="15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/>
    </xf>
    <xf numFmtId="0" fontId="26" fillId="7" borderId="17" xfId="0" applyFont="1" applyFill="1" applyBorder="1" applyAlignment="1">
      <alignment horizontal="center" vertical="center" wrapText="1"/>
    </xf>
    <xf numFmtId="0" fontId="26" fillId="7" borderId="35" xfId="0" applyFont="1" applyFill="1" applyBorder="1" applyAlignment="1">
      <alignment horizontal="center" vertical="center" wrapText="1"/>
    </xf>
    <xf numFmtId="0" fontId="26" fillId="7" borderId="16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6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5" fillId="7" borderId="61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14" fillId="7" borderId="24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0" fontId="39" fillId="3" borderId="62" xfId="0" applyFont="1" applyFill="1" applyBorder="1" applyAlignment="1">
      <alignment horizontal="center" vertical="center" wrapText="1"/>
    </xf>
    <xf numFmtId="0" fontId="39" fillId="3" borderId="63" xfId="0" applyFont="1" applyFill="1" applyBorder="1" applyAlignment="1">
      <alignment horizontal="center" vertical="center" wrapText="1"/>
    </xf>
    <xf numFmtId="0" fontId="39" fillId="3" borderId="64" xfId="0" applyFont="1" applyFill="1" applyBorder="1" applyAlignment="1">
      <alignment horizontal="center" vertical="center" wrapText="1"/>
    </xf>
    <xf numFmtId="0" fontId="39" fillId="3" borderId="18" xfId="0" applyFont="1" applyFill="1" applyBorder="1" applyAlignment="1">
      <alignment horizontal="center" vertical="center" wrapText="1"/>
    </xf>
    <xf numFmtId="0" fontId="39" fillId="3" borderId="0" xfId="0" applyFont="1" applyFill="1" applyAlignment="1">
      <alignment horizontal="center" vertical="center" wrapText="1"/>
    </xf>
    <xf numFmtId="0" fontId="39" fillId="3" borderId="65" xfId="0" applyFont="1" applyFill="1" applyBorder="1" applyAlignment="1">
      <alignment horizontal="center" vertical="center" wrapText="1"/>
    </xf>
    <xf numFmtId="0" fontId="39" fillId="3" borderId="48" xfId="0" applyFont="1" applyFill="1" applyBorder="1" applyAlignment="1">
      <alignment horizontal="center" vertical="center" wrapText="1"/>
    </xf>
    <xf numFmtId="0" fontId="39" fillId="3" borderId="47" xfId="0" applyFont="1" applyFill="1" applyBorder="1" applyAlignment="1">
      <alignment horizontal="center" vertical="center" wrapText="1"/>
    </xf>
    <xf numFmtId="0" fontId="39" fillId="3" borderId="28" xfId="0" applyFont="1" applyFill="1" applyBorder="1" applyAlignment="1">
      <alignment horizontal="center" vertical="center" wrapText="1"/>
    </xf>
    <xf numFmtId="1" fontId="39" fillId="7" borderId="17" xfId="0" applyNumberFormat="1" applyFont="1" applyFill="1" applyBorder="1" applyAlignment="1">
      <alignment horizontal="center" vertical="center" wrapText="1"/>
    </xf>
    <xf numFmtId="1" fontId="39" fillId="7" borderId="16" xfId="0" applyNumberFormat="1" applyFont="1" applyFill="1" applyBorder="1" applyAlignment="1">
      <alignment horizontal="center" vertical="center" wrapText="1"/>
    </xf>
    <xf numFmtId="3" fontId="39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7" fillId="7" borderId="17" xfId="0" applyNumberFormat="1" applyFont="1" applyFill="1" applyBorder="1" applyAlignment="1">
      <alignment horizontal="center"/>
    </xf>
    <xf numFmtId="3" fontId="7" fillId="7" borderId="16" xfId="0" applyNumberFormat="1" applyFont="1" applyFill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39" fillId="7" borderId="35" xfId="0" applyNumberFormat="1" applyFont="1" applyFill="1" applyBorder="1" applyAlignment="1">
      <alignment horizontal="center" vertical="center" wrapText="1"/>
    </xf>
    <xf numFmtId="3" fontId="39" fillId="7" borderId="16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3" fontId="48" fillId="0" borderId="18" xfId="0" applyNumberFormat="1" applyFont="1" applyBorder="1" applyAlignment="1">
      <alignment horizontal="right" vertical="center"/>
    </xf>
    <xf numFmtId="0" fontId="40" fillId="2" borderId="0" xfId="0" applyFont="1" applyFill="1" applyAlignment="1">
      <alignment horizontal="center"/>
    </xf>
    <xf numFmtId="0" fontId="39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" fontId="9" fillId="7" borderId="17" xfId="0" applyNumberFormat="1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56" fillId="0" borderId="1" xfId="6" applyFont="1" applyBorder="1" applyAlignment="1">
      <alignment horizontal="left" vertical="center" wrapText="1"/>
    </xf>
    <xf numFmtId="0" fontId="3" fillId="0" borderId="15" xfId="6" applyFont="1" applyBorder="1" applyAlignment="1">
      <alignment horizontal="center" vertical="center" wrapText="1"/>
    </xf>
    <xf numFmtId="0" fontId="3" fillId="0" borderId="22" xfId="6" applyFont="1" applyBorder="1" applyAlignment="1">
      <alignment horizontal="center" vertical="center" wrapText="1"/>
    </xf>
    <xf numFmtId="0" fontId="14" fillId="0" borderId="3" xfId="6" applyFont="1" applyBorder="1" applyAlignment="1">
      <alignment horizontal="left" vertical="center" wrapText="1"/>
    </xf>
    <xf numFmtId="3" fontId="59" fillId="0" borderId="0" xfId="6" applyNumberFormat="1" applyFont="1" applyAlignment="1">
      <alignment horizontal="left" vertical="center" wrapText="1"/>
    </xf>
    <xf numFmtId="0" fontId="6" fillId="0" borderId="1" xfId="6" applyFont="1" applyBorder="1" applyAlignment="1">
      <alignment horizontal="left" vertical="center"/>
    </xf>
    <xf numFmtId="0" fontId="6" fillId="0" borderId="1" xfId="6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6" fillId="0" borderId="22" xfId="6" applyFont="1" applyBorder="1" applyAlignment="1">
      <alignment horizontal="center" vertical="center" wrapText="1"/>
    </xf>
    <xf numFmtId="0" fontId="6" fillId="0" borderId="23" xfId="6" applyFont="1" applyBorder="1" applyAlignment="1">
      <alignment horizontal="center" vertical="center" wrapText="1"/>
    </xf>
    <xf numFmtId="0" fontId="61" fillId="0" borderId="0" xfId="6" applyFont="1" applyAlignment="1">
      <alignment horizontal="center" vertical="center" wrapText="1"/>
    </xf>
    <xf numFmtId="0" fontId="61" fillId="0" borderId="0" xfId="6" applyFont="1" applyAlignment="1">
      <alignment horizontal="center" vertical="center"/>
    </xf>
    <xf numFmtId="0" fontId="58" fillId="0" borderId="1" xfId="6" applyFont="1" applyBorder="1" applyAlignment="1">
      <alignment horizontal="left" vertical="center" wrapText="1"/>
    </xf>
    <xf numFmtId="0" fontId="6" fillId="4" borderId="1" xfId="6" applyFont="1" applyFill="1" applyBorder="1" applyAlignment="1">
      <alignment horizontal="left" vertical="center" wrapText="1"/>
    </xf>
    <xf numFmtId="0" fontId="58" fillId="0" borderId="27" xfId="6" applyFont="1" applyBorder="1" applyAlignment="1">
      <alignment horizontal="center" vertical="center" wrapText="1"/>
    </xf>
    <xf numFmtId="0" fontId="58" fillId="0" borderId="19" xfId="6" applyFont="1" applyBorder="1" applyAlignment="1">
      <alignment horizontal="center" vertical="center" wrapText="1"/>
    </xf>
    <xf numFmtId="0" fontId="58" fillId="0" borderId="41" xfId="6" applyFont="1" applyBorder="1" applyAlignment="1">
      <alignment horizontal="center" vertical="center" wrapText="1"/>
    </xf>
    <xf numFmtId="0" fontId="56" fillId="0" borderId="3" xfId="6" applyFont="1" applyBorder="1" applyAlignment="1">
      <alignment horizontal="left" vertical="center" wrapText="1"/>
    </xf>
    <xf numFmtId="0" fontId="24" fillId="2" borderId="0" xfId="0" applyFont="1" applyFill="1" applyAlignment="1">
      <alignment horizontal="center" wrapText="1"/>
    </xf>
    <xf numFmtId="0" fontId="42" fillId="2" borderId="0" xfId="0" applyFont="1" applyFill="1" applyAlignment="1">
      <alignment horizontal="center" wrapText="1"/>
    </xf>
    <xf numFmtId="0" fontId="47" fillId="3" borderId="21" xfId="0" applyFont="1" applyFill="1" applyBorder="1" applyAlignment="1">
      <alignment horizontal="center" vertical="center" wrapText="1"/>
    </xf>
    <xf numFmtId="0" fontId="47" fillId="3" borderId="7" xfId="0" applyFont="1" applyFill="1" applyBorder="1" applyAlignment="1">
      <alignment horizontal="center" vertical="center" wrapText="1"/>
    </xf>
    <xf numFmtId="0" fontId="47" fillId="3" borderId="37" xfId="0" applyFont="1" applyFill="1" applyBorder="1" applyAlignment="1">
      <alignment horizontal="center" vertical="center" wrapText="1"/>
    </xf>
    <xf numFmtId="0" fontId="41" fillId="3" borderId="21" xfId="0" applyFont="1" applyFill="1" applyBorder="1" applyAlignment="1">
      <alignment horizontal="center" vertical="center" wrapText="1"/>
    </xf>
    <xf numFmtId="0" fontId="41" fillId="3" borderId="7" xfId="0" applyFont="1" applyFill="1" applyBorder="1" applyAlignment="1">
      <alignment horizontal="center" vertical="center" wrapText="1"/>
    </xf>
    <xf numFmtId="0" fontId="41" fillId="3" borderId="37" xfId="0" applyFont="1" applyFill="1" applyBorder="1" applyAlignment="1">
      <alignment horizontal="center" vertical="center" wrapText="1"/>
    </xf>
    <xf numFmtId="0" fontId="41" fillId="3" borderId="38" xfId="0" applyFont="1" applyFill="1" applyBorder="1" applyAlignment="1">
      <alignment horizontal="center" vertical="center" wrapText="1"/>
    </xf>
    <xf numFmtId="0" fontId="41" fillId="3" borderId="60" xfId="0" applyFont="1" applyFill="1" applyBorder="1" applyAlignment="1">
      <alignment horizontal="center" vertical="center" wrapText="1"/>
    </xf>
    <xf numFmtId="0" fontId="41" fillId="3" borderId="39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wrapText="1"/>
    </xf>
    <xf numFmtId="0" fontId="50" fillId="3" borderId="66" xfId="0" applyFont="1" applyFill="1" applyBorder="1" applyAlignment="1">
      <alignment horizontal="center" vertical="center" wrapText="1"/>
    </xf>
    <xf numFmtId="0" fontId="50" fillId="3" borderId="42" xfId="0" applyFont="1" applyFill="1" applyBorder="1" applyAlignment="1">
      <alignment horizontal="center" vertical="center" wrapText="1"/>
    </xf>
    <xf numFmtId="0" fontId="50" fillId="3" borderId="54" xfId="0" applyFont="1" applyFill="1" applyBorder="1" applyAlignment="1">
      <alignment horizontal="center" vertical="center" wrapText="1"/>
    </xf>
    <xf numFmtId="0" fontId="41" fillId="7" borderId="21" xfId="0" applyFont="1" applyFill="1" applyBorder="1" applyAlignment="1">
      <alignment horizontal="center" vertical="center" wrapText="1"/>
    </xf>
    <xf numFmtId="0" fontId="41" fillId="7" borderId="7" xfId="0" applyFont="1" applyFill="1" applyBorder="1" applyAlignment="1">
      <alignment horizontal="center" vertical="center" wrapText="1"/>
    </xf>
    <xf numFmtId="0" fontId="41" fillId="7" borderId="37" xfId="0" applyFont="1" applyFill="1" applyBorder="1" applyAlignment="1">
      <alignment horizontal="center" vertical="center" wrapText="1"/>
    </xf>
    <xf numFmtId="0" fontId="41" fillId="3" borderId="48" xfId="0" applyFont="1" applyFill="1" applyBorder="1" applyAlignment="1">
      <alignment horizontal="center" vertical="center" wrapText="1"/>
    </xf>
    <xf numFmtId="0" fontId="41" fillId="3" borderId="28" xfId="0" applyFont="1" applyFill="1" applyBorder="1" applyAlignment="1">
      <alignment horizontal="center" vertical="center" wrapText="1"/>
    </xf>
    <xf numFmtId="0" fontId="41" fillId="3" borderId="20" xfId="0" applyFont="1" applyFill="1" applyBorder="1" applyAlignment="1">
      <alignment horizontal="center" vertical="center" wrapText="1"/>
    </xf>
    <xf numFmtId="0" fontId="41" fillId="3" borderId="29" xfId="0" applyFont="1" applyFill="1" applyBorder="1" applyAlignment="1">
      <alignment horizontal="center" vertical="center" wrapText="1"/>
    </xf>
    <xf numFmtId="0" fontId="41" fillId="3" borderId="55" xfId="0" applyFont="1" applyFill="1" applyBorder="1" applyAlignment="1">
      <alignment horizontal="center" vertical="center" wrapText="1"/>
    </xf>
    <xf numFmtId="0" fontId="92" fillId="12" borderId="0" xfId="13" applyFont="1" applyFill="1" applyAlignment="1">
      <alignment horizontal="center" wrapText="1"/>
    </xf>
    <xf numFmtId="0" fontId="92" fillId="12" borderId="0" xfId="13" applyFont="1" applyFill="1" applyAlignment="1">
      <alignment horizontal="center"/>
    </xf>
    <xf numFmtId="3" fontId="3" fillId="0" borderId="2" xfId="13" applyNumberFormat="1" applyFont="1" applyBorder="1" applyAlignment="1">
      <alignment horizontal="right" vertical="center"/>
    </xf>
    <xf numFmtId="3" fontId="3" fillId="0" borderId="3" xfId="13" applyNumberFormat="1" applyFont="1" applyBorder="1" applyAlignment="1">
      <alignment horizontal="right" vertical="center"/>
    </xf>
    <xf numFmtId="0" fontId="53" fillId="8" borderId="67" xfId="11" applyFont="1" applyFill="1" applyBorder="1" applyAlignment="1">
      <alignment horizontal="center" vertical="center"/>
    </xf>
    <xf numFmtId="0" fontId="53" fillId="8" borderId="68" xfId="11" applyFont="1" applyFill="1" applyBorder="1" applyAlignment="1">
      <alignment horizontal="center" vertical="center"/>
    </xf>
    <xf numFmtId="0" fontId="66" fillId="8" borderId="49" xfId="11" applyFont="1" applyFill="1" applyBorder="1" applyAlignment="1">
      <alignment horizontal="center" vertical="center" wrapText="1"/>
    </xf>
    <xf numFmtId="0" fontId="66" fillId="8" borderId="33" xfId="11" applyFont="1" applyFill="1" applyBorder="1" applyAlignment="1">
      <alignment horizontal="center" vertical="center" wrapText="1"/>
    </xf>
    <xf numFmtId="0" fontId="53" fillId="8" borderId="61" xfId="11" applyFont="1" applyFill="1" applyBorder="1" applyAlignment="1">
      <alignment horizontal="center" vertical="center" wrapText="1"/>
    </xf>
    <xf numFmtId="0" fontId="53" fillId="8" borderId="51" xfId="11" applyFont="1" applyFill="1" applyBorder="1" applyAlignment="1">
      <alignment horizontal="center" vertical="center" wrapText="1"/>
    </xf>
    <xf numFmtId="0" fontId="22" fillId="8" borderId="61" xfId="11" applyFont="1" applyFill="1" applyBorder="1" applyAlignment="1">
      <alignment horizontal="center" vertical="center" wrapText="1"/>
    </xf>
    <xf numFmtId="0" fontId="22" fillId="8" borderId="51" xfId="11" applyFont="1" applyFill="1" applyBorder="1" applyAlignment="1">
      <alignment horizontal="center" vertical="center"/>
    </xf>
    <xf numFmtId="0" fontId="53" fillId="8" borderId="49" xfId="11" applyFont="1" applyFill="1" applyBorder="1" applyAlignment="1">
      <alignment horizontal="center" vertical="center"/>
    </xf>
    <xf numFmtId="0" fontId="53" fillId="8" borderId="33" xfId="11" applyFont="1" applyFill="1" applyBorder="1" applyAlignment="1">
      <alignment horizontal="center" vertical="center"/>
    </xf>
    <xf numFmtId="0" fontId="53" fillId="8" borderId="27" xfId="11" applyFont="1" applyFill="1" applyBorder="1" applyAlignment="1">
      <alignment horizontal="center" vertical="center"/>
    </xf>
    <xf numFmtId="0" fontId="53" fillId="8" borderId="19" xfId="11" applyFont="1" applyFill="1" applyBorder="1" applyAlignment="1">
      <alignment horizontal="center" vertical="center"/>
    </xf>
    <xf numFmtId="0" fontId="53" fillId="8" borderId="24" xfId="11" applyFont="1" applyFill="1" applyBorder="1" applyAlignment="1">
      <alignment horizontal="center" vertical="center"/>
    </xf>
    <xf numFmtId="0" fontId="21" fillId="0" borderId="0" xfId="11" applyFont="1" applyAlignment="1">
      <alignment horizontal="center" wrapText="1"/>
    </xf>
    <xf numFmtId="0" fontId="53" fillId="8" borderId="19" xfId="11" applyFont="1" applyFill="1" applyBorder="1" applyAlignment="1">
      <alignment horizontal="center"/>
    </xf>
    <xf numFmtId="0" fontId="53" fillId="8" borderId="69" xfId="11" applyFont="1" applyFill="1" applyBorder="1" applyAlignment="1">
      <alignment horizontal="center" vertical="center"/>
    </xf>
    <xf numFmtId="0" fontId="53" fillId="8" borderId="4" xfId="11" applyFont="1" applyFill="1" applyBorder="1" applyAlignment="1">
      <alignment horizontal="center"/>
    </xf>
    <xf numFmtId="0" fontId="53" fillId="8" borderId="5" xfId="11" applyFont="1" applyFill="1" applyBorder="1" applyAlignment="1">
      <alignment horizontal="center"/>
    </xf>
    <xf numFmtId="0" fontId="53" fillId="8" borderId="30" xfId="11" applyFont="1" applyFill="1" applyBorder="1" applyAlignment="1">
      <alignment horizontal="center"/>
    </xf>
    <xf numFmtId="0" fontId="53" fillId="8" borderId="49" xfId="11" applyFont="1" applyFill="1" applyBorder="1" applyAlignment="1">
      <alignment horizontal="center" vertical="center" wrapText="1"/>
    </xf>
    <xf numFmtId="0" fontId="53" fillId="8" borderId="33" xfId="11" applyFont="1" applyFill="1" applyBorder="1" applyAlignment="1">
      <alignment horizontal="center" vertical="center" wrapText="1"/>
    </xf>
    <xf numFmtId="0" fontId="67" fillId="8" borderId="70" xfId="11" applyFont="1" applyFill="1" applyBorder="1" applyAlignment="1">
      <alignment horizontal="center" vertical="center" wrapText="1"/>
    </xf>
    <xf numFmtId="0" fontId="67" fillId="8" borderId="69" xfId="11" applyFont="1" applyFill="1" applyBorder="1" applyAlignment="1">
      <alignment horizontal="center" vertical="center" wrapText="1"/>
    </xf>
    <xf numFmtId="0" fontId="67" fillId="8" borderId="49" xfId="11" applyFont="1" applyFill="1" applyBorder="1" applyAlignment="1">
      <alignment horizontal="center" vertical="center" wrapText="1"/>
    </xf>
    <xf numFmtId="0" fontId="67" fillId="8" borderId="33" xfId="1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71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91" fillId="6" borderId="0" xfId="5" applyFont="1" applyFill="1" applyAlignment="1">
      <alignment horizontal="center"/>
    </xf>
    <xf numFmtId="0" fontId="80" fillId="5" borderId="20" xfId="5" applyFont="1" applyFill="1" applyBorder="1" applyAlignment="1">
      <alignment horizontal="center" vertical="center" wrapText="1"/>
    </xf>
    <xf numFmtId="0" fontId="80" fillId="5" borderId="55" xfId="5" applyFont="1" applyFill="1" applyBorder="1" applyAlignment="1">
      <alignment horizontal="center" vertical="center"/>
    </xf>
    <xf numFmtId="0" fontId="80" fillId="5" borderId="38" xfId="5" applyFont="1" applyFill="1" applyBorder="1" applyAlignment="1">
      <alignment horizontal="center"/>
    </xf>
    <xf numFmtId="0" fontId="80" fillId="5" borderId="60" xfId="5" applyFont="1" applyFill="1" applyBorder="1" applyAlignment="1">
      <alignment horizontal="center"/>
    </xf>
    <xf numFmtId="0" fontId="80" fillId="5" borderId="39" xfId="5" applyFont="1" applyFill="1" applyBorder="1" applyAlignment="1">
      <alignment horizontal="center"/>
    </xf>
    <xf numFmtId="0" fontId="80" fillId="5" borderId="22" xfId="5" applyFont="1" applyFill="1" applyBorder="1" applyAlignment="1">
      <alignment horizontal="center"/>
    </xf>
    <xf numFmtId="0" fontId="80" fillId="5" borderId="23" xfId="5" applyFont="1" applyFill="1" applyBorder="1" applyAlignment="1">
      <alignment horizontal="center"/>
    </xf>
    <xf numFmtId="3" fontId="77" fillId="0" borderId="3" xfId="5" applyNumberFormat="1" applyFont="1" applyBorder="1" applyAlignment="1">
      <alignment horizontal="right"/>
    </xf>
    <xf numFmtId="3" fontId="77" fillId="0" borderId="1" xfId="5" applyNumberFormat="1" applyFont="1" applyBorder="1" applyAlignment="1">
      <alignment horizontal="right"/>
    </xf>
    <xf numFmtId="3" fontId="85" fillId="0" borderId="48" xfId="5" applyNumberFormat="1" applyFont="1" applyBorder="1" applyAlignment="1">
      <alignment horizontal="center"/>
    </xf>
    <xf numFmtId="3" fontId="85" fillId="0" borderId="28" xfId="5" applyNumberFormat="1" applyFont="1" applyBorder="1" applyAlignment="1">
      <alignment horizontal="center"/>
    </xf>
  </cellXfs>
  <cellStyles count="19">
    <cellStyle name="Ezres 2" xfId="1" xr:uid="{00000000-0005-0000-0000-000001000000}"/>
    <cellStyle name="Ezres 3" xfId="2" xr:uid="{00000000-0005-0000-0000-000002000000}"/>
    <cellStyle name="Normál" xfId="0" builtinId="0"/>
    <cellStyle name="Normál 10" xfId="13" xr:uid="{00000000-0005-0000-0000-000004000000}"/>
    <cellStyle name="Normál 2" xfId="3" xr:uid="{00000000-0005-0000-0000-000005000000}"/>
    <cellStyle name="Normál 2 2" xfId="4" xr:uid="{00000000-0005-0000-0000-000006000000}"/>
    <cellStyle name="Normál 3" xfId="5" xr:uid="{00000000-0005-0000-0000-000007000000}"/>
    <cellStyle name="Normál 3 2" xfId="14" xr:uid="{866C60C3-5721-45A5-A6B5-2C466DF73881}"/>
    <cellStyle name="Normál 4" xfId="6" xr:uid="{00000000-0005-0000-0000-000008000000}"/>
    <cellStyle name="Normál 4 2" xfId="15" xr:uid="{E7E9F07C-538E-4EEE-96F2-4396D9BF9A81}"/>
    <cellStyle name="Normál 5" xfId="7" xr:uid="{00000000-0005-0000-0000-000009000000}"/>
    <cellStyle name="Normál 5 2" xfId="16" xr:uid="{5594764C-61F5-4714-863F-C55BE6B0BDD4}"/>
    <cellStyle name="Normál 6" xfId="8" xr:uid="{00000000-0005-0000-0000-00000A000000}"/>
    <cellStyle name="Normál 6 2" xfId="17" xr:uid="{A63B84FE-EEDC-4E23-89F5-F0940D297118}"/>
    <cellStyle name="Normál 7" xfId="9" xr:uid="{00000000-0005-0000-0000-00000B000000}"/>
    <cellStyle name="Normál 8" xfId="10" xr:uid="{00000000-0005-0000-0000-00000C000000}"/>
    <cellStyle name="Normál 9" xfId="11" xr:uid="{00000000-0005-0000-0000-00000D000000}"/>
    <cellStyle name="Normál 9 2" xfId="18" xr:uid="{A7BF3AF6-8BC7-4A16-9A59-AA65D926FFD2}"/>
    <cellStyle name="Normal_KARSZJ3" xfId="12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05.%20&#233;vi%20k&#246;lt&#233;sgvet&#233;s\Mell&#233;kletek\&#214;sszes%20t&#225;bla%20egyb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yes/Documents/2005.%20&#233;vi%20k&#246;lt&#233;sgvet&#233;s/Mell&#233;kletek/&#214;sszes%20t&#225;bla%20egyb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ORI~1\AppData\Local\Temp\K&#246;lts&#233;gvet&#233;s_2022_II.fordul&#243;_ok-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yes/Documents/2021.%20&#233;vi%20k&#246;lts&#233;gvet&#233;s/TKT/01%20K&#246;lts&#233;gfeloszt&#225;s_2021_TK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nyes\Documents\egy&#233;b\kist&#233;rs&#233;g\2020_kist&#233;rs&#233;g\TKT%20&#252;l&#233;s_2020.10.15\Ktgfeloszt&#225;s_2020_TKT_2020.10.h&#24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sítő"/>
      <sheetName val="1.Bev-kiad."/>
      <sheetName val="2.működés"/>
      <sheetName val="3.felh"/>
      <sheetName val="4. Átadott p.eszk."/>
      <sheetName val="5.Bev.össz"/>
      <sheetName val="6.Kiad.össz. "/>
      <sheetName val="7.finanszírozás."/>
      <sheetName val="8.Önk."/>
      <sheetName val="zöld város"/>
      <sheetName val="9.Hivatal"/>
      <sheetName val="10.Többéves, adósság"/>
      <sheetName val="12. Maradványkimutatás"/>
      <sheetName val="13.Mérleg"/>
      <sheetName val="14. Eredménykimutatás"/>
      <sheetName val="15. Vagyonkimutatás"/>
      <sheetName val="16. Előirányzat felh.terv"/>
      <sheetName val="17. Részesedések"/>
      <sheetName val="11.Likviditás"/>
      <sheetName val="12. gördülő tervezés"/>
      <sheetName val="13. Eu projekt"/>
      <sheetName val="14.mérlegszerű kimutatás"/>
      <sheetName val="Társulási díjak tájékoztatásul"/>
      <sheetName val="Társulási fel. tájékoztatásul"/>
      <sheetName val="beruházások"/>
      <sheetName val="13.2.EU projekt részletesen"/>
    </sheetNames>
    <sheetDataSet>
      <sheetData sheetId="0"/>
      <sheetData sheetId="1">
        <row r="9">
          <cell r="C9">
            <v>559478</v>
          </cell>
        </row>
        <row r="16">
          <cell r="C16">
            <v>305226</v>
          </cell>
        </row>
        <row r="22">
          <cell r="C22">
            <v>373000</v>
          </cell>
        </row>
        <row r="29">
          <cell r="C29">
            <v>51770</v>
          </cell>
        </row>
        <row r="40">
          <cell r="C40">
            <v>26950</v>
          </cell>
        </row>
        <row r="46">
          <cell r="C46">
            <v>20000</v>
          </cell>
        </row>
        <row r="50">
          <cell r="C50">
            <v>10300</v>
          </cell>
        </row>
        <row r="57">
          <cell r="C57">
            <v>220868</v>
          </cell>
        </row>
        <row r="58">
          <cell r="C58">
            <v>574708</v>
          </cell>
        </row>
        <row r="60">
          <cell r="C60">
            <v>342000</v>
          </cell>
        </row>
        <row r="71">
          <cell r="C71">
            <v>456818</v>
          </cell>
        </row>
        <row r="72">
          <cell r="C72">
            <v>641826</v>
          </cell>
        </row>
        <row r="73">
          <cell r="C73">
            <v>143582</v>
          </cell>
        </row>
        <row r="79">
          <cell r="C79">
            <v>15915</v>
          </cell>
        </row>
        <row r="81">
          <cell r="C81">
            <v>58156</v>
          </cell>
        </row>
      </sheetData>
      <sheetData sheetId="2">
        <row r="111">
          <cell r="C111">
            <v>238288</v>
          </cell>
        </row>
        <row r="114">
          <cell r="C114">
            <v>31821</v>
          </cell>
        </row>
        <row r="117">
          <cell r="C117">
            <v>367219</v>
          </cell>
        </row>
        <row r="120">
          <cell r="C120">
            <v>9300</v>
          </cell>
        </row>
        <row r="121">
          <cell r="C121">
            <v>521375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Óvoda"/>
      <sheetName val="szoc. egyenkénti feladatok"/>
      <sheetName val="Házi segítségnyújtás"/>
      <sheetName val="Jelzőrendszer"/>
      <sheetName val="Püg.,TV, étkeztetés "/>
      <sheetName val="Társulási hozzájár."/>
      <sheetName val="Ügyelet"/>
      <sheetName val="Labor"/>
      <sheetName val="TKT feladatok"/>
      <sheetName val="TKT műk."/>
      <sheetName val="Családsegítés, gyerm.jólét"/>
      <sheetName val="Összesítő"/>
      <sheetName val="munka"/>
      <sheetName val="házi segítségnyújtás bér"/>
      <sheetName val="CSS GYJ"/>
    </sheetNames>
    <sheetDataSet>
      <sheetData sheetId="0"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34">
          <cell r="C34">
            <v>0</v>
          </cell>
          <cell r="E34">
            <v>0</v>
          </cell>
        </row>
      </sheetData>
      <sheetData sheetId="1"/>
      <sheetData sheetId="2"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</sheetData>
      <sheetData sheetId="3">
        <row r="18">
          <cell r="E18">
            <v>109.48</v>
          </cell>
        </row>
        <row r="19">
          <cell r="E19">
            <v>78.2</v>
          </cell>
        </row>
        <row r="20">
          <cell r="E20">
            <v>547.4</v>
          </cell>
        </row>
        <row r="21">
          <cell r="E21">
            <v>93.84</v>
          </cell>
        </row>
        <row r="22">
          <cell r="E22">
            <v>15.64</v>
          </cell>
        </row>
        <row r="23">
          <cell r="E23">
            <v>0</v>
          </cell>
        </row>
        <row r="24">
          <cell r="E24">
            <v>46.92</v>
          </cell>
        </row>
        <row r="25">
          <cell r="E25">
            <v>15.64</v>
          </cell>
        </row>
        <row r="26">
          <cell r="E26">
            <v>46.92</v>
          </cell>
        </row>
        <row r="27">
          <cell r="E27">
            <v>15.64</v>
          </cell>
        </row>
        <row r="28">
          <cell r="E28">
            <v>186.68</v>
          </cell>
        </row>
        <row r="29">
          <cell r="E29">
            <v>15.64</v>
          </cell>
        </row>
        <row r="30">
          <cell r="E30">
            <v>0</v>
          </cell>
        </row>
        <row r="31">
          <cell r="E31">
            <v>1173</v>
          </cell>
        </row>
      </sheetData>
      <sheetData sheetId="4">
        <row r="20">
          <cell r="D20">
            <v>730</v>
          </cell>
          <cell r="E20">
            <v>3510</v>
          </cell>
        </row>
        <row r="21">
          <cell r="D21">
            <v>0</v>
          </cell>
          <cell r="E21">
            <v>165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1570</v>
          </cell>
          <cell r="E24">
            <v>165</v>
          </cell>
        </row>
        <row r="25">
          <cell r="D25">
            <v>0</v>
          </cell>
          <cell r="E25">
            <v>165</v>
          </cell>
        </row>
        <row r="26">
          <cell r="D26">
            <v>600</v>
          </cell>
          <cell r="E26">
            <v>0</v>
          </cell>
        </row>
        <row r="27">
          <cell r="D27">
            <v>0</v>
          </cell>
          <cell r="E27">
            <v>165</v>
          </cell>
        </row>
        <row r="28">
          <cell r="D28">
            <v>0</v>
          </cell>
          <cell r="E28">
            <v>165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165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2900</v>
          </cell>
        </row>
      </sheetData>
      <sheetData sheetId="5">
        <row r="9">
          <cell r="F9">
            <v>1172</v>
          </cell>
        </row>
        <row r="10">
          <cell r="F10">
            <v>275</v>
          </cell>
        </row>
        <row r="11">
          <cell r="F11">
            <v>1127</v>
          </cell>
        </row>
        <row r="12">
          <cell r="F12">
            <v>913</v>
          </cell>
        </row>
        <row r="13">
          <cell r="F13">
            <v>304</v>
          </cell>
        </row>
        <row r="14">
          <cell r="F14">
            <v>272</v>
          </cell>
        </row>
        <row r="15">
          <cell r="F15">
            <v>710</v>
          </cell>
        </row>
        <row r="16">
          <cell r="F16">
            <v>272</v>
          </cell>
        </row>
        <row r="17">
          <cell r="F17">
            <v>189</v>
          </cell>
        </row>
        <row r="18">
          <cell r="F18">
            <v>194</v>
          </cell>
        </row>
        <row r="19">
          <cell r="F19">
            <v>349</v>
          </cell>
        </row>
        <row r="20">
          <cell r="F20">
            <v>294</v>
          </cell>
        </row>
        <row r="21">
          <cell r="F21">
            <v>113</v>
          </cell>
        </row>
      </sheetData>
      <sheetData sheetId="6">
        <row r="26">
          <cell r="E26">
            <v>15200.315972449162</v>
          </cell>
        </row>
        <row r="27">
          <cell r="E27">
            <v>2909.5689608434536</v>
          </cell>
        </row>
        <row r="28">
          <cell r="E28">
            <v>11904.41915200997</v>
          </cell>
        </row>
        <row r="29">
          <cell r="E29">
            <v>9990.2631919183241</v>
          </cell>
        </row>
        <row r="30">
          <cell r="E30">
            <v>804.69041095890418</v>
          </cell>
        </row>
        <row r="31">
          <cell r="E31">
            <v>610.45479452054792</v>
          </cell>
        </row>
        <row r="32">
          <cell r="E32">
            <v>2830.2904109589044</v>
          </cell>
        </row>
        <row r="33">
          <cell r="E33">
            <v>471.71506849315074</v>
          </cell>
        </row>
        <row r="34">
          <cell r="E34">
            <v>499.46301369863016</v>
          </cell>
        </row>
        <row r="35">
          <cell r="E35">
            <v>527.21095890410959</v>
          </cell>
        </row>
        <row r="36">
          <cell r="E36">
            <v>3284.2272433270286</v>
          </cell>
        </row>
        <row r="37">
          <cell r="E37">
            <v>860.18630136986303</v>
          </cell>
        </row>
        <row r="38">
          <cell r="E38">
            <v>749.19452054794522</v>
          </cell>
        </row>
      </sheetData>
      <sheetData sheetId="7">
        <row r="27">
          <cell r="H27">
            <v>4932</v>
          </cell>
        </row>
        <row r="28">
          <cell r="H28">
            <v>1155</v>
          </cell>
        </row>
        <row r="29">
          <cell r="H29">
            <v>4742</v>
          </cell>
        </row>
        <row r="30">
          <cell r="H30">
            <v>3842</v>
          </cell>
        </row>
        <row r="31">
          <cell r="H31">
            <v>853</v>
          </cell>
        </row>
        <row r="32">
          <cell r="H32">
            <v>762</v>
          </cell>
        </row>
        <row r="33">
          <cell r="H33">
            <v>1992</v>
          </cell>
        </row>
        <row r="34">
          <cell r="H34">
            <v>763</v>
          </cell>
        </row>
        <row r="35">
          <cell r="H35">
            <v>530</v>
          </cell>
        </row>
        <row r="36">
          <cell r="H36">
            <v>546</v>
          </cell>
        </row>
        <row r="37">
          <cell r="H37">
            <v>1468</v>
          </cell>
        </row>
        <row r="38">
          <cell r="H38">
            <v>826</v>
          </cell>
        </row>
        <row r="39">
          <cell r="H39">
            <v>317</v>
          </cell>
        </row>
      </sheetData>
      <sheetData sheetId="8"/>
      <sheetData sheetId="9">
        <row r="39">
          <cell r="B39">
            <v>2344</v>
          </cell>
          <cell r="E39">
            <v>125.08408796895213</v>
          </cell>
        </row>
        <row r="40">
          <cell r="B40">
            <v>549</v>
          </cell>
          <cell r="E40">
            <v>29.296571798188875</v>
          </cell>
        </row>
        <row r="41">
          <cell r="B41">
            <v>2254</v>
          </cell>
          <cell r="E41">
            <v>120.28137128072446</v>
          </cell>
        </row>
        <row r="42">
          <cell r="B42">
            <v>1826</v>
          </cell>
          <cell r="E42">
            <v>98.441785252263898</v>
          </cell>
        </row>
        <row r="43">
          <cell r="B43">
            <v>608</v>
          </cell>
          <cell r="E43">
            <v>33.445019404915911</v>
          </cell>
        </row>
        <row r="44">
          <cell r="B44">
            <v>543</v>
          </cell>
          <cell r="E44">
            <v>28.976390685640364</v>
          </cell>
        </row>
        <row r="45">
          <cell r="B45">
            <v>1420</v>
          </cell>
          <cell r="E45">
            <v>75.776196636481245</v>
          </cell>
        </row>
        <row r="46">
          <cell r="B46">
            <v>544</v>
          </cell>
          <cell r="E46">
            <v>29.029754204398451</v>
          </cell>
        </row>
        <row r="47">
          <cell r="B47">
            <v>378</v>
          </cell>
          <cell r="E47">
            <v>20.171410090556275</v>
          </cell>
        </row>
        <row r="48">
          <cell r="B48">
            <v>389</v>
          </cell>
          <cell r="E48">
            <v>20.758408796895214</v>
          </cell>
        </row>
        <row r="49">
          <cell r="B49">
            <v>698</v>
          </cell>
          <cell r="E49">
            <v>37.247736093143601</v>
          </cell>
        </row>
        <row r="50">
          <cell r="B50">
            <v>589</v>
          </cell>
          <cell r="E50">
            <v>31.431112548512292</v>
          </cell>
        </row>
        <row r="51">
          <cell r="B51">
            <v>226</v>
          </cell>
          <cell r="E51">
            <v>12.060155239327297</v>
          </cell>
        </row>
      </sheetData>
      <sheetData sheetId="10">
        <row r="41">
          <cell r="V41">
            <v>395.67390583333349</v>
          </cell>
        </row>
        <row r="42">
          <cell r="V42">
            <v>253.42884916666665</v>
          </cell>
        </row>
        <row r="43">
          <cell r="V43">
            <v>342.58200958333356</v>
          </cell>
        </row>
        <row r="44">
          <cell r="V44">
            <v>189.24688458333341</v>
          </cell>
        </row>
        <row r="45">
          <cell r="V45">
            <v>199.33695291666675</v>
          </cell>
        </row>
        <row r="46">
          <cell r="V46">
            <v>363.01323958333353</v>
          </cell>
        </row>
        <row r="47">
          <cell r="V47">
            <v>925.84468062793417</v>
          </cell>
        </row>
        <row r="49">
          <cell r="V49">
            <v>1196.8236115434283</v>
          </cell>
        </row>
        <row r="50">
          <cell r="V50">
            <v>362.30524122065719</v>
          </cell>
        </row>
        <row r="51">
          <cell r="V51">
            <v>720.61048244131439</v>
          </cell>
        </row>
        <row r="53">
          <cell r="V53">
            <v>462.37694666666653</v>
          </cell>
        </row>
        <row r="54">
          <cell r="V54">
            <v>143.80529583333333</v>
          </cell>
        </row>
        <row r="56">
          <cell r="V56">
            <v>0</v>
          </cell>
        </row>
        <row r="57">
          <cell r="V57">
            <v>0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Óvoda"/>
      <sheetName val="szoc. egyenkénti feladatok"/>
      <sheetName val="Házi segítségnyújtás"/>
      <sheetName val="Püg.,TV, étkeztetés "/>
      <sheetName val="Társulási hozzájár."/>
      <sheetName val="Ügyelet"/>
      <sheetName val="Labor"/>
      <sheetName val="TKT feladatok"/>
      <sheetName val="TKT műk."/>
      <sheetName val="Családsegítés"/>
      <sheetName val="Összesítő"/>
      <sheetName val="munka"/>
      <sheetName val="házi segítségnyújtás bér"/>
      <sheetName val="CSS GY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849"/>
  <sheetViews>
    <sheetView topLeftCell="B1" zoomScaleNormal="100" workbookViewId="0">
      <selection activeCell="C76" sqref="C76"/>
    </sheetView>
  </sheetViews>
  <sheetFormatPr defaultRowHeight="12.75" x14ac:dyDescent="0.2"/>
  <cols>
    <col min="1" max="1" width="0" hidden="1" customWidth="1"/>
    <col min="2" max="2" width="8" style="2" customWidth="1"/>
    <col min="3" max="3" width="75.7109375" customWidth="1"/>
    <col min="4" max="4" width="16.42578125" customWidth="1"/>
    <col min="5" max="5" width="13" customWidth="1"/>
    <col min="6" max="6" width="13.42578125" style="37" customWidth="1"/>
    <col min="7" max="7" width="6.42578125" hidden="1" customWidth="1"/>
    <col min="8" max="8" width="17.85546875" hidden="1" customWidth="1"/>
    <col min="9" max="9" width="17" customWidth="1"/>
  </cols>
  <sheetData>
    <row r="1" spans="2:35" ht="4.5" customHeight="1" x14ac:dyDescent="0.3">
      <c r="B1" s="55"/>
      <c r="C1" s="34"/>
      <c r="D1" s="34"/>
      <c r="E1" s="34"/>
      <c r="F1" s="56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2:35" ht="18.75" customHeight="1" x14ac:dyDescent="0.35">
      <c r="B2" s="55"/>
      <c r="C2" s="742" t="s">
        <v>27</v>
      </c>
      <c r="D2" s="742"/>
      <c r="E2" s="742"/>
      <c r="F2" s="74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ht="18.75" customHeight="1" x14ac:dyDescent="0.35">
      <c r="B3" s="55"/>
      <c r="C3" s="742" t="s">
        <v>1090</v>
      </c>
      <c r="D3" s="742"/>
      <c r="E3" s="742"/>
      <c r="F3" s="74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2:35" ht="10.5" customHeight="1" thickBot="1" x14ac:dyDescent="0.25">
      <c r="B4" s="55"/>
      <c r="C4" s="1"/>
      <c r="D4" s="1"/>
      <c r="E4" s="1"/>
      <c r="F4" s="56" t="s">
        <v>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2:35" ht="18.75" customHeight="1" thickBot="1" x14ac:dyDescent="0.25">
      <c r="B5" s="744" t="s">
        <v>118</v>
      </c>
      <c r="C5" s="746" t="s">
        <v>772</v>
      </c>
      <c r="D5" s="748" t="s">
        <v>1087</v>
      </c>
      <c r="E5" s="746"/>
      <c r="F5" s="749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2:35" ht="16.5" thickBot="1" x14ac:dyDescent="0.25">
      <c r="B6" s="745"/>
      <c r="C6" s="747"/>
      <c r="D6" s="113" t="s">
        <v>44</v>
      </c>
      <c r="E6" s="45" t="s">
        <v>773</v>
      </c>
      <c r="F6" s="503" t="s">
        <v>47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2:35" ht="18.75" customHeight="1" x14ac:dyDescent="0.2">
      <c r="B7" s="504" t="s">
        <v>119</v>
      </c>
      <c r="C7" s="226" t="s">
        <v>339</v>
      </c>
      <c r="D7" s="173">
        <f>SUM(D8+D31+D37+D42+D54+D57+D61)</f>
        <v>103578</v>
      </c>
      <c r="E7" s="173">
        <f>SUM(E8+E31+E37+E42+E54+E57+E61)</f>
        <v>6573</v>
      </c>
      <c r="F7" s="517">
        <f>SUM(F8+F31+F37+F42+F54+F57+F61)</f>
        <v>110151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2:35" ht="15" x14ac:dyDescent="0.25">
      <c r="B8" s="505" t="s">
        <v>120</v>
      </c>
      <c r="C8" s="23" t="s">
        <v>221</v>
      </c>
      <c r="D8" s="38">
        <f>SUM(D9:D30)</f>
        <v>27411</v>
      </c>
      <c r="E8" s="38">
        <f>SUM(E9:E30)</f>
        <v>5500</v>
      </c>
      <c r="F8" s="518">
        <f>SUM(F9:F30)</f>
        <v>32911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2:35" hidden="1" x14ac:dyDescent="0.2">
      <c r="B9" s="506" t="s">
        <v>210</v>
      </c>
      <c r="C9" s="583" t="s">
        <v>914</v>
      </c>
      <c r="D9" s="13"/>
      <c r="E9" s="13"/>
      <c r="F9" s="519">
        <f>D9+E9</f>
        <v>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2:35" hidden="1" x14ac:dyDescent="0.2">
      <c r="B10" s="506" t="s">
        <v>210</v>
      </c>
      <c r="C10" s="583" t="s">
        <v>1050</v>
      </c>
      <c r="D10" s="13"/>
      <c r="E10" s="13"/>
      <c r="F10" s="519">
        <f>D10+E10</f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2:35" hidden="1" x14ac:dyDescent="0.2">
      <c r="B11" s="506" t="s">
        <v>210</v>
      </c>
      <c r="C11" s="583" t="s">
        <v>914</v>
      </c>
      <c r="D11" s="13"/>
      <c r="E11" s="13"/>
      <c r="F11" s="519">
        <f t="shared" ref="F11:F30" si="0">D11+E11</f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2:35" hidden="1" x14ac:dyDescent="0.2">
      <c r="B12" s="506" t="s">
        <v>211</v>
      </c>
      <c r="C12" s="583" t="s">
        <v>916</v>
      </c>
      <c r="D12" s="13"/>
      <c r="E12" s="13"/>
      <c r="F12" s="519">
        <f t="shared" si="0"/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2:35" x14ac:dyDescent="0.2">
      <c r="B13" s="506" t="s">
        <v>211</v>
      </c>
      <c r="C13" s="583" t="s">
        <v>924</v>
      </c>
      <c r="D13" s="13">
        <v>1261</v>
      </c>
      <c r="E13" s="13"/>
      <c r="F13" s="519">
        <f t="shared" si="0"/>
        <v>1261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2:35" x14ac:dyDescent="0.2">
      <c r="B14" s="506" t="s">
        <v>212</v>
      </c>
      <c r="C14" s="583" t="s">
        <v>1224</v>
      </c>
      <c r="D14" s="13">
        <v>-68</v>
      </c>
      <c r="E14" s="13"/>
      <c r="F14" s="519">
        <f t="shared" si="0"/>
        <v>-68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2:35" hidden="1" x14ac:dyDescent="0.2">
      <c r="B15" s="506" t="s">
        <v>212</v>
      </c>
      <c r="C15" s="583" t="s">
        <v>917</v>
      </c>
      <c r="D15" s="13"/>
      <c r="E15" s="13"/>
      <c r="F15" s="519">
        <f t="shared" si="0"/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2:35" x14ac:dyDescent="0.2">
      <c r="B16" s="506" t="s">
        <v>212</v>
      </c>
      <c r="C16" s="583" t="s">
        <v>1226</v>
      </c>
      <c r="D16" s="13">
        <v>21582</v>
      </c>
      <c r="E16" s="13"/>
      <c r="F16" s="519">
        <f t="shared" si="0"/>
        <v>21582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2:35" x14ac:dyDescent="0.2">
      <c r="B17" s="506" t="s">
        <v>212</v>
      </c>
      <c r="C17" s="583" t="s">
        <v>1223</v>
      </c>
      <c r="D17" s="13">
        <v>2477</v>
      </c>
      <c r="E17" s="13"/>
      <c r="F17" s="519">
        <f t="shared" si="0"/>
        <v>2477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2:35" hidden="1" x14ac:dyDescent="0.2">
      <c r="B18" s="506" t="s">
        <v>212</v>
      </c>
      <c r="C18" s="583" t="s">
        <v>1069</v>
      </c>
      <c r="D18" s="13"/>
      <c r="E18" s="13"/>
      <c r="F18" s="519">
        <f t="shared" si="0"/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2:35" hidden="1" x14ac:dyDescent="0.2">
      <c r="B19" s="506" t="s">
        <v>212</v>
      </c>
      <c r="C19" s="583" t="s">
        <v>1052</v>
      </c>
      <c r="D19" s="13"/>
      <c r="E19" s="13"/>
      <c r="F19" s="519">
        <f t="shared" si="0"/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2:35" hidden="1" x14ac:dyDescent="0.2">
      <c r="B20" s="506" t="s">
        <v>212</v>
      </c>
      <c r="C20" s="583" t="s">
        <v>1054</v>
      </c>
      <c r="D20" s="13"/>
      <c r="E20" s="13"/>
      <c r="F20" s="519">
        <f>D20+E20</f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2:35" hidden="1" x14ac:dyDescent="0.2">
      <c r="B21" s="506" t="s">
        <v>213</v>
      </c>
      <c r="C21" s="583" t="s">
        <v>1072</v>
      </c>
      <c r="D21" s="13"/>
      <c r="E21" s="13"/>
      <c r="F21" s="519">
        <f t="shared" si="0"/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2:35" hidden="1" x14ac:dyDescent="0.2">
      <c r="B22" s="506" t="s">
        <v>214</v>
      </c>
      <c r="C22" s="583" t="s">
        <v>1152</v>
      </c>
      <c r="D22" s="13"/>
      <c r="E22" s="13"/>
      <c r="F22" s="519">
        <f t="shared" si="0"/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2:35" x14ac:dyDescent="0.2">
      <c r="B23" s="506" t="s">
        <v>214</v>
      </c>
      <c r="C23" s="583" t="s">
        <v>1227</v>
      </c>
      <c r="D23" s="13">
        <v>2159</v>
      </c>
      <c r="E23" s="13"/>
      <c r="F23" s="519">
        <f t="shared" si="0"/>
        <v>2159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2:35" hidden="1" x14ac:dyDescent="0.2">
      <c r="B24" s="506" t="s">
        <v>214</v>
      </c>
      <c r="C24" s="583" t="s">
        <v>1154</v>
      </c>
      <c r="D24" s="13"/>
      <c r="E24" s="13"/>
      <c r="F24" s="519">
        <f t="shared" si="0"/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2:35" hidden="1" x14ac:dyDescent="0.2">
      <c r="B25" s="506" t="s">
        <v>214</v>
      </c>
      <c r="C25" s="583" t="s">
        <v>1083</v>
      </c>
      <c r="D25" s="13"/>
      <c r="E25" s="13"/>
      <c r="F25" s="519">
        <f t="shared" si="0"/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2:35" x14ac:dyDescent="0.2">
      <c r="B26" s="506" t="s">
        <v>1251</v>
      </c>
      <c r="C26" s="583" t="s">
        <v>1294</v>
      </c>
      <c r="D26" s="13">
        <v>-2034</v>
      </c>
      <c r="E26" s="13"/>
      <c r="F26" s="519">
        <f t="shared" si="0"/>
        <v>-2034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2:35" x14ac:dyDescent="0.2">
      <c r="B27" s="506" t="s">
        <v>125</v>
      </c>
      <c r="C27" s="8" t="s">
        <v>1252</v>
      </c>
      <c r="D27" s="13">
        <v>2034</v>
      </c>
      <c r="E27" s="13"/>
      <c r="F27" s="519">
        <f>D27+E27</f>
        <v>2034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2:35" x14ac:dyDescent="0.2">
      <c r="B28" s="506" t="s">
        <v>125</v>
      </c>
      <c r="C28" s="8" t="s">
        <v>1261</v>
      </c>
      <c r="D28" s="13"/>
      <c r="E28" s="13">
        <v>6235</v>
      </c>
      <c r="F28" s="519">
        <f>D28+E28</f>
        <v>6235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2:35" x14ac:dyDescent="0.2">
      <c r="B29" s="506" t="s">
        <v>125</v>
      </c>
      <c r="C29" s="8" t="s">
        <v>1293</v>
      </c>
      <c r="D29" s="13"/>
      <c r="E29" s="13">
        <v>185</v>
      </c>
      <c r="F29" s="519">
        <f>D29+E29</f>
        <v>185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2:35" x14ac:dyDescent="0.2">
      <c r="B30" s="506" t="s">
        <v>125</v>
      </c>
      <c r="C30" s="8" t="s">
        <v>1267</v>
      </c>
      <c r="D30" s="13"/>
      <c r="E30" s="13">
        <v>-920</v>
      </c>
      <c r="F30" s="519">
        <f t="shared" si="0"/>
        <v>-920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2:35" ht="13.5" customHeight="1" x14ac:dyDescent="0.25">
      <c r="B31" s="505" t="s">
        <v>131</v>
      </c>
      <c r="C31" s="23" t="s">
        <v>222</v>
      </c>
      <c r="D31" s="38">
        <f>SUM(D32:D36)</f>
        <v>31233</v>
      </c>
      <c r="E31" s="38">
        <f>SUM(E32:E36)</f>
        <v>0</v>
      </c>
      <c r="F31" s="518">
        <f>SUM(F32:F36)</f>
        <v>31233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2:35" x14ac:dyDescent="0.2">
      <c r="B32" s="506" t="s">
        <v>135</v>
      </c>
      <c r="C32" s="20" t="s">
        <v>1238</v>
      </c>
      <c r="D32" s="13">
        <v>31233</v>
      </c>
      <c r="E32" s="13"/>
      <c r="F32" s="519">
        <f>D32+E32</f>
        <v>31233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2:35" hidden="1" x14ac:dyDescent="0.2">
      <c r="B33" s="506" t="s">
        <v>135</v>
      </c>
      <c r="C33" s="8" t="s">
        <v>1142</v>
      </c>
      <c r="D33" s="13"/>
      <c r="E33" s="13"/>
      <c r="F33" s="519">
        <f>D33+E33</f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2:35" hidden="1" x14ac:dyDescent="0.2">
      <c r="B34" s="506" t="s">
        <v>135</v>
      </c>
      <c r="C34" s="8" t="s">
        <v>1144</v>
      </c>
      <c r="D34" s="13"/>
      <c r="E34" s="13"/>
      <c r="F34" s="519">
        <f>D34+E34</f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2:35" hidden="1" x14ac:dyDescent="0.2">
      <c r="B35" s="506" t="s">
        <v>135</v>
      </c>
      <c r="C35" s="8" t="s">
        <v>1145</v>
      </c>
      <c r="D35" s="13"/>
      <c r="E35" s="13"/>
      <c r="F35" s="519">
        <f>D35+E35</f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2:35" hidden="1" x14ac:dyDescent="0.2">
      <c r="B36" s="506" t="s">
        <v>135</v>
      </c>
      <c r="C36" s="8" t="s">
        <v>1158</v>
      </c>
      <c r="D36" s="13"/>
      <c r="E36" s="13"/>
      <c r="F36" s="519">
        <f>D36+E36</f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2:35" ht="15" x14ac:dyDescent="0.25">
      <c r="B37" s="505" t="s">
        <v>140</v>
      </c>
      <c r="C37" s="23" t="s">
        <v>103</v>
      </c>
      <c r="D37" s="42">
        <f>SUM(D38:D41)</f>
        <v>21000</v>
      </c>
      <c r="E37" s="42">
        <f>SUM(E38:E41)</f>
        <v>0</v>
      </c>
      <c r="F37" s="520">
        <f>SUM(F38:F41)</f>
        <v>21000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2:35" x14ac:dyDescent="0.2">
      <c r="B38" s="506" t="s">
        <v>814</v>
      </c>
      <c r="C38" s="8" t="s">
        <v>920</v>
      </c>
      <c r="D38" s="13">
        <v>10000</v>
      </c>
      <c r="E38" s="499"/>
      <c r="F38" s="519">
        <f>D38+E38</f>
        <v>10000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2:35" hidden="1" x14ac:dyDescent="0.2">
      <c r="B39" s="506" t="s">
        <v>899</v>
      </c>
      <c r="C39" s="8" t="s">
        <v>919</v>
      </c>
      <c r="D39" s="13"/>
      <c r="E39" s="13"/>
      <c r="F39" s="519">
        <f>D39+E39</f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2:35" x14ac:dyDescent="0.2">
      <c r="B40" s="506" t="s">
        <v>900</v>
      </c>
      <c r="C40" s="8" t="s">
        <v>1073</v>
      </c>
      <c r="D40" s="13">
        <v>10000</v>
      </c>
      <c r="E40" s="13"/>
      <c r="F40" s="519">
        <f>D40+E40</f>
        <v>10000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2:35" x14ac:dyDescent="0.2">
      <c r="B41" s="506" t="s">
        <v>146</v>
      </c>
      <c r="C41" s="8" t="s">
        <v>1074</v>
      </c>
      <c r="D41" s="13">
        <v>1000</v>
      </c>
      <c r="E41" s="13"/>
      <c r="F41" s="519">
        <f>D41+E41</f>
        <v>1000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2:35" s="50" customFormat="1" ht="15" x14ac:dyDescent="0.25">
      <c r="B42" s="505" t="s">
        <v>151</v>
      </c>
      <c r="C42" s="23" t="s">
        <v>223</v>
      </c>
      <c r="D42" s="42">
        <f>SUM(D43:D53)</f>
        <v>19923</v>
      </c>
      <c r="E42" s="42">
        <f>SUM(E43:E53)</f>
        <v>1073</v>
      </c>
      <c r="F42" s="520">
        <f>SUM(F43:F53)</f>
        <v>20996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2:35" ht="13.5" customHeight="1" x14ac:dyDescent="0.2">
      <c r="B43" s="506" t="s">
        <v>155</v>
      </c>
      <c r="C43" s="8" t="s">
        <v>1230</v>
      </c>
      <c r="D43" s="13">
        <v>148</v>
      </c>
      <c r="E43" s="13"/>
      <c r="F43" s="519">
        <f t="shared" ref="F43:F52" si="1">D43+E43</f>
        <v>148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2:35" ht="13.5" customHeight="1" x14ac:dyDescent="0.2">
      <c r="B44" s="506" t="s">
        <v>156</v>
      </c>
      <c r="C44" s="8" t="s">
        <v>1160</v>
      </c>
      <c r="D44" s="13">
        <f>6110+1326</f>
        <v>7436</v>
      </c>
      <c r="E44" s="13"/>
      <c r="F44" s="519">
        <f t="shared" si="1"/>
        <v>7436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2:35" ht="13.5" hidden="1" customHeight="1" x14ac:dyDescent="0.2">
      <c r="B45" s="506" t="s">
        <v>156</v>
      </c>
      <c r="C45" s="8" t="s">
        <v>1201</v>
      </c>
      <c r="D45" s="13"/>
      <c r="E45" s="13"/>
      <c r="F45" s="519">
        <f t="shared" si="1"/>
        <v>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2:35" x14ac:dyDescent="0.2">
      <c r="B46" s="506" t="s">
        <v>157</v>
      </c>
      <c r="C46" s="20" t="s">
        <v>1231</v>
      </c>
      <c r="D46" s="13">
        <v>9760</v>
      </c>
      <c r="E46" s="13"/>
      <c r="F46" s="519">
        <f t="shared" si="1"/>
        <v>9760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2:35" x14ac:dyDescent="0.2">
      <c r="B47" s="506" t="s">
        <v>158</v>
      </c>
      <c r="C47" s="20" t="s">
        <v>1232</v>
      </c>
      <c r="D47" s="13">
        <v>1600</v>
      </c>
      <c r="E47" s="13"/>
      <c r="F47" s="519">
        <f t="shared" si="1"/>
        <v>1600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2:35" ht="13.5" customHeight="1" x14ac:dyDescent="0.2">
      <c r="B48" s="506" t="s">
        <v>162</v>
      </c>
      <c r="C48" s="20" t="s">
        <v>1077</v>
      </c>
      <c r="D48" s="13">
        <v>300</v>
      </c>
      <c r="E48" s="13"/>
      <c r="F48" s="519">
        <f t="shared" si="1"/>
        <v>300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2:35" x14ac:dyDescent="0.2">
      <c r="B49" s="506" t="s">
        <v>174</v>
      </c>
      <c r="C49" s="8" t="s">
        <v>1234</v>
      </c>
      <c r="D49" s="13">
        <v>145</v>
      </c>
      <c r="E49" s="13"/>
      <c r="F49" s="519">
        <f t="shared" si="1"/>
        <v>145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2:35" ht="13.5" customHeight="1" x14ac:dyDescent="0.2">
      <c r="B50" s="506" t="s">
        <v>385</v>
      </c>
      <c r="C50" s="20" t="s">
        <v>1233</v>
      </c>
      <c r="D50" s="13">
        <v>534</v>
      </c>
      <c r="E50" s="13"/>
      <c r="F50" s="519">
        <f t="shared" si="1"/>
        <v>534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2:35" ht="13.5" customHeight="1" x14ac:dyDescent="0.2">
      <c r="B51" s="506" t="s">
        <v>385</v>
      </c>
      <c r="C51" s="20" t="s">
        <v>1265</v>
      </c>
      <c r="D51" s="13"/>
      <c r="E51" s="13">
        <v>153</v>
      </c>
      <c r="F51" s="519">
        <f t="shared" si="1"/>
        <v>153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2:35" ht="13.5" customHeight="1" x14ac:dyDescent="0.2">
      <c r="B52" s="506" t="s">
        <v>385</v>
      </c>
      <c r="C52" s="20" t="s">
        <v>1268</v>
      </c>
      <c r="D52" s="13"/>
      <c r="E52" s="13">
        <v>920</v>
      </c>
      <c r="F52" s="519">
        <f t="shared" si="1"/>
        <v>920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2:35" ht="13.5" hidden="1" customHeight="1" x14ac:dyDescent="0.2">
      <c r="B53" s="506"/>
      <c r="C53" s="20"/>
      <c r="D53" s="13"/>
      <c r="E53" s="13"/>
      <c r="F53" s="519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2:35" ht="15" x14ac:dyDescent="0.25">
      <c r="B54" s="505" t="s">
        <v>178</v>
      </c>
      <c r="C54" s="23" t="s">
        <v>224</v>
      </c>
      <c r="D54" s="42">
        <f>SUM(D55:D56)</f>
        <v>3011</v>
      </c>
      <c r="E54" s="42">
        <f>SUM(E55:E56)</f>
        <v>0</v>
      </c>
      <c r="F54" s="520">
        <f>SUM(F55:F56)</f>
        <v>3011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2:35" ht="13.5" customHeight="1" x14ac:dyDescent="0.2">
      <c r="B55" s="576" t="s">
        <v>181</v>
      </c>
      <c r="C55" s="20" t="s">
        <v>1286</v>
      </c>
      <c r="D55" s="166">
        <v>3011</v>
      </c>
      <c r="E55" s="166"/>
      <c r="F55" s="519">
        <f>D55+E55</f>
        <v>3011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2:35" ht="13.5" hidden="1" customHeight="1" x14ac:dyDescent="0.2">
      <c r="B56" s="576" t="s">
        <v>180</v>
      </c>
      <c r="C56" s="20"/>
      <c r="D56" s="166"/>
      <c r="E56" s="166"/>
      <c r="F56" s="577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2:35" ht="15.75" customHeight="1" x14ac:dyDescent="0.25">
      <c r="B57" s="505" t="s">
        <v>189</v>
      </c>
      <c r="C57" s="23" t="s">
        <v>225</v>
      </c>
      <c r="D57" s="42">
        <f>SUM(D58:D60)</f>
        <v>1000</v>
      </c>
      <c r="E57" s="42">
        <f>SUM(E58:E60)</f>
        <v>0</v>
      </c>
      <c r="F57" s="520">
        <f>SUM(F58:F60)</f>
        <v>1000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2:35" ht="13.5" customHeight="1" x14ac:dyDescent="0.2">
      <c r="B58" s="578" t="s">
        <v>392</v>
      </c>
      <c r="C58" s="8" t="s">
        <v>1237</v>
      </c>
      <c r="D58" s="13">
        <v>1000</v>
      </c>
      <c r="E58" s="13"/>
      <c r="F58" s="519">
        <f>D58+E58</f>
        <v>1000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2:35" ht="13.5" hidden="1" customHeight="1" x14ac:dyDescent="0.2">
      <c r="B59" s="578" t="s">
        <v>392</v>
      </c>
      <c r="C59" s="8" t="s">
        <v>1086</v>
      </c>
      <c r="D59" s="13"/>
      <c r="E59" s="13"/>
      <c r="F59" s="519">
        <f>D59+E59</f>
        <v>0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2:35" ht="13.5" hidden="1" customHeight="1" x14ac:dyDescent="0.2">
      <c r="B60" s="578" t="s">
        <v>1085</v>
      </c>
      <c r="C60" s="8" t="s">
        <v>1066</v>
      </c>
      <c r="D60" s="13"/>
      <c r="E60" s="13"/>
      <c r="F60" s="519">
        <f>D60+E60</f>
        <v>0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2:35" ht="14.25" customHeight="1" x14ac:dyDescent="0.25">
      <c r="B61" s="505" t="s">
        <v>190</v>
      </c>
      <c r="C61" s="23" t="s">
        <v>226</v>
      </c>
      <c r="D61" s="42">
        <f>SUM(D62:D62)</f>
        <v>0</v>
      </c>
      <c r="E61" s="42">
        <f>SUM(E62:E62)</f>
        <v>0</v>
      </c>
      <c r="F61" s="520">
        <f>SUM(F62:F62)</f>
        <v>0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2:35" ht="13.5" hidden="1" customHeight="1" x14ac:dyDescent="0.2">
      <c r="B62" s="506" t="s">
        <v>483</v>
      </c>
      <c r="C62" s="20"/>
      <c r="D62" s="13"/>
      <c r="E62" s="13"/>
      <c r="F62" s="519">
        <f>D62+E62</f>
        <v>0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2:35" ht="15" x14ac:dyDescent="0.25">
      <c r="B63" s="579" t="s">
        <v>774</v>
      </c>
      <c r="C63" s="187" t="s">
        <v>340</v>
      </c>
      <c r="D63" s="42">
        <f>SUM(D64+D69)</f>
        <v>0</v>
      </c>
      <c r="E63" s="42">
        <f>SUM(E64+E69)</f>
        <v>0</v>
      </c>
      <c r="F63" s="520">
        <f>SUM(F64+F69)</f>
        <v>0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2:35" ht="15" x14ac:dyDescent="0.25">
      <c r="B64" s="579"/>
      <c r="C64" s="23" t="s">
        <v>775</v>
      </c>
      <c r="D64" s="42">
        <f>SUM(D65+D68)</f>
        <v>0</v>
      </c>
      <c r="E64" s="42">
        <f>SUM(E65+E68)</f>
        <v>0</v>
      </c>
      <c r="F64" s="520">
        <f>SUM(F65+F68)</f>
        <v>0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2:35" ht="13.5" hidden="1" customHeight="1" x14ac:dyDescent="0.2">
      <c r="B65" s="506"/>
      <c r="C65" s="31" t="s">
        <v>776</v>
      </c>
      <c r="D65" s="13">
        <f>D66+D67</f>
        <v>0</v>
      </c>
      <c r="E65" s="13">
        <f>E66+E67</f>
        <v>0</v>
      </c>
      <c r="F65" s="519">
        <f>F66+F67</f>
        <v>0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2:35" s="510" customFormat="1" ht="13.5" hidden="1" customHeight="1" x14ac:dyDescent="0.2">
      <c r="B66" s="507"/>
      <c r="C66" s="508" t="s">
        <v>777</v>
      </c>
      <c r="D66" s="194"/>
      <c r="E66" s="194"/>
      <c r="F66" s="521">
        <f>SUM(D66:E66)</f>
        <v>0</v>
      </c>
      <c r="G66" s="509"/>
      <c r="H66" s="509"/>
      <c r="I66" s="509"/>
      <c r="J66" s="509"/>
      <c r="K66" s="509"/>
      <c r="L66" s="509"/>
      <c r="M66" s="509"/>
      <c r="N66" s="509"/>
      <c r="O66" s="509"/>
      <c r="P66" s="509"/>
      <c r="Q66" s="509"/>
      <c r="R66" s="509"/>
      <c r="S66" s="509"/>
      <c r="T66" s="509"/>
      <c r="U66" s="509"/>
      <c r="V66" s="509"/>
      <c r="W66" s="509"/>
      <c r="X66" s="509"/>
      <c r="Y66" s="509"/>
      <c r="Z66" s="509"/>
      <c r="AA66" s="509"/>
      <c r="AB66" s="509"/>
      <c r="AC66" s="509"/>
      <c r="AD66" s="509"/>
      <c r="AE66" s="509"/>
      <c r="AF66" s="509"/>
      <c r="AG66" s="509"/>
      <c r="AH66" s="509"/>
      <c r="AI66" s="509"/>
    </row>
    <row r="67" spans="2:35" s="510" customFormat="1" ht="13.5" hidden="1" customHeight="1" x14ac:dyDescent="0.2">
      <c r="B67" s="507"/>
      <c r="C67" s="508" t="s">
        <v>778</v>
      </c>
      <c r="D67" s="194"/>
      <c r="E67" s="194"/>
      <c r="F67" s="521"/>
      <c r="G67" s="509"/>
      <c r="H67" s="509"/>
      <c r="I67" s="509"/>
      <c r="J67" s="509"/>
      <c r="K67" s="509"/>
      <c r="L67" s="509"/>
      <c r="M67" s="509"/>
      <c r="N67" s="509"/>
      <c r="O67" s="509"/>
      <c r="P67" s="509"/>
      <c r="Q67" s="509"/>
      <c r="R67" s="509"/>
      <c r="S67" s="509"/>
      <c r="T67" s="509"/>
      <c r="U67" s="509"/>
      <c r="V67" s="509"/>
      <c r="W67" s="509"/>
      <c r="X67" s="509"/>
      <c r="Y67" s="509"/>
      <c r="Z67" s="509"/>
      <c r="AA67" s="509"/>
      <c r="AB67" s="509"/>
      <c r="AC67" s="509"/>
      <c r="AD67" s="509"/>
      <c r="AE67" s="509"/>
      <c r="AF67" s="509"/>
      <c r="AG67" s="509"/>
      <c r="AH67" s="509"/>
      <c r="AI67" s="509"/>
    </row>
    <row r="68" spans="2:35" s="510" customFormat="1" ht="13.5" hidden="1" customHeight="1" x14ac:dyDescent="0.2">
      <c r="B68" s="507"/>
      <c r="C68" s="31" t="s">
        <v>779</v>
      </c>
      <c r="D68" s="13"/>
      <c r="E68" s="13"/>
      <c r="F68" s="519">
        <f>D68+E68</f>
        <v>0</v>
      </c>
      <c r="G68" s="509"/>
      <c r="H68" s="509"/>
      <c r="I68" s="509"/>
      <c r="J68" s="509"/>
      <c r="K68" s="509"/>
      <c r="L68" s="509"/>
      <c r="M68" s="509"/>
      <c r="N68" s="509"/>
      <c r="O68" s="509"/>
      <c r="P68" s="509"/>
      <c r="Q68" s="509"/>
      <c r="R68" s="509"/>
      <c r="S68" s="509"/>
      <c r="T68" s="509"/>
      <c r="U68" s="509"/>
      <c r="V68" s="509"/>
      <c r="W68" s="509"/>
      <c r="X68" s="509"/>
      <c r="Y68" s="509"/>
      <c r="Z68" s="509"/>
      <c r="AA68" s="509"/>
      <c r="AB68" s="509"/>
      <c r="AC68" s="509"/>
      <c r="AD68" s="509"/>
      <c r="AE68" s="509"/>
      <c r="AF68" s="509"/>
      <c r="AG68" s="509"/>
      <c r="AH68" s="509"/>
      <c r="AI68" s="509"/>
    </row>
    <row r="69" spans="2:35" ht="15" x14ac:dyDescent="0.25">
      <c r="B69" s="506"/>
      <c r="C69" s="23" t="s">
        <v>780</v>
      </c>
      <c r="D69" s="42">
        <f>SUM(D70:D70)</f>
        <v>0</v>
      </c>
      <c r="E69" s="42">
        <f>SUM(E70:E70)</f>
        <v>0</v>
      </c>
      <c r="F69" s="520">
        <f>SUM(F70:F70)</f>
        <v>0</v>
      </c>
      <c r="G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2:35" ht="13.5" customHeight="1" thickBot="1" x14ac:dyDescent="0.25">
      <c r="B70" s="511"/>
      <c r="C70" s="8" t="s">
        <v>1082</v>
      </c>
      <c r="D70" s="79"/>
      <c r="E70" s="12"/>
      <c r="F70" s="519">
        <f>D70+E70</f>
        <v>0</v>
      </c>
      <c r="G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2:35" ht="20.25" thickBot="1" x14ac:dyDescent="0.4">
      <c r="B71" s="512"/>
      <c r="C71" s="47" t="s">
        <v>781</v>
      </c>
      <c r="D71" s="513">
        <f>SUM(D7+D63)</f>
        <v>103578</v>
      </c>
      <c r="E71" s="513">
        <f>SUM(E7+E63)</f>
        <v>6573</v>
      </c>
      <c r="F71" s="48">
        <f>SUM(F7+F63)</f>
        <v>110151</v>
      </c>
      <c r="G71" s="7">
        <f>F71-F188</f>
        <v>0</v>
      </c>
      <c r="H71" s="75" t="e">
        <f>'1.Bev-kiad.'!#REF!</f>
        <v>#REF!</v>
      </c>
      <c r="J71" s="7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2:35" ht="15.75" x14ac:dyDescent="0.25">
      <c r="B72" s="504" t="s">
        <v>782</v>
      </c>
      <c r="C72" s="225" t="s">
        <v>341</v>
      </c>
      <c r="D72" s="174">
        <f>SUM(D73+D162)</f>
        <v>98667</v>
      </c>
      <c r="E72" s="174">
        <f>SUM(E73+E162)</f>
        <v>11484</v>
      </c>
      <c r="F72" s="522">
        <f>SUM(F73+F162)</f>
        <v>110151</v>
      </c>
      <c r="G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2:35" ht="15" x14ac:dyDescent="0.25">
      <c r="B73" s="505" t="s">
        <v>204</v>
      </c>
      <c r="C73" s="23" t="s">
        <v>8</v>
      </c>
      <c r="D73" s="38">
        <f>SUM(D74:D161)</f>
        <v>69130</v>
      </c>
      <c r="E73" s="38">
        <f>SUM(E74:E161)</f>
        <v>11484</v>
      </c>
      <c r="F73" s="518">
        <f>SUM(F74:F161)</f>
        <v>80614</v>
      </c>
      <c r="G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2:35" x14ac:dyDescent="0.2">
      <c r="B74" s="506" t="s">
        <v>783</v>
      </c>
      <c r="C74" s="8" t="s">
        <v>1242</v>
      </c>
      <c r="D74" s="166">
        <f>-950-50-100</f>
        <v>-1100</v>
      </c>
      <c r="E74" s="166"/>
      <c r="F74" s="519">
        <f t="shared" ref="F74:F161" si="2">D74+E74</f>
        <v>-1100</v>
      </c>
      <c r="G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2:35" x14ac:dyDescent="0.2">
      <c r="B75" s="506" t="s">
        <v>783</v>
      </c>
      <c r="C75" s="8" t="s">
        <v>1295</v>
      </c>
      <c r="D75" s="166"/>
      <c r="E75" s="166">
        <f>-744-270-100-1845-500</f>
        <v>-3459</v>
      </c>
      <c r="F75" s="519">
        <f t="shared" si="2"/>
        <v>-3459</v>
      </c>
      <c r="G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2:35" x14ac:dyDescent="0.2">
      <c r="B76" s="506" t="s">
        <v>897</v>
      </c>
      <c r="C76" s="8" t="s">
        <v>1269</v>
      </c>
      <c r="D76" s="166"/>
      <c r="E76" s="166">
        <f>71+60</f>
        <v>131</v>
      </c>
      <c r="F76" s="519">
        <f t="shared" si="2"/>
        <v>131</v>
      </c>
      <c r="G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2:35" x14ac:dyDescent="0.2">
      <c r="B77" s="506" t="s">
        <v>1240</v>
      </c>
      <c r="C77" s="8" t="s">
        <v>1241</v>
      </c>
      <c r="D77" s="166">
        <v>100</v>
      </c>
      <c r="E77" s="166">
        <v>202</v>
      </c>
      <c r="F77" s="519">
        <f t="shared" si="2"/>
        <v>302</v>
      </c>
      <c r="G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2:35" x14ac:dyDescent="0.2">
      <c r="B78" s="506" t="s">
        <v>1273</v>
      </c>
      <c r="C78" s="8" t="s">
        <v>1274</v>
      </c>
      <c r="D78" s="166"/>
      <c r="E78" s="166">
        <f>270+2555</f>
        <v>2825</v>
      </c>
      <c r="F78" s="519">
        <f t="shared" si="2"/>
        <v>2825</v>
      </c>
      <c r="G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2:35" x14ac:dyDescent="0.2">
      <c r="B79" s="506" t="s">
        <v>811</v>
      </c>
      <c r="C79" s="8" t="s">
        <v>1271</v>
      </c>
      <c r="D79" s="166"/>
      <c r="E79" s="166">
        <v>-7</v>
      </c>
      <c r="F79" s="519">
        <f t="shared" si="2"/>
        <v>-7</v>
      </c>
      <c r="G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2:35" hidden="1" x14ac:dyDescent="0.2">
      <c r="B80" s="506" t="s">
        <v>811</v>
      </c>
      <c r="C80" s="8" t="s">
        <v>915</v>
      </c>
      <c r="D80" s="166"/>
      <c r="E80" s="166"/>
      <c r="F80" s="519">
        <f t="shared" si="2"/>
        <v>0</v>
      </c>
      <c r="G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2:35" hidden="1" x14ac:dyDescent="0.2">
      <c r="B81" s="506" t="s">
        <v>820</v>
      </c>
      <c r="C81" s="8" t="s">
        <v>1157</v>
      </c>
      <c r="D81" s="166"/>
      <c r="E81" s="166"/>
      <c r="F81" s="519">
        <f t="shared" si="2"/>
        <v>0</v>
      </c>
      <c r="G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2:35" x14ac:dyDescent="0.2">
      <c r="B82" s="506" t="s">
        <v>820</v>
      </c>
      <c r="C82" s="8" t="s">
        <v>1272</v>
      </c>
      <c r="D82" s="166"/>
      <c r="E82" s="166">
        <v>7</v>
      </c>
      <c r="F82" s="519">
        <f t="shared" si="2"/>
        <v>7</v>
      </c>
      <c r="G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2:35" x14ac:dyDescent="0.2">
      <c r="B83" s="506" t="s">
        <v>784</v>
      </c>
      <c r="C83" s="8" t="s">
        <v>1285</v>
      </c>
      <c r="D83" s="166">
        <v>687</v>
      </c>
      <c r="E83" s="166"/>
      <c r="F83" s="519">
        <f t="shared" si="2"/>
        <v>687</v>
      </c>
      <c r="G83" s="2"/>
      <c r="I83" s="7"/>
      <c r="J83" s="7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2:35" hidden="1" x14ac:dyDescent="0.2">
      <c r="B84" s="506" t="s">
        <v>784</v>
      </c>
      <c r="C84" s="8" t="s">
        <v>1055</v>
      </c>
      <c r="D84" s="166"/>
      <c r="E84" s="166"/>
      <c r="F84" s="519">
        <f t="shared" si="2"/>
        <v>0</v>
      </c>
      <c r="G84" s="2"/>
      <c r="I84" s="7"/>
      <c r="J84" s="7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2:35" x14ac:dyDescent="0.2">
      <c r="B85" s="506" t="s">
        <v>784</v>
      </c>
      <c r="C85" s="8" t="s">
        <v>1275</v>
      </c>
      <c r="D85" s="166"/>
      <c r="E85" s="166">
        <f>744+100+124+1845</f>
        <v>2813</v>
      </c>
      <c r="F85" s="519">
        <f t="shared" si="2"/>
        <v>2813</v>
      </c>
      <c r="G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2:35" x14ac:dyDescent="0.2">
      <c r="B86" s="506" t="s">
        <v>784</v>
      </c>
      <c r="C86" s="8" t="s">
        <v>1266</v>
      </c>
      <c r="D86" s="166"/>
      <c r="E86" s="166">
        <v>137</v>
      </c>
      <c r="F86" s="519">
        <f t="shared" si="2"/>
        <v>137</v>
      </c>
      <c r="G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2:35" hidden="1" x14ac:dyDescent="0.2">
      <c r="B87" s="506" t="s">
        <v>784</v>
      </c>
      <c r="C87" s="8" t="s">
        <v>1067</v>
      </c>
      <c r="D87" s="166"/>
      <c r="E87" s="166"/>
      <c r="F87" s="519">
        <f t="shared" si="2"/>
        <v>0</v>
      </c>
      <c r="G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2:35" x14ac:dyDescent="0.2">
      <c r="B88" s="506" t="s">
        <v>1056</v>
      </c>
      <c r="C88" s="8" t="s">
        <v>1284</v>
      </c>
      <c r="D88" s="166">
        <f>260+151</f>
        <v>411</v>
      </c>
      <c r="E88" s="166"/>
      <c r="F88" s="519">
        <f t="shared" si="2"/>
        <v>411</v>
      </c>
      <c r="G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2:35" x14ac:dyDescent="0.2">
      <c r="B89" s="506" t="s">
        <v>785</v>
      </c>
      <c r="C89" s="8" t="s">
        <v>1239</v>
      </c>
      <c r="D89" s="166">
        <f>950+50</f>
        <v>1000</v>
      </c>
      <c r="E89" s="166"/>
      <c r="F89" s="519">
        <f t="shared" si="2"/>
        <v>1000</v>
      </c>
      <c r="G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2:35" x14ac:dyDescent="0.2">
      <c r="B90" s="506" t="s">
        <v>785</v>
      </c>
      <c r="C90" s="8" t="s">
        <v>1262</v>
      </c>
      <c r="D90" s="166"/>
      <c r="E90" s="166">
        <v>5518</v>
      </c>
      <c r="F90" s="519">
        <f t="shared" si="2"/>
        <v>5518</v>
      </c>
      <c r="G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2:35" hidden="1" x14ac:dyDescent="0.2">
      <c r="B91" s="506" t="s">
        <v>800</v>
      </c>
      <c r="C91" s="8" t="s">
        <v>1183</v>
      </c>
      <c r="D91" s="166"/>
      <c r="E91" s="166"/>
      <c r="F91" s="519">
        <f t="shared" si="2"/>
        <v>0</v>
      </c>
      <c r="G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2:35" x14ac:dyDescent="0.2">
      <c r="B92" s="506" t="s">
        <v>800</v>
      </c>
      <c r="C92" s="8" t="s">
        <v>1270</v>
      </c>
      <c r="D92" s="166"/>
      <c r="E92" s="166">
        <f>-202-71-60</f>
        <v>-333</v>
      </c>
      <c r="F92" s="519">
        <f t="shared" si="2"/>
        <v>-333</v>
      </c>
      <c r="G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2:35" x14ac:dyDescent="0.2">
      <c r="B93" s="506" t="s">
        <v>217</v>
      </c>
      <c r="C93" s="8" t="s">
        <v>913</v>
      </c>
      <c r="D93" s="166"/>
      <c r="E93" s="166">
        <f>717+16+332+500</f>
        <v>1565</v>
      </c>
      <c r="F93" s="519">
        <f t="shared" si="2"/>
        <v>1565</v>
      </c>
      <c r="G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2:35" hidden="1" x14ac:dyDescent="0.2">
      <c r="B94" s="506" t="s">
        <v>1059</v>
      </c>
      <c r="C94" s="8" t="s">
        <v>1186</v>
      </c>
      <c r="D94" s="166"/>
      <c r="E94" s="166"/>
      <c r="F94" s="519">
        <f t="shared" si="2"/>
        <v>0</v>
      </c>
      <c r="G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2:35" x14ac:dyDescent="0.2">
      <c r="B95" s="506" t="s">
        <v>912</v>
      </c>
      <c r="C95" s="8" t="s">
        <v>1228</v>
      </c>
      <c r="D95" s="166">
        <v>1803</v>
      </c>
      <c r="E95" s="166"/>
      <c r="F95" s="519">
        <f t="shared" si="2"/>
        <v>1803</v>
      </c>
      <c r="G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2:35" x14ac:dyDescent="0.2">
      <c r="B96" s="506" t="s">
        <v>912</v>
      </c>
      <c r="C96" s="8" t="s">
        <v>1243</v>
      </c>
      <c r="D96" s="166">
        <f>1000+450</f>
        <v>1450</v>
      </c>
      <c r="E96" s="166"/>
      <c r="F96" s="519">
        <f t="shared" si="2"/>
        <v>1450</v>
      </c>
      <c r="G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2:35" x14ac:dyDescent="0.2">
      <c r="B97" s="506" t="s">
        <v>912</v>
      </c>
      <c r="C97" s="8" t="s">
        <v>1280</v>
      </c>
      <c r="D97" s="166"/>
      <c r="E97" s="166">
        <f>-20-25-25</f>
        <v>-70</v>
      </c>
      <c r="F97" s="519">
        <f t="shared" si="2"/>
        <v>-70</v>
      </c>
      <c r="G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2:35" x14ac:dyDescent="0.2">
      <c r="B98" s="506" t="s">
        <v>912</v>
      </c>
      <c r="C98" s="8" t="s">
        <v>1282</v>
      </c>
      <c r="D98" s="166"/>
      <c r="E98" s="166">
        <v>-160</v>
      </c>
      <c r="F98" s="519">
        <f t="shared" si="2"/>
        <v>-160</v>
      </c>
      <c r="G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2:35" hidden="1" x14ac:dyDescent="0.2">
      <c r="B99" s="506" t="s">
        <v>912</v>
      </c>
      <c r="C99" s="8" t="s">
        <v>1187</v>
      </c>
      <c r="D99" s="166"/>
      <c r="E99" s="166"/>
      <c r="F99" s="519">
        <f t="shared" si="2"/>
        <v>0</v>
      </c>
      <c r="G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2:35" hidden="1" x14ac:dyDescent="0.2">
      <c r="B100" s="506" t="s">
        <v>912</v>
      </c>
      <c r="C100" s="8" t="s">
        <v>1185</v>
      </c>
      <c r="D100" s="166"/>
      <c r="E100" s="166"/>
      <c r="F100" s="519">
        <f t="shared" si="2"/>
        <v>0</v>
      </c>
      <c r="G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2:35" x14ac:dyDescent="0.2">
      <c r="B101" s="506" t="s">
        <v>1184</v>
      </c>
      <c r="C101" s="8" t="s">
        <v>1244</v>
      </c>
      <c r="D101" s="166">
        <v>100</v>
      </c>
      <c r="E101" s="166"/>
      <c r="F101" s="519">
        <f t="shared" si="2"/>
        <v>100</v>
      </c>
      <c r="G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2:35" x14ac:dyDescent="0.2">
      <c r="B102" s="506" t="s">
        <v>1060</v>
      </c>
      <c r="C102" s="8" t="s">
        <v>1277</v>
      </c>
      <c r="D102" s="166"/>
      <c r="E102" s="166">
        <v>-60</v>
      </c>
      <c r="F102" s="519">
        <f t="shared" si="2"/>
        <v>-60</v>
      </c>
      <c r="G102" s="2"/>
      <c r="I102" s="7"/>
      <c r="J102" s="7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2:35" x14ac:dyDescent="0.2">
      <c r="B103" s="506" t="s">
        <v>786</v>
      </c>
      <c r="C103" s="8" t="s">
        <v>1245</v>
      </c>
      <c r="D103" s="166">
        <f>6000+1000</f>
        <v>7000</v>
      </c>
      <c r="E103" s="166"/>
      <c r="F103" s="519">
        <f t="shared" si="2"/>
        <v>7000</v>
      </c>
      <c r="G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2:35" x14ac:dyDescent="0.2">
      <c r="B104" s="506" t="s">
        <v>1057</v>
      </c>
      <c r="C104" s="8" t="s">
        <v>316</v>
      </c>
      <c r="D104" s="166">
        <f>1600+300</f>
        <v>1900</v>
      </c>
      <c r="E104" s="166"/>
      <c r="F104" s="519">
        <f t="shared" si="2"/>
        <v>1900</v>
      </c>
      <c r="G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2:35" hidden="1" x14ac:dyDescent="0.2">
      <c r="B105" s="506" t="s">
        <v>1163</v>
      </c>
      <c r="C105" s="8" t="s">
        <v>1164</v>
      </c>
      <c r="D105" s="166"/>
      <c r="E105" s="166"/>
      <c r="F105" s="519">
        <f t="shared" si="2"/>
        <v>0</v>
      </c>
      <c r="G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2:35" x14ac:dyDescent="0.2">
      <c r="B106" s="506" t="s">
        <v>1061</v>
      </c>
      <c r="C106" s="8" t="s">
        <v>1235</v>
      </c>
      <c r="D106" s="166">
        <v>122</v>
      </c>
      <c r="E106" s="166"/>
      <c r="F106" s="519">
        <f t="shared" si="2"/>
        <v>122</v>
      </c>
      <c r="G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2:35" x14ac:dyDescent="0.2">
      <c r="B107" s="506" t="s">
        <v>1061</v>
      </c>
      <c r="C107" s="8" t="s">
        <v>1276</v>
      </c>
      <c r="D107" s="166"/>
      <c r="E107" s="166">
        <f>20+25+60+95</f>
        <v>200</v>
      </c>
      <c r="F107" s="519">
        <f t="shared" si="2"/>
        <v>200</v>
      </c>
      <c r="G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2:35" hidden="1" x14ac:dyDescent="0.2">
      <c r="B108" s="506" t="s">
        <v>1061</v>
      </c>
      <c r="C108" s="8" t="s">
        <v>1079</v>
      </c>
      <c r="D108" s="166"/>
      <c r="E108" s="166"/>
      <c r="F108" s="519">
        <f t="shared" si="2"/>
        <v>0</v>
      </c>
      <c r="G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2:35" x14ac:dyDescent="0.2">
      <c r="B109" s="506" t="s">
        <v>1078</v>
      </c>
      <c r="C109" s="8" t="s">
        <v>1159</v>
      </c>
      <c r="D109" s="166">
        <f>6110+1326</f>
        <v>7436</v>
      </c>
      <c r="E109" s="166"/>
      <c r="F109" s="519">
        <f t="shared" si="2"/>
        <v>7436</v>
      </c>
      <c r="G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2:35" x14ac:dyDescent="0.2">
      <c r="B110" s="506" t="s">
        <v>791</v>
      </c>
      <c r="C110" s="8" t="s">
        <v>1278</v>
      </c>
      <c r="D110" s="166"/>
      <c r="E110" s="166">
        <v>-95</v>
      </c>
      <c r="F110" s="519">
        <f t="shared" si="2"/>
        <v>-95</v>
      </c>
      <c r="G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2:35" x14ac:dyDescent="0.2">
      <c r="B111" s="506" t="s">
        <v>787</v>
      </c>
      <c r="C111" s="20" t="s">
        <v>1213</v>
      </c>
      <c r="D111" s="166">
        <v>43</v>
      </c>
      <c r="E111" s="166"/>
      <c r="F111" s="519">
        <f t="shared" si="2"/>
        <v>43</v>
      </c>
      <c r="G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2:35" x14ac:dyDescent="0.2">
      <c r="B112" s="506" t="s">
        <v>787</v>
      </c>
      <c r="C112" s="20" t="s">
        <v>1214</v>
      </c>
      <c r="D112" s="166">
        <v>1195</v>
      </c>
      <c r="E112" s="166"/>
      <c r="F112" s="519">
        <f t="shared" si="2"/>
        <v>1195</v>
      </c>
      <c r="G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2:35" x14ac:dyDescent="0.2">
      <c r="B113" s="506" t="s">
        <v>787</v>
      </c>
      <c r="C113" s="8" t="s">
        <v>1215</v>
      </c>
      <c r="D113" s="166">
        <v>2000</v>
      </c>
      <c r="E113" s="166"/>
      <c r="F113" s="519">
        <f t="shared" si="2"/>
        <v>2000</v>
      </c>
      <c r="G113" s="2"/>
      <c r="I113" s="7"/>
      <c r="J113" s="7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2:35" x14ac:dyDescent="0.2">
      <c r="B114" s="506" t="s">
        <v>787</v>
      </c>
      <c r="C114" s="8" t="s">
        <v>1216</v>
      </c>
      <c r="D114" s="166">
        <v>1190</v>
      </c>
      <c r="E114" s="166"/>
      <c r="F114" s="519">
        <f t="shared" si="2"/>
        <v>1190</v>
      </c>
      <c r="G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2:35" x14ac:dyDescent="0.2">
      <c r="B115" s="506" t="s">
        <v>787</v>
      </c>
      <c r="C115" s="8" t="s">
        <v>1217</v>
      </c>
      <c r="D115" s="166">
        <v>3224</v>
      </c>
      <c r="E115" s="166"/>
      <c r="F115" s="519">
        <f t="shared" si="2"/>
        <v>3224</v>
      </c>
      <c r="G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2:35" x14ac:dyDescent="0.2">
      <c r="B116" s="506" t="s">
        <v>787</v>
      </c>
      <c r="C116" s="8" t="s">
        <v>1220</v>
      </c>
      <c r="D116" s="166">
        <v>1700</v>
      </c>
      <c r="E116" s="166"/>
      <c r="F116" s="519">
        <f t="shared" si="2"/>
        <v>1700</v>
      </c>
      <c r="G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2:35" x14ac:dyDescent="0.2">
      <c r="B117" s="506" t="s">
        <v>787</v>
      </c>
      <c r="C117" s="8" t="s">
        <v>1221</v>
      </c>
      <c r="D117" s="166">
        <v>900</v>
      </c>
      <c r="E117" s="166"/>
      <c r="F117" s="519">
        <f t="shared" si="2"/>
        <v>900</v>
      </c>
      <c r="G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2:35" x14ac:dyDescent="0.2">
      <c r="B118" s="506" t="s">
        <v>787</v>
      </c>
      <c r="C118" s="8" t="s">
        <v>1283</v>
      </c>
      <c r="D118" s="166">
        <v>1335</v>
      </c>
      <c r="E118" s="166"/>
      <c r="F118" s="519">
        <f t="shared" si="2"/>
        <v>1335</v>
      </c>
      <c r="G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2:35" x14ac:dyDescent="0.2">
      <c r="B119" s="506" t="s">
        <v>787</v>
      </c>
      <c r="C119" s="8" t="s">
        <v>1246</v>
      </c>
      <c r="D119" s="166">
        <v>489</v>
      </c>
      <c r="E119" s="166"/>
      <c r="F119" s="519">
        <f t="shared" si="2"/>
        <v>489</v>
      </c>
      <c r="G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2:35" x14ac:dyDescent="0.2">
      <c r="B120" s="506" t="s">
        <v>787</v>
      </c>
      <c r="C120" s="8" t="s">
        <v>1263</v>
      </c>
      <c r="D120" s="166"/>
      <c r="E120" s="166">
        <v>185</v>
      </c>
      <c r="F120" s="519">
        <f t="shared" si="2"/>
        <v>185</v>
      </c>
      <c r="G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2:35" x14ac:dyDescent="0.2">
      <c r="B121" s="506" t="s">
        <v>787</v>
      </c>
      <c r="C121" s="8" t="s">
        <v>1279</v>
      </c>
      <c r="D121" s="166"/>
      <c r="E121" s="166">
        <v>25</v>
      </c>
      <c r="F121" s="519">
        <f t="shared" si="2"/>
        <v>25</v>
      </c>
      <c r="G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2:35" x14ac:dyDescent="0.2">
      <c r="B122" s="506" t="s">
        <v>787</v>
      </c>
      <c r="C122" s="8" t="s">
        <v>1281</v>
      </c>
      <c r="D122" s="166"/>
      <c r="E122" s="166">
        <v>160</v>
      </c>
      <c r="F122" s="519">
        <f t="shared" si="2"/>
        <v>160</v>
      </c>
      <c r="G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2:35" hidden="1" x14ac:dyDescent="0.2">
      <c r="B123" s="506" t="s">
        <v>787</v>
      </c>
      <c r="C123" s="8" t="s">
        <v>1192</v>
      </c>
      <c r="D123" s="166"/>
      <c r="E123" s="166"/>
      <c r="F123" s="519">
        <f t="shared" si="2"/>
        <v>0</v>
      </c>
      <c r="G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2:35" x14ac:dyDescent="0.2">
      <c r="B124" s="506" t="s">
        <v>788</v>
      </c>
      <c r="C124" s="8" t="s">
        <v>1212</v>
      </c>
      <c r="D124" s="166">
        <v>1000</v>
      </c>
      <c r="E124" s="166"/>
      <c r="F124" s="519">
        <f t="shared" ref="F124:F131" si="3">D124+E124</f>
        <v>1000</v>
      </c>
      <c r="G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2:35" x14ac:dyDescent="0.2">
      <c r="B125" s="506" t="s">
        <v>788</v>
      </c>
      <c r="C125" s="8" t="s">
        <v>1229</v>
      </c>
      <c r="D125" s="166">
        <v>649</v>
      </c>
      <c r="E125" s="166"/>
      <c r="F125" s="519">
        <f t="shared" si="3"/>
        <v>649</v>
      </c>
      <c r="G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2:35" x14ac:dyDescent="0.2">
      <c r="B126" s="506" t="s">
        <v>788</v>
      </c>
      <c r="C126" s="8" t="s">
        <v>1248</v>
      </c>
      <c r="D126" s="166">
        <f>800+1200</f>
        <v>2000</v>
      </c>
      <c r="E126" s="166"/>
      <c r="F126" s="519">
        <f t="shared" si="3"/>
        <v>2000</v>
      </c>
      <c r="G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2:35" hidden="1" x14ac:dyDescent="0.2">
      <c r="B127" s="506" t="s">
        <v>788</v>
      </c>
      <c r="C127" s="8" t="s">
        <v>1166</v>
      </c>
      <c r="D127" s="166"/>
      <c r="E127" s="166"/>
      <c r="F127" s="519">
        <f t="shared" si="3"/>
        <v>0</v>
      </c>
      <c r="G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2:35" hidden="1" x14ac:dyDescent="0.2">
      <c r="B128" s="506" t="s">
        <v>788</v>
      </c>
      <c r="C128" s="8" t="s">
        <v>1167</v>
      </c>
      <c r="D128" s="166"/>
      <c r="E128" s="166"/>
      <c r="F128" s="519">
        <f t="shared" si="3"/>
        <v>0</v>
      </c>
      <c r="G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2:35" hidden="1" x14ac:dyDescent="0.2">
      <c r="B129" s="506" t="s">
        <v>788</v>
      </c>
      <c r="C129" s="8" t="s">
        <v>1169</v>
      </c>
      <c r="D129" s="166"/>
      <c r="E129" s="166"/>
      <c r="F129" s="519">
        <f t="shared" si="3"/>
        <v>0</v>
      </c>
      <c r="G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2:35" x14ac:dyDescent="0.2">
      <c r="B130" s="506" t="s">
        <v>788</v>
      </c>
      <c r="C130" s="8" t="s">
        <v>1191</v>
      </c>
      <c r="D130" s="166"/>
      <c r="E130" s="166">
        <v>1900</v>
      </c>
      <c r="F130" s="519">
        <f t="shared" si="3"/>
        <v>1900</v>
      </c>
      <c r="G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2:35" hidden="1" x14ac:dyDescent="0.2">
      <c r="B131" s="506" t="s">
        <v>788</v>
      </c>
      <c r="C131" s="8" t="s">
        <v>1193</v>
      </c>
      <c r="D131" s="166"/>
      <c r="E131" s="166"/>
      <c r="F131" s="519">
        <f t="shared" si="3"/>
        <v>0</v>
      </c>
      <c r="G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2:35" hidden="1" x14ac:dyDescent="0.2">
      <c r="B132" s="506" t="s">
        <v>921</v>
      </c>
      <c r="C132" s="8" t="s">
        <v>922</v>
      </c>
      <c r="D132" s="166"/>
      <c r="E132" s="166"/>
      <c r="F132" s="519">
        <f t="shared" si="2"/>
        <v>0</v>
      </c>
      <c r="G132" s="2"/>
      <c r="I132" s="7"/>
      <c r="J132" s="7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2:35" x14ac:dyDescent="0.2">
      <c r="B133" s="506" t="s">
        <v>1143</v>
      </c>
      <c r="C133" s="8" t="s">
        <v>1249</v>
      </c>
      <c r="D133" s="166">
        <v>2000</v>
      </c>
      <c r="E133" s="166"/>
      <c r="F133" s="519">
        <f t="shared" si="2"/>
        <v>2000</v>
      </c>
      <c r="G133" s="2"/>
      <c r="I133" s="7"/>
      <c r="J133" s="7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2:35" hidden="1" x14ac:dyDescent="0.2">
      <c r="B134" s="506" t="s">
        <v>1143</v>
      </c>
      <c r="C134" s="8" t="s">
        <v>1171</v>
      </c>
      <c r="D134" s="166"/>
      <c r="E134" s="166"/>
      <c r="F134" s="519">
        <f t="shared" si="2"/>
        <v>0</v>
      </c>
      <c r="G134" s="2"/>
      <c r="I134" s="7"/>
      <c r="J134" s="7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2:35" hidden="1" x14ac:dyDescent="0.2">
      <c r="B135" s="506" t="s">
        <v>1143</v>
      </c>
      <c r="C135" s="8" t="s">
        <v>1170</v>
      </c>
      <c r="D135" s="166"/>
      <c r="E135" s="166"/>
      <c r="F135" s="519">
        <f t="shared" si="2"/>
        <v>0</v>
      </c>
      <c r="G135" s="2"/>
      <c r="I135" s="7"/>
      <c r="J135" s="7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2:35" ht="12" customHeight="1" x14ac:dyDescent="0.2">
      <c r="B136" s="506" t="s">
        <v>789</v>
      </c>
      <c r="C136" s="8" t="s">
        <v>790</v>
      </c>
      <c r="D136" s="166">
        <f>11+540+321+459+243+662+33+361-489</f>
        <v>2141</v>
      </c>
      <c r="E136" s="166"/>
      <c r="F136" s="519">
        <f t="shared" si="2"/>
        <v>2141</v>
      </c>
      <c r="G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2:35" hidden="1" x14ac:dyDescent="0.2">
      <c r="B137" s="506" t="s">
        <v>815</v>
      </c>
      <c r="C137" s="8" t="s">
        <v>816</v>
      </c>
      <c r="D137" s="166"/>
      <c r="E137" s="166"/>
      <c r="F137" s="519">
        <f t="shared" si="2"/>
        <v>0</v>
      </c>
      <c r="G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2:35" hidden="1" x14ac:dyDescent="0.2">
      <c r="B138" s="506" t="s">
        <v>815</v>
      </c>
      <c r="C138" s="8" t="s">
        <v>927</v>
      </c>
      <c r="D138" s="166"/>
      <c r="E138" s="166"/>
      <c r="F138" s="519">
        <f t="shared" si="2"/>
        <v>0</v>
      </c>
      <c r="G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2:35" x14ac:dyDescent="0.2">
      <c r="B139" s="506" t="s">
        <v>1161</v>
      </c>
      <c r="C139" s="8" t="s">
        <v>1250</v>
      </c>
      <c r="D139" s="166">
        <f>20+6680</f>
        <v>6700</v>
      </c>
      <c r="E139" s="166"/>
      <c r="F139" s="519">
        <f t="shared" si="2"/>
        <v>6700</v>
      </c>
      <c r="G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2:35" x14ac:dyDescent="0.2">
      <c r="B140" s="506" t="s">
        <v>791</v>
      </c>
      <c r="C140" s="8" t="s">
        <v>1247</v>
      </c>
      <c r="D140" s="166">
        <v>-800</v>
      </c>
      <c r="E140" s="166"/>
      <c r="F140" s="519">
        <f t="shared" si="2"/>
        <v>-800</v>
      </c>
      <c r="G140" s="2"/>
      <c r="I140" s="7"/>
      <c r="J140" s="7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2:35" hidden="1" x14ac:dyDescent="0.2">
      <c r="B141" s="506" t="s">
        <v>1202</v>
      </c>
      <c r="C141" s="8" t="s">
        <v>1203</v>
      </c>
      <c r="D141" s="166"/>
      <c r="E141" s="166"/>
      <c r="F141" s="519">
        <f t="shared" si="2"/>
        <v>0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2:35" x14ac:dyDescent="0.2">
      <c r="B142" s="506" t="s">
        <v>1058</v>
      </c>
      <c r="C142" s="8" t="s">
        <v>1253</v>
      </c>
      <c r="D142" s="166">
        <v>-2045</v>
      </c>
      <c r="E142" s="166"/>
      <c r="F142" s="519">
        <f t="shared" si="2"/>
        <v>-2045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2:35" hidden="1" x14ac:dyDescent="0.2">
      <c r="B143" s="514" t="s">
        <v>1058</v>
      </c>
      <c r="C143" s="15" t="s">
        <v>1173</v>
      </c>
      <c r="D143" s="166"/>
      <c r="E143" s="166"/>
      <c r="F143" s="519">
        <f t="shared" si="2"/>
        <v>0</v>
      </c>
      <c r="G143" s="2"/>
      <c r="H143" s="7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2:35" x14ac:dyDescent="0.2">
      <c r="B144" s="514" t="s">
        <v>792</v>
      </c>
      <c r="C144" s="15" t="s">
        <v>1222</v>
      </c>
      <c r="D144" s="166">
        <v>1261</v>
      </c>
      <c r="E144" s="166"/>
      <c r="F144" s="519">
        <f t="shared" si="2"/>
        <v>1261</v>
      </c>
      <c r="G144" s="2"/>
      <c r="H144" s="7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2:35" x14ac:dyDescent="0.2">
      <c r="B145" s="514" t="s">
        <v>792</v>
      </c>
      <c r="C145" s="15" t="s">
        <v>1255</v>
      </c>
      <c r="D145" s="166">
        <v>282</v>
      </c>
      <c r="E145" s="166"/>
      <c r="F145" s="519">
        <f t="shared" si="2"/>
        <v>282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2:35" hidden="1" x14ac:dyDescent="0.2">
      <c r="B146" s="514" t="s">
        <v>792</v>
      </c>
      <c r="C146" s="20" t="s">
        <v>1151</v>
      </c>
      <c r="D146" s="166"/>
      <c r="E146" s="166"/>
      <c r="F146" s="519">
        <f t="shared" si="2"/>
        <v>0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2:35" x14ac:dyDescent="0.2">
      <c r="B147" s="514" t="s">
        <v>792</v>
      </c>
      <c r="C147" s="15" t="s">
        <v>1225</v>
      </c>
      <c r="D147" s="166">
        <v>2477</v>
      </c>
      <c r="E147" s="166"/>
      <c r="F147" s="519">
        <f t="shared" si="2"/>
        <v>2477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2:35" hidden="1" x14ac:dyDescent="0.2">
      <c r="B148" s="514" t="s">
        <v>792</v>
      </c>
      <c r="C148" s="8" t="s">
        <v>1176</v>
      </c>
      <c r="D148" s="166"/>
      <c r="E148" s="166"/>
      <c r="F148" s="519">
        <f t="shared" si="2"/>
        <v>0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2:35" hidden="1" x14ac:dyDescent="0.2">
      <c r="B149" s="514" t="s">
        <v>792</v>
      </c>
      <c r="C149" s="8" t="s">
        <v>1175</v>
      </c>
      <c r="D149" s="166"/>
      <c r="E149" s="166"/>
      <c r="F149" s="519">
        <f t="shared" si="2"/>
        <v>0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2:35" hidden="1" x14ac:dyDescent="0.2">
      <c r="B150" s="514" t="s">
        <v>792</v>
      </c>
      <c r="C150" s="15" t="s">
        <v>1177</v>
      </c>
      <c r="D150" s="166"/>
      <c r="E150" s="166"/>
      <c r="F150" s="519">
        <f t="shared" si="2"/>
        <v>0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2:35" hidden="1" x14ac:dyDescent="0.2">
      <c r="B151" s="514" t="s">
        <v>792</v>
      </c>
      <c r="C151" s="15" t="s">
        <v>1070</v>
      </c>
      <c r="D151" s="166"/>
      <c r="E151" s="166"/>
      <c r="F151" s="519">
        <f t="shared" si="2"/>
        <v>0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2:35" ht="12" hidden="1" customHeight="1" x14ac:dyDescent="0.2">
      <c r="B152" s="514" t="s">
        <v>792</v>
      </c>
      <c r="C152" s="15" t="s">
        <v>1051</v>
      </c>
      <c r="D152" s="13"/>
      <c r="E152" s="13"/>
      <c r="F152" s="519">
        <f t="shared" si="2"/>
        <v>0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2:35" ht="12" hidden="1" customHeight="1" x14ac:dyDescent="0.2">
      <c r="B153" s="514" t="s">
        <v>792</v>
      </c>
      <c r="C153" s="8" t="s">
        <v>901</v>
      </c>
      <c r="D153" s="13"/>
      <c r="E153" s="13"/>
      <c r="F153" s="519">
        <f t="shared" si="2"/>
        <v>0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2:35" ht="12" hidden="1" customHeight="1" x14ac:dyDescent="0.2">
      <c r="B154" s="514" t="s">
        <v>792</v>
      </c>
      <c r="C154" s="8" t="s">
        <v>918</v>
      </c>
      <c r="D154" s="13"/>
      <c r="E154" s="13"/>
      <c r="F154" s="519">
        <f t="shared" si="2"/>
        <v>0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2:35" ht="12" hidden="1" customHeight="1" x14ac:dyDescent="0.2">
      <c r="B155" s="514" t="s">
        <v>792</v>
      </c>
      <c r="C155" s="8" t="s">
        <v>926</v>
      </c>
      <c r="D155" s="13"/>
      <c r="E155" s="13"/>
      <c r="F155" s="519">
        <f t="shared" si="2"/>
        <v>0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2:35" hidden="1" x14ac:dyDescent="0.2">
      <c r="B156" s="506" t="s">
        <v>793</v>
      </c>
      <c r="C156" s="8" t="s">
        <v>1153</v>
      </c>
      <c r="D156" s="13"/>
      <c r="E156" s="13"/>
      <c r="F156" s="519">
        <f t="shared" si="2"/>
        <v>0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2:35" hidden="1" x14ac:dyDescent="0.2">
      <c r="B157" s="506" t="s">
        <v>793</v>
      </c>
      <c r="C157" s="15" t="s">
        <v>1178</v>
      </c>
      <c r="D157" s="13"/>
      <c r="E157" s="13"/>
      <c r="F157" s="519">
        <f t="shared" si="2"/>
        <v>0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2:35" hidden="1" x14ac:dyDescent="0.2">
      <c r="B158" s="506" t="s">
        <v>793</v>
      </c>
      <c r="C158" s="8" t="s">
        <v>1175</v>
      </c>
      <c r="D158" s="13"/>
      <c r="E158" s="13"/>
      <c r="F158" s="519">
        <f t="shared" si="2"/>
        <v>0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2:35" hidden="1" x14ac:dyDescent="0.2">
      <c r="B159" s="506" t="s">
        <v>793</v>
      </c>
      <c r="C159" s="21" t="s">
        <v>1179</v>
      </c>
      <c r="D159" s="13"/>
      <c r="E159" s="13"/>
      <c r="F159" s="519">
        <f t="shared" si="2"/>
        <v>0</v>
      </c>
      <c r="G159" s="2"/>
      <c r="H159" s="7" t="e">
        <f>H160-20480</f>
        <v>#REF!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2:35" ht="13.5" customHeight="1" x14ac:dyDescent="0.2">
      <c r="B160" s="506" t="s">
        <v>794</v>
      </c>
      <c r="C160" s="8" t="s">
        <v>1081</v>
      </c>
      <c r="D160" s="13">
        <f>-1000-54-1195-2540-1511-3224-2159-1143-68+21582-955+21000+148+9760+534-10+1000-260-1000-450-100-6000-1000-1200-2000-20-6680+2045-282-1900-838</f>
        <v>20480</v>
      </c>
      <c r="E160" s="13"/>
      <c r="F160" s="519">
        <f t="shared" si="2"/>
        <v>20480</v>
      </c>
      <c r="G160" s="2"/>
      <c r="H160" s="7" t="e">
        <f>'2.működés'!#REF!</f>
        <v>#REF!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2:35" ht="13.5" hidden="1" customHeight="1" x14ac:dyDescent="0.2">
      <c r="B161" s="506" t="s">
        <v>794</v>
      </c>
      <c r="C161" s="8" t="s">
        <v>795</v>
      </c>
      <c r="D161" s="13"/>
      <c r="E161" s="13"/>
      <c r="F161" s="519">
        <f t="shared" si="2"/>
        <v>0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2:35" ht="15" x14ac:dyDescent="0.25">
      <c r="B162" s="505" t="s">
        <v>205</v>
      </c>
      <c r="C162" s="23" t="s">
        <v>227</v>
      </c>
      <c r="D162" s="42">
        <f>SUM(D163:D181)+D184+D185</f>
        <v>29537</v>
      </c>
      <c r="E162" s="42">
        <f>SUM(E163:E181)+E184</f>
        <v>0</v>
      </c>
      <c r="F162" s="520">
        <f>SUM(F163:F181)+F184+F185</f>
        <v>29537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2:35" s="418" customFormat="1" hidden="1" x14ac:dyDescent="0.2">
      <c r="B163" s="514" t="s">
        <v>253</v>
      </c>
      <c r="C163" s="8" t="s">
        <v>1141</v>
      </c>
      <c r="D163" s="13"/>
      <c r="E163" s="166"/>
      <c r="F163" s="519">
        <f t="shared" ref="F163:F173" si="4">D163+E163</f>
        <v>0</v>
      </c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</row>
    <row r="164" spans="2:35" s="50" customFormat="1" ht="13.5" hidden="1" customHeight="1" x14ac:dyDescent="0.2">
      <c r="B164" s="514" t="s">
        <v>253</v>
      </c>
      <c r="C164" s="8" t="s">
        <v>1147</v>
      </c>
      <c r="D164" s="13"/>
      <c r="E164" s="13"/>
      <c r="F164" s="519">
        <f t="shared" si="4"/>
        <v>0</v>
      </c>
      <c r="G164" s="7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2:35" s="50" customFormat="1" ht="26.25" customHeight="1" x14ac:dyDescent="0.2">
      <c r="B165" s="514" t="s">
        <v>253</v>
      </c>
      <c r="C165" s="20" t="s">
        <v>1256</v>
      </c>
      <c r="D165" s="13">
        <v>-933</v>
      </c>
      <c r="E165" s="13"/>
      <c r="F165" s="519">
        <f t="shared" si="4"/>
        <v>-933</v>
      </c>
      <c r="G165" s="7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2:35" s="50" customFormat="1" hidden="1" x14ac:dyDescent="0.2">
      <c r="B166" s="514" t="s">
        <v>253</v>
      </c>
      <c r="C166" s="8" t="s">
        <v>1148</v>
      </c>
      <c r="D166" s="13"/>
      <c r="E166" s="13"/>
      <c r="F166" s="519">
        <f t="shared" si="4"/>
        <v>0</v>
      </c>
      <c r="G166" s="7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2:35" s="50" customFormat="1" hidden="1" x14ac:dyDescent="0.2">
      <c r="B167" s="514" t="s">
        <v>253</v>
      </c>
      <c r="C167" s="8" t="s">
        <v>1180</v>
      </c>
      <c r="D167" s="13"/>
      <c r="E167" s="13"/>
      <c r="F167" s="519">
        <f t="shared" si="4"/>
        <v>0</v>
      </c>
      <c r="G167" s="7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2:35" s="50" customFormat="1" ht="13.5" hidden="1" customHeight="1" x14ac:dyDescent="0.2">
      <c r="B168" s="514" t="s">
        <v>253</v>
      </c>
      <c r="C168" s="8" t="s">
        <v>1181</v>
      </c>
      <c r="D168" s="13"/>
      <c r="E168" s="13"/>
      <c r="F168" s="519">
        <f t="shared" si="4"/>
        <v>0</v>
      </c>
      <c r="G168" s="7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2:35" s="50" customFormat="1" ht="13.5" customHeight="1" x14ac:dyDescent="0.2">
      <c r="B169" s="514" t="s">
        <v>356</v>
      </c>
      <c r="C169" s="8" t="s">
        <v>1219</v>
      </c>
      <c r="D169" s="13">
        <v>140012</v>
      </c>
      <c r="E169" s="13"/>
      <c r="F169" s="519">
        <f t="shared" si="4"/>
        <v>140012</v>
      </c>
      <c r="G169" s="7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2:35" s="50" customFormat="1" ht="13.5" hidden="1" customHeight="1" x14ac:dyDescent="0.2">
      <c r="B170" s="514" t="s">
        <v>356</v>
      </c>
      <c r="C170" s="8" t="s">
        <v>1146</v>
      </c>
      <c r="D170" s="13"/>
      <c r="E170" s="13"/>
      <c r="F170" s="519">
        <f t="shared" si="4"/>
        <v>0</v>
      </c>
      <c r="G170" s="7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2:35" s="50" customFormat="1" ht="13.5" customHeight="1" x14ac:dyDescent="0.2">
      <c r="B171" s="514" t="s">
        <v>356</v>
      </c>
      <c r="C171" s="8" t="s">
        <v>1257</v>
      </c>
      <c r="D171" s="13">
        <v>933</v>
      </c>
      <c r="E171" s="13"/>
      <c r="F171" s="519">
        <f t="shared" si="4"/>
        <v>933</v>
      </c>
      <c r="G171" s="7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2:35" s="50" customFormat="1" ht="13.5" hidden="1" customHeight="1" x14ac:dyDescent="0.2">
      <c r="B172" s="514" t="s">
        <v>356</v>
      </c>
      <c r="C172" s="8" t="s">
        <v>1149</v>
      </c>
      <c r="D172" s="13"/>
      <c r="E172" s="13"/>
      <c r="F172" s="519">
        <f t="shared" si="4"/>
        <v>0</v>
      </c>
      <c r="G172" s="7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2:35" s="50" customFormat="1" ht="13.5" hidden="1" customHeight="1" x14ac:dyDescent="0.2">
      <c r="B173" s="514" t="s">
        <v>356</v>
      </c>
      <c r="C173" s="8" t="s">
        <v>1150</v>
      </c>
      <c r="D173" s="13"/>
      <c r="E173" s="13"/>
      <c r="F173" s="519">
        <f t="shared" si="4"/>
        <v>0</v>
      </c>
      <c r="G173" s="7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2:35" s="50" customFormat="1" ht="13.5" hidden="1" customHeight="1" x14ac:dyDescent="0.2">
      <c r="B174" s="514" t="s">
        <v>356</v>
      </c>
      <c r="C174" s="8" t="s">
        <v>1080</v>
      </c>
      <c r="D174" s="13"/>
      <c r="E174" s="13"/>
      <c r="F174" s="519">
        <f t="shared" ref="F174:F187" si="5">D174+E174</f>
        <v>0</v>
      </c>
      <c r="G174" s="7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2:35" s="50" customFormat="1" ht="13.5" hidden="1" customHeight="1" x14ac:dyDescent="0.2">
      <c r="B175" s="514"/>
      <c r="C175" s="8"/>
      <c r="D175" s="13"/>
      <c r="E175" s="13"/>
      <c r="F175" s="519">
        <f t="shared" si="5"/>
        <v>0</v>
      </c>
      <c r="G175" s="7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2:35" s="50" customFormat="1" hidden="1" x14ac:dyDescent="0.2">
      <c r="B176" s="514"/>
      <c r="C176" s="20" t="s">
        <v>902</v>
      </c>
      <c r="D176" s="13"/>
      <c r="E176" s="13"/>
      <c r="F176" s="519">
        <f t="shared" si="5"/>
        <v>0</v>
      </c>
      <c r="G176" s="7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2:35" s="50" customFormat="1" ht="13.5" hidden="1" customHeight="1" x14ac:dyDescent="0.2">
      <c r="B177" s="514"/>
      <c r="C177" s="8"/>
      <c r="D177" s="13"/>
      <c r="E177" s="13"/>
      <c r="F177" s="519">
        <f t="shared" si="5"/>
        <v>0</v>
      </c>
      <c r="G177" s="7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2:35" s="50" customFormat="1" ht="13.5" hidden="1" customHeight="1" x14ac:dyDescent="0.2">
      <c r="B178" s="514" t="s">
        <v>798</v>
      </c>
      <c r="C178" s="8" t="s">
        <v>806</v>
      </c>
      <c r="D178" s="13"/>
      <c r="E178" s="13"/>
      <c r="F178" s="519">
        <f t="shared" si="5"/>
        <v>0</v>
      </c>
      <c r="G178" s="7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2:35" s="50" customFormat="1" ht="13.5" hidden="1" customHeight="1" x14ac:dyDescent="0.2">
      <c r="B179" s="514" t="s">
        <v>798</v>
      </c>
      <c r="C179" s="8" t="s">
        <v>807</v>
      </c>
      <c r="D179" s="13"/>
      <c r="E179" s="13"/>
      <c r="F179" s="519">
        <f t="shared" si="5"/>
        <v>0</v>
      </c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2:35" s="50" customFormat="1" ht="13.5" hidden="1" customHeight="1" x14ac:dyDescent="0.2">
      <c r="B180" s="514" t="s">
        <v>798</v>
      </c>
      <c r="C180" s="8" t="s">
        <v>810</v>
      </c>
      <c r="D180" s="13"/>
      <c r="E180" s="13"/>
      <c r="F180" s="519">
        <f t="shared" si="5"/>
        <v>0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2:35" s="50" customFormat="1" ht="13.5" customHeight="1" x14ac:dyDescent="0.25">
      <c r="B181" s="506" t="s">
        <v>355</v>
      </c>
      <c r="C181" s="515" t="s">
        <v>1063</v>
      </c>
      <c r="D181" s="160">
        <f>SUM(D182:D183)</f>
        <v>362</v>
      </c>
      <c r="E181" s="160">
        <f>SUM(E182:E183)</f>
        <v>0</v>
      </c>
      <c r="F181" s="523">
        <f>SUM(F182:F183)</f>
        <v>362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2:35" s="50" customFormat="1" ht="13.5" customHeight="1" x14ac:dyDescent="0.2">
      <c r="B182" s="506" t="s">
        <v>1065</v>
      </c>
      <c r="C182" s="224" t="s">
        <v>1258</v>
      </c>
      <c r="D182" s="13">
        <v>362</v>
      </c>
      <c r="E182" s="13"/>
      <c r="F182" s="519">
        <f t="shared" si="5"/>
        <v>362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2:35" s="50" customFormat="1" ht="13.5" hidden="1" customHeight="1" x14ac:dyDescent="0.2">
      <c r="B183" s="506"/>
      <c r="C183" s="224"/>
      <c r="D183" s="13"/>
      <c r="E183" s="13"/>
      <c r="F183" s="519">
        <f t="shared" si="5"/>
        <v>0</v>
      </c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2:35" s="50" customFormat="1" ht="13.5" customHeight="1" x14ac:dyDescent="0.2">
      <c r="B184" s="506"/>
      <c r="C184" s="8" t="s">
        <v>1218</v>
      </c>
      <c r="D184" s="13">
        <f>-140012-362</f>
        <v>-140374</v>
      </c>
      <c r="E184" s="13"/>
      <c r="F184" s="519">
        <f t="shared" si="5"/>
        <v>-140374</v>
      </c>
      <c r="G184" s="2"/>
      <c r="H184" s="7" t="e">
        <f>'3.felh'!#REF!</f>
        <v>#REF!</v>
      </c>
      <c r="I184" s="2"/>
      <c r="J184" s="7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2:35" s="50" customFormat="1" ht="13.5" customHeight="1" x14ac:dyDescent="0.2">
      <c r="B185" s="506"/>
      <c r="C185" s="8" t="s">
        <v>796</v>
      </c>
      <c r="D185" s="13">
        <v>29537</v>
      </c>
      <c r="E185" s="13"/>
      <c r="F185" s="519">
        <f t="shared" si="5"/>
        <v>29537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2:35" ht="16.5" customHeight="1" thickBot="1" x14ac:dyDescent="0.3">
      <c r="B186" s="505" t="s">
        <v>206</v>
      </c>
      <c r="C186" s="187" t="s">
        <v>344</v>
      </c>
      <c r="D186" s="43">
        <f>SUM(D187:D187)</f>
        <v>0</v>
      </c>
      <c r="E186" s="43">
        <f>SUM(E187:E187)</f>
        <v>0</v>
      </c>
      <c r="F186" s="524">
        <f>SUM(F187:F187)</f>
        <v>0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2:35" s="50" customFormat="1" ht="13.5" hidden="1" customHeight="1" thickBot="1" x14ac:dyDescent="0.25">
      <c r="B187" s="511" t="s">
        <v>386</v>
      </c>
      <c r="C187" s="8" t="s">
        <v>390</v>
      </c>
      <c r="D187" s="12"/>
      <c r="E187" s="12"/>
      <c r="F187" s="519">
        <f t="shared" si="5"/>
        <v>0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2:35" ht="20.25" thickBot="1" x14ac:dyDescent="0.4">
      <c r="B188" s="512"/>
      <c r="C188" s="516" t="s">
        <v>797</v>
      </c>
      <c r="D188" s="513">
        <f>SUM(D72+D186)</f>
        <v>98667</v>
      </c>
      <c r="E188" s="513">
        <f>SUM(E72+E186)</f>
        <v>11484</v>
      </c>
      <c r="F188" s="48">
        <f>SUM(F72+F186)</f>
        <v>110151</v>
      </c>
      <c r="G188" s="7">
        <f>F71-F188</f>
        <v>0</v>
      </c>
      <c r="H188" s="7" t="e">
        <f>'1.Bev-kiad.'!#REF!</f>
        <v>#REF!</v>
      </c>
      <c r="I188" s="7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2:35" ht="15.75" customHeight="1" x14ac:dyDescent="0.2">
      <c r="F189" s="7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2:35" ht="15.75" hidden="1" customHeight="1" x14ac:dyDescent="0.2">
      <c r="D190" s="75">
        <f>D71-D188</f>
        <v>4911</v>
      </c>
      <c r="E190" s="75">
        <f>E71-E188</f>
        <v>-4911</v>
      </c>
      <c r="F190" s="75">
        <f>F71-F188</f>
        <v>0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2:35" ht="15.75" hidden="1" customHeight="1" x14ac:dyDescent="0.2">
      <c r="C191" t="s">
        <v>925</v>
      </c>
      <c r="E191" s="75">
        <f>SUM(E188-E71)</f>
        <v>4911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2:35" ht="15.75" customHeight="1" x14ac:dyDescent="0.2"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2:35" ht="15.75" customHeight="1" x14ac:dyDescent="0.2">
      <c r="B19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2:35" ht="15.75" customHeight="1" x14ac:dyDescent="0.2">
      <c r="B194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2:35" ht="15.75" customHeight="1" x14ac:dyDescent="0.2">
      <c r="B195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2:35" ht="15.75" customHeight="1" x14ac:dyDescent="0.2">
      <c r="B19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2:35" ht="15.75" customHeight="1" x14ac:dyDescent="0.2">
      <c r="B197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2:35" ht="15.75" customHeight="1" x14ac:dyDescent="0.2">
      <c r="B19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2:35" ht="15.75" customHeight="1" x14ac:dyDescent="0.2">
      <c r="B199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2:35" ht="15.75" customHeight="1" x14ac:dyDescent="0.2">
      <c r="B200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2:35" ht="15.75" customHeight="1" x14ac:dyDescent="0.2">
      <c r="B20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2:35" ht="15.75" customHeight="1" x14ac:dyDescent="0.2">
      <c r="B20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2:35" ht="15.75" customHeight="1" x14ac:dyDescent="0.2">
      <c r="B20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2:35" ht="15.75" customHeight="1" x14ac:dyDescent="0.2">
      <c r="B204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2:35" ht="15.75" customHeight="1" x14ac:dyDescent="0.2">
      <c r="B205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2:35" ht="15.75" customHeight="1" x14ac:dyDescent="0.2">
      <c r="B20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2:35" ht="15.75" customHeight="1" x14ac:dyDescent="0.2">
      <c r="B207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2:35" ht="15.75" customHeight="1" x14ac:dyDescent="0.2">
      <c r="B20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2:35" ht="15.75" customHeight="1" x14ac:dyDescent="0.2">
      <c r="B209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2:35" ht="15.75" customHeight="1" x14ac:dyDescent="0.2">
      <c r="B210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2:35" ht="15.75" customHeight="1" x14ac:dyDescent="0.2">
      <c r="B21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2:35" ht="15.75" customHeight="1" x14ac:dyDescent="0.2">
      <c r="B21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2:35" ht="15.75" customHeight="1" x14ac:dyDescent="0.2">
      <c r="B21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2:35" ht="15.75" customHeight="1" x14ac:dyDescent="0.2">
      <c r="B214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2:35" ht="15.75" customHeight="1" x14ac:dyDescent="0.2">
      <c r="B215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2:35" ht="15.75" customHeight="1" x14ac:dyDescent="0.2">
      <c r="B216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2:35" ht="15.75" customHeight="1" x14ac:dyDescent="0.2">
      <c r="B217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2:35" ht="15.75" customHeight="1" x14ac:dyDescent="0.2">
      <c r="B21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2:35" ht="15.75" customHeight="1" x14ac:dyDescent="0.2">
      <c r="B219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2:35" ht="15.75" customHeight="1" x14ac:dyDescent="0.2">
      <c r="B220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2:35" ht="15.75" customHeight="1" x14ac:dyDescent="0.2">
      <c r="B22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2:35" ht="15.75" customHeight="1" x14ac:dyDescent="0.2">
      <c r="B22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2:35" ht="15.75" customHeight="1" x14ac:dyDescent="0.2">
      <c r="B22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2:35" ht="15.75" customHeight="1" x14ac:dyDescent="0.2">
      <c r="B224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2:35" ht="15.75" customHeight="1" x14ac:dyDescent="0.2">
      <c r="B225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2:35" ht="15.75" customHeight="1" x14ac:dyDescent="0.2">
      <c r="B226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2:35" ht="15.75" customHeight="1" x14ac:dyDescent="0.2">
      <c r="B227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2:35" ht="15.75" customHeight="1" x14ac:dyDescent="0.2">
      <c r="B22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2:35" ht="15.75" customHeight="1" x14ac:dyDescent="0.2">
      <c r="B229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2:35" ht="15.75" customHeight="1" x14ac:dyDescent="0.2">
      <c r="B230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2:35" ht="15.75" customHeight="1" x14ac:dyDescent="0.2">
      <c r="B23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2:35" ht="15.75" customHeight="1" x14ac:dyDescent="0.2">
      <c r="B23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2:35" ht="15.75" customHeight="1" x14ac:dyDescent="0.2">
      <c r="B23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2:35" ht="15.75" customHeight="1" x14ac:dyDescent="0.2">
      <c r="B234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2:35" ht="15.75" customHeight="1" x14ac:dyDescent="0.2">
      <c r="B235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2:35" ht="15.75" customHeight="1" x14ac:dyDescent="0.2">
      <c r="B23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2:35" ht="15.75" customHeight="1" x14ac:dyDescent="0.2">
      <c r="B237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2:35" ht="15.75" customHeight="1" x14ac:dyDescent="0.2">
      <c r="B23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2:35" ht="15.75" customHeight="1" x14ac:dyDescent="0.2">
      <c r="B239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2:35" ht="15.75" customHeight="1" x14ac:dyDescent="0.2">
      <c r="B240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2:35" ht="15.75" customHeight="1" x14ac:dyDescent="0.2">
      <c r="B24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2:35" ht="15.75" customHeight="1" x14ac:dyDescent="0.2">
      <c r="B24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2:35" ht="15.75" customHeight="1" x14ac:dyDescent="0.2">
      <c r="B24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2:35" ht="15.75" customHeight="1" x14ac:dyDescent="0.2">
      <c r="B244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2:35" ht="15.75" customHeight="1" x14ac:dyDescent="0.2">
      <c r="B245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2:35" ht="15.75" customHeight="1" x14ac:dyDescent="0.2">
      <c r="B24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2:35" ht="15.75" customHeight="1" x14ac:dyDescent="0.2">
      <c r="B247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2:35" ht="15.75" customHeight="1" x14ac:dyDescent="0.2">
      <c r="B24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2:35" ht="15.75" customHeight="1" x14ac:dyDescent="0.2">
      <c r="B249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2:35" ht="15.75" customHeight="1" x14ac:dyDescent="0.2">
      <c r="B250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2:35" ht="15.75" customHeight="1" x14ac:dyDescent="0.2">
      <c r="B25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2:35" ht="15.75" customHeight="1" x14ac:dyDescent="0.2">
      <c r="B25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2:35" ht="15.75" customHeight="1" x14ac:dyDescent="0.2">
      <c r="B25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2:35" ht="15.75" customHeight="1" x14ac:dyDescent="0.2">
      <c r="B254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2:35" ht="15.75" customHeight="1" x14ac:dyDescent="0.2">
      <c r="B255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2:35" ht="15.75" customHeight="1" x14ac:dyDescent="0.2">
      <c r="B256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2:35" ht="15.75" customHeight="1" x14ac:dyDescent="0.2">
      <c r="B257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2:35" ht="15.75" customHeight="1" x14ac:dyDescent="0.2">
      <c r="B25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2:35" ht="15.75" customHeight="1" x14ac:dyDescent="0.2">
      <c r="B259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2:35" ht="15.75" customHeight="1" x14ac:dyDescent="0.2">
      <c r="B260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2:35" ht="15.75" customHeight="1" x14ac:dyDescent="0.2">
      <c r="B26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2:35" ht="15.75" customHeight="1" x14ac:dyDescent="0.2">
      <c r="B26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2:35" ht="15.75" customHeight="1" x14ac:dyDescent="0.2">
      <c r="B26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2:35" ht="15.75" customHeight="1" x14ac:dyDescent="0.2">
      <c r="B264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2:35" ht="15.75" customHeight="1" x14ac:dyDescent="0.2">
      <c r="B265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2:35" ht="15.75" customHeight="1" x14ac:dyDescent="0.2">
      <c r="B266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2:35" ht="15.75" customHeight="1" x14ac:dyDescent="0.2">
      <c r="B267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2:35" ht="15.75" customHeight="1" x14ac:dyDescent="0.2">
      <c r="B26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2:35" ht="15.75" customHeight="1" x14ac:dyDescent="0.2">
      <c r="B269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2:35" ht="15.75" customHeight="1" x14ac:dyDescent="0.2">
      <c r="B270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2:35" ht="15.75" customHeight="1" x14ac:dyDescent="0.2">
      <c r="B27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2:35" ht="15.75" customHeight="1" x14ac:dyDescent="0.2">
      <c r="B27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2:35" ht="15.75" customHeight="1" x14ac:dyDescent="0.2">
      <c r="B273"/>
      <c r="C273" s="2"/>
      <c r="D273" s="2"/>
      <c r="E273" s="2"/>
      <c r="F273" s="29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2:35" ht="15.75" customHeight="1" x14ac:dyDescent="0.2">
      <c r="B274"/>
      <c r="C274" s="2"/>
      <c r="D274" s="2"/>
      <c r="E274" s="2"/>
      <c r="F274" s="29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2:35" ht="15.75" customHeight="1" x14ac:dyDescent="0.2">
      <c r="B275"/>
      <c r="C275" s="2"/>
      <c r="D275" s="2"/>
      <c r="E275" s="2"/>
      <c r="F275" s="29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2:35" ht="15.75" customHeight="1" x14ac:dyDescent="0.2">
      <c r="B276"/>
      <c r="C276" s="2"/>
      <c r="D276" s="2"/>
      <c r="E276" s="2"/>
      <c r="F276" s="29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2:35" ht="15.75" customHeight="1" x14ac:dyDescent="0.2">
      <c r="B277"/>
      <c r="C277" s="2"/>
      <c r="D277" s="2"/>
      <c r="E277" s="2"/>
      <c r="F277" s="29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2:35" ht="15.75" customHeight="1" x14ac:dyDescent="0.2">
      <c r="B278"/>
      <c r="C278" s="2"/>
      <c r="D278" s="2"/>
      <c r="E278" s="2"/>
      <c r="F278" s="29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2:35" ht="15.75" customHeight="1" x14ac:dyDescent="0.2">
      <c r="B279"/>
      <c r="C279" s="2"/>
      <c r="D279" s="2"/>
      <c r="E279" s="2"/>
      <c r="F279" s="29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2:35" ht="15.75" customHeight="1" x14ac:dyDescent="0.2">
      <c r="B280"/>
      <c r="C280" s="2"/>
      <c r="D280" s="2"/>
      <c r="E280" s="2"/>
      <c r="F280" s="29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2:35" ht="15.75" customHeight="1" x14ac:dyDescent="0.2">
      <c r="B281"/>
      <c r="C281" s="2"/>
      <c r="D281" s="2"/>
      <c r="E281" s="2"/>
      <c r="F281" s="29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2:35" ht="15.75" customHeight="1" x14ac:dyDescent="0.2">
      <c r="B282"/>
      <c r="C282" s="2"/>
      <c r="D282" s="2"/>
      <c r="E282" s="2"/>
      <c r="F282" s="29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2:35" ht="15.75" customHeight="1" x14ac:dyDescent="0.2">
      <c r="B283"/>
      <c r="C283" s="2"/>
      <c r="D283" s="2"/>
      <c r="E283" s="2"/>
      <c r="F283" s="29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2:35" ht="15.75" customHeight="1" x14ac:dyDescent="0.2">
      <c r="B284"/>
      <c r="C284" s="2"/>
      <c r="D284" s="2"/>
      <c r="E284" s="2"/>
      <c r="F284" s="29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2:35" ht="15.75" customHeight="1" x14ac:dyDescent="0.2">
      <c r="B285"/>
      <c r="C285" s="2"/>
      <c r="D285" s="2"/>
      <c r="E285" s="2"/>
      <c r="F285" s="29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2:35" ht="15.75" customHeight="1" x14ac:dyDescent="0.2">
      <c r="B286"/>
      <c r="C286" s="2"/>
      <c r="D286" s="2"/>
      <c r="E286" s="2"/>
      <c r="F286" s="29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2:35" ht="15.75" customHeight="1" x14ac:dyDescent="0.2">
      <c r="B287"/>
      <c r="C287" s="2"/>
      <c r="D287" s="2"/>
      <c r="E287" s="2"/>
      <c r="F287" s="29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2:35" ht="15.75" customHeight="1" x14ac:dyDescent="0.2">
      <c r="B288"/>
      <c r="C288" s="2"/>
      <c r="D288" s="2"/>
      <c r="E288" s="2"/>
      <c r="F288" s="29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2:35" ht="15.75" customHeight="1" x14ac:dyDescent="0.2">
      <c r="B289"/>
      <c r="C289" s="2"/>
      <c r="D289" s="2"/>
      <c r="E289" s="2"/>
      <c r="F289" s="29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2:35" ht="15.75" customHeight="1" x14ac:dyDescent="0.2">
      <c r="B290"/>
      <c r="C290" s="2"/>
      <c r="D290" s="2"/>
      <c r="E290" s="2"/>
      <c r="F290" s="29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2:35" ht="15.75" customHeight="1" x14ac:dyDescent="0.2">
      <c r="B291"/>
      <c r="C291" s="2"/>
      <c r="D291" s="2"/>
      <c r="E291" s="2"/>
      <c r="F291" s="29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2:35" ht="15.75" customHeight="1" x14ac:dyDescent="0.2">
      <c r="B292"/>
      <c r="C292" s="2"/>
      <c r="D292" s="2"/>
      <c r="E292" s="2"/>
      <c r="F292" s="29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2:35" ht="15.75" customHeight="1" x14ac:dyDescent="0.2">
      <c r="B293"/>
      <c r="C293" s="2"/>
      <c r="D293" s="2"/>
      <c r="E293" s="2"/>
      <c r="F293" s="29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2:35" ht="15.75" customHeight="1" x14ac:dyDescent="0.2">
      <c r="B294"/>
      <c r="C294" s="2"/>
      <c r="D294" s="2"/>
      <c r="E294" s="2"/>
      <c r="F294" s="29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2:35" ht="15.75" customHeight="1" x14ac:dyDescent="0.2">
      <c r="B295"/>
      <c r="C295" s="2"/>
      <c r="D295" s="2"/>
      <c r="E295" s="2"/>
      <c r="F295" s="29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2:35" ht="15.75" customHeight="1" x14ac:dyDescent="0.2">
      <c r="B296"/>
      <c r="C296" s="2"/>
      <c r="D296" s="2"/>
      <c r="E296" s="2"/>
      <c r="F296" s="29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2:35" ht="15.75" customHeight="1" x14ac:dyDescent="0.2">
      <c r="B297"/>
      <c r="C297" s="2"/>
      <c r="D297" s="2"/>
      <c r="E297" s="2"/>
      <c r="F297" s="29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2:35" ht="15.75" customHeight="1" x14ac:dyDescent="0.2">
      <c r="B298"/>
      <c r="C298" s="2"/>
      <c r="D298" s="2"/>
      <c r="E298" s="2"/>
      <c r="F298" s="29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2:35" ht="15.75" customHeight="1" x14ac:dyDescent="0.2">
      <c r="B299"/>
      <c r="C299" s="2"/>
      <c r="D299" s="2"/>
      <c r="E299" s="2"/>
      <c r="F299" s="29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2:35" ht="15.75" customHeight="1" x14ac:dyDescent="0.2">
      <c r="B300"/>
      <c r="C300" s="2"/>
      <c r="D300" s="2"/>
      <c r="E300" s="2"/>
      <c r="F300" s="29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2:35" ht="15.75" customHeight="1" x14ac:dyDescent="0.2">
      <c r="B301"/>
      <c r="C301" s="2"/>
      <c r="D301" s="2"/>
      <c r="E301" s="2"/>
      <c r="F301" s="29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2:35" ht="15.75" customHeight="1" x14ac:dyDescent="0.2">
      <c r="B302"/>
      <c r="C302" s="2"/>
      <c r="D302" s="2"/>
      <c r="E302" s="2"/>
      <c r="F302" s="29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2:35" ht="15.75" customHeight="1" x14ac:dyDescent="0.2">
      <c r="B303"/>
      <c r="C303" s="2"/>
      <c r="D303" s="2"/>
      <c r="E303" s="2"/>
      <c r="F303" s="29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2:35" ht="15.75" customHeight="1" x14ac:dyDescent="0.2">
      <c r="B304"/>
      <c r="C304" s="2"/>
      <c r="D304" s="2"/>
      <c r="E304" s="2"/>
      <c r="F304" s="29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2:35" ht="15.75" customHeight="1" x14ac:dyDescent="0.2">
      <c r="B305"/>
      <c r="C305" s="2"/>
      <c r="D305" s="2"/>
      <c r="E305" s="2"/>
      <c r="F305" s="29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2:35" ht="15.75" customHeight="1" x14ac:dyDescent="0.2">
      <c r="B306"/>
      <c r="C306" s="2"/>
      <c r="D306" s="2"/>
      <c r="E306" s="2"/>
      <c r="F306" s="29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2:35" ht="15.75" customHeight="1" x14ac:dyDescent="0.2">
      <c r="B307"/>
      <c r="C307" s="2"/>
      <c r="D307" s="2"/>
      <c r="E307" s="2"/>
      <c r="F307" s="29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2:35" ht="15.75" customHeight="1" x14ac:dyDescent="0.2">
      <c r="B308"/>
      <c r="C308" s="2"/>
      <c r="D308" s="2"/>
      <c r="E308" s="2"/>
      <c r="F308" s="29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2:35" ht="15.75" customHeight="1" x14ac:dyDescent="0.2">
      <c r="B309"/>
      <c r="C309" s="2"/>
      <c r="D309" s="2"/>
      <c r="E309" s="2"/>
      <c r="F309" s="29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2:35" ht="15.75" customHeight="1" x14ac:dyDescent="0.2">
      <c r="B310"/>
      <c r="C310" s="2"/>
      <c r="D310" s="2"/>
      <c r="E310" s="2"/>
      <c r="F310" s="29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2:35" ht="15.75" customHeight="1" x14ac:dyDescent="0.2">
      <c r="B311"/>
      <c r="C311" s="2"/>
      <c r="D311" s="2"/>
      <c r="E311" s="2"/>
      <c r="F311" s="29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2:35" ht="15.75" customHeight="1" x14ac:dyDescent="0.2">
      <c r="B312"/>
      <c r="C312" s="2"/>
      <c r="D312" s="2"/>
      <c r="E312" s="2"/>
      <c r="F312" s="29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2:35" ht="15.75" customHeight="1" x14ac:dyDescent="0.2">
      <c r="B313"/>
      <c r="C313" s="2"/>
      <c r="D313" s="2"/>
      <c r="E313" s="2"/>
      <c r="F313" s="29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2:35" ht="15.75" customHeight="1" x14ac:dyDescent="0.2">
      <c r="B314"/>
      <c r="C314" s="2"/>
      <c r="D314" s="2"/>
      <c r="E314" s="2"/>
      <c r="F314" s="29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2:35" ht="15.75" customHeight="1" x14ac:dyDescent="0.2">
      <c r="B315"/>
      <c r="C315" s="2"/>
      <c r="D315" s="2"/>
      <c r="E315" s="2"/>
      <c r="F315" s="29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2:35" ht="15.75" customHeight="1" x14ac:dyDescent="0.2">
      <c r="B316"/>
      <c r="C316" s="2"/>
      <c r="D316" s="2"/>
      <c r="E316" s="2"/>
      <c r="F316" s="29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2:35" ht="15.75" customHeight="1" x14ac:dyDescent="0.2">
      <c r="B317"/>
      <c r="C317" s="2"/>
      <c r="D317" s="2"/>
      <c r="E317" s="2"/>
      <c r="F317" s="29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2:35" ht="15.75" customHeight="1" x14ac:dyDescent="0.2">
      <c r="B318"/>
      <c r="C318" s="2"/>
      <c r="D318" s="2"/>
      <c r="E318" s="2"/>
      <c r="F318" s="29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2:35" ht="15.75" customHeight="1" x14ac:dyDescent="0.2">
      <c r="B319"/>
      <c r="C319" s="2"/>
      <c r="D319" s="2"/>
      <c r="E319" s="2"/>
      <c r="F319" s="29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2:35" ht="15.75" customHeight="1" x14ac:dyDescent="0.2">
      <c r="B320"/>
      <c r="C320" s="2"/>
      <c r="D320" s="2"/>
      <c r="E320" s="2"/>
      <c r="F320" s="29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2:35" ht="15.75" customHeight="1" x14ac:dyDescent="0.2">
      <c r="B321"/>
      <c r="C321" s="2"/>
      <c r="D321" s="2"/>
      <c r="E321" s="2"/>
      <c r="F321" s="29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2:35" ht="15.75" customHeight="1" x14ac:dyDescent="0.2">
      <c r="B322"/>
      <c r="C322" s="2"/>
      <c r="D322" s="2"/>
      <c r="E322" s="2"/>
      <c r="F322" s="29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2:35" ht="15.75" customHeight="1" x14ac:dyDescent="0.2">
      <c r="B323"/>
      <c r="C323" s="2"/>
      <c r="D323" s="2"/>
      <c r="E323" s="2"/>
      <c r="F323" s="29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2:35" ht="15.75" customHeight="1" x14ac:dyDescent="0.2">
      <c r="B324"/>
      <c r="C324" s="2"/>
      <c r="D324" s="2"/>
      <c r="E324" s="2"/>
      <c r="F324" s="29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2:35" ht="15.75" customHeight="1" x14ac:dyDescent="0.2">
      <c r="B325"/>
      <c r="C325" s="2"/>
      <c r="D325" s="2"/>
      <c r="E325" s="2"/>
      <c r="F325" s="29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2:35" ht="15.75" customHeight="1" x14ac:dyDescent="0.2">
      <c r="B326"/>
      <c r="C326" s="2"/>
      <c r="D326" s="2"/>
      <c r="E326" s="2"/>
      <c r="F326" s="29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2:35" ht="15.75" customHeight="1" x14ac:dyDescent="0.2">
      <c r="B327"/>
      <c r="C327" s="2"/>
      <c r="D327" s="2"/>
      <c r="E327" s="2"/>
      <c r="F327" s="29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2:35" ht="15.75" customHeight="1" x14ac:dyDescent="0.2">
      <c r="B328"/>
      <c r="C328" s="2"/>
      <c r="D328" s="2"/>
      <c r="E328" s="2"/>
      <c r="F328" s="29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2:35" ht="15.75" customHeight="1" x14ac:dyDescent="0.2">
      <c r="B329"/>
      <c r="C329" s="2"/>
      <c r="D329" s="2"/>
      <c r="E329" s="2"/>
      <c r="F329" s="29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2:35" ht="15.75" customHeight="1" x14ac:dyDescent="0.2">
      <c r="B330"/>
      <c r="C330" s="2"/>
      <c r="D330" s="2"/>
      <c r="E330" s="2"/>
      <c r="F330" s="29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2:35" ht="15.75" customHeight="1" x14ac:dyDescent="0.2">
      <c r="B331"/>
      <c r="C331" s="2"/>
      <c r="D331" s="2"/>
      <c r="E331" s="2"/>
      <c r="F331" s="29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2:35" ht="15.75" customHeight="1" x14ac:dyDescent="0.2">
      <c r="B332"/>
      <c r="C332" s="2"/>
      <c r="D332" s="2"/>
      <c r="E332" s="2"/>
      <c r="F332" s="29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2:35" ht="15.75" customHeight="1" x14ac:dyDescent="0.2">
      <c r="B333"/>
      <c r="C333" s="2"/>
      <c r="D333" s="2"/>
      <c r="E333" s="2"/>
      <c r="F333" s="29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2:35" ht="15.75" customHeight="1" x14ac:dyDescent="0.2">
      <c r="B334"/>
      <c r="C334" s="2"/>
      <c r="D334" s="2"/>
      <c r="E334" s="2"/>
      <c r="F334" s="29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2:35" ht="15.75" customHeight="1" x14ac:dyDescent="0.2">
      <c r="B335"/>
      <c r="C335" s="2"/>
      <c r="D335" s="2"/>
      <c r="E335" s="2"/>
      <c r="F335" s="29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2:35" ht="15.75" customHeight="1" x14ac:dyDescent="0.2">
      <c r="B336"/>
      <c r="C336" s="2"/>
      <c r="D336" s="2"/>
      <c r="E336" s="2"/>
      <c r="F336" s="29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2:35" ht="15.75" customHeight="1" x14ac:dyDescent="0.2">
      <c r="B337"/>
      <c r="C337" s="2"/>
      <c r="D337" s="2"/>
      <c r="E337" s="2"/>
      <c r="F337" s="29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2:35" ht="15.75" customHeight="1" x14ac:dyDescent="0.2">
      <c r="B338"/>
      <c r="C338" s="2"/>
      <c r="D338" s="2"/>
      <c r="E338" s="2"/>
      <c r="F338" s="29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2:35" ht="15.75" customHeight="1" x14ac:dyDescent="0.2">
      <c r="B339"/>
      <c r="C339" s="2"/>
      <c r="D339" s="2"/>
      <c r="E339" s="2"/>
      <c r="F339" s="29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2:35" ht="15.75" customHeight="1" x14ac:dyDescent="0.2">
      <c r="B340"/>
      <c r="C340" s="2"/>
      <c r="D340" s="2"/>
      <c r="E340" s="2"/>
      <c r="F340" s="29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2:35" ht="15.75" customHeight="1" x14ac:dyDescent="0.2">
      <c r="B341"/>
      <c r="C341" s="2"/>
      <c r="D341" s="2"/>
      <c r="E341" s="2"/>
      <c r="F341" s="29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2:35" ht="15.75" customHeight="1" x14ac:dyDescent="0.2">
      <c r="B342"/>
      <c r="C342" s="2"/>
      <c r="D342" s="2"/>
      <c r="E342" s="2"/>
      <c r="F342" s="29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2:35" ht="15.75" customHeight="1" x14ac:dyDescent="0.2">
      <c r="B343"/>
      <c r="C343" s="2"/>
      <c r="D343" s="2"/>
      <c r="E343" s="2"/>
      <c r="F343" s="29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2:35" ht="15.75" customHeight="1" x14ac:dyDescent="0.2">
      <c r="B344"/>
      <c r="C344" s="2"/>
      <c r="D344" s="2"/>
      <c r="E344" s="2"/>
      <c r="F344" s="29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2:35" ht="15.75" customHeight="1" x14ac:dyDescent="0.2">
      <c r="B345"/>
      <c r="C345" s="2"/>
      <c r="D345" s="2"/>
      <c r="E345" s="2"/>
      <c r="F345" s="29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2:35" ht="15.75" customHeight="1" x14ac:dyDescent="0.2">
      <c r="B346"/>
      <c r="C346" s="2"/>
      <c r="D346" s="2"/>
      <c r="E346" s="2"/>
      <c r="F346" s="29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2:35" ht="15.75" customHeight="1" x14ac:dyDescent="0.2">
      <c r="B347"/>
      <c r="C347" s="2"/>
      <c r="D347" s="2"/>
      <c r="E347" s="2"/>
      <c r="F347" s="29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2:35" ht="15.75" customHeight="1" x14ac:dyDescent="0.2">
      <c r="B348"/>
      <c r="C348" s="2"/>
      <c r="D348" s="2"/>
      <c r="E348" s="2"/>
      <c r="F348" s="29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2:35" ht="15.75" customHeight="1" x14ac:dyDescent="0.2">
      <c r="B349"/>
      <c r="C349" s="2"/>
      <c r="D349" s="2"/>
      <c r="E349" s="2"/>
      <c r="F349" s="29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2:35" ht="15.75" customHeight="1" x14ac:dyDescent="0.2">
      <c r="B350"/>
      <c r="C350" s="2"/>
      <c r="D350" s="2"/>
      <c r="E350" s="2"/>
      <c r="F350" s="29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2:35" ht="15.75" customHeight="1" x14ac:dyDescent="0.2">
      <c r="B351"/>
      <c r="C351" s="2"/>
      <c r="D351" s="2"/>
      <c r="E351" s="2"/>
      <c r="F351" s="29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2:35" ht="15.75" customHeight="1" x14ac:dyDescent="0.2">
      <c r="B352"/>
      <c r="C352" s="2"/>
      <c r="D352" s="2"/>
      <c r="E352" s="2"/>
      <c r="F352" s="29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2:35" ht="15.75" customHeight="1" x14ac:dyDescent="0.2">
      <c r="B353"/>
      <c r="C353" s="2"/>
      <c r="D353" s="2"/>
      <c r="E353" s="2"/>
      <c r="F353" s="29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2:35" ht="15.75" customHeight="1" x14ac:dyDescent="0.2">
      <c r="B354"/>
      <c r="C354" s="2"/>
      <c r="D354" s="2"/>
      <c r="E354" s="2"/>
      <c r="F354" s="29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2:35" ht="15.75" customHeight="1" x14ac:dyDescent="0.2">
      <c r="B355"/>
      <c r="C355" s="2"/>
      <c r="D355" s="2"/>
      <c r="E355" s="2"/>
      <c r="F355" s="29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2:35" ht="15.75" customHeight="1" x14ac:dyDescent="0.2">
      <c r="B356"/>
      <c r="C356" s="2"/>
      <c r="D356" s="2"/>
      <c r="E356" s="2"/>
      <c r="F356" s="29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2:35" ht="15.75" customHeight="1" x14ac:dyDescent="0.2">
      <c r="B357"/>
      <c r="C357" s="2"/>
      <c r="D357" s="2"/>
      <c r="E357" s="2"/>
      <c r="F357" s="29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2:35" ht="15.75" customHeight="1" x14ac:dyDescent="0.2">
      <c r="B358"/>
      <c r="C358" s="2"/>
      <c r="D358" s="2"/>
      <c r="E358" s="2"/>
      <c r="F358" s="29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2:35" ht="15.75" customHeight="1" x14ac:dyDescent="0.2">
      <c r="B359"/>
      <c r="C359" s="2"/>
      <c r="D359" s="2"/>
      <c r="E359" s="2"/>
      <c r="F359" s="29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2:35" ht="15.75" customHeight="1" x14ac:dyDescent="0.2">
      <c r="B360"/>
      <c r="C360" s="2"/>
      <c r="D360" s="2"/>
      <c r="E360" s="2"/>
      <c r="F360" s="29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2:35" ht="15.75" customHeight="1" x14ac:dyDescent="0.2">
      <c r="B361"/>
      <c r="C361" s="2"/>
      <c r="D361" s="2"/>
      <c r="E361" s="2"/>
      <c r="F361" s="29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2:35" ht="15.75" customHeight="1" x14ac:dyDescent="0.2">
      <c r="B362"/>
      <c r="C362" s="2"/>
      <c r="D362" s="2"/>
      <c r="E362" s="2"/>
      <c r="F362" s="29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2:35" ht="15.75" customHeight="1" x14ac:dyDescent="0.2">
      <c r="B363"/>
      <c r="C363" s="2"/>
      <c r="D363" s="2"/>
      <c r="E363" s="2"/>
      <c r="F363" s="29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2:35" ht="15.75" customHeight="1" x14ac:dyDescent="0.2">
      <c r="B364"/>
      <c r="C364" s="2"/>
      <c r="D364" s="2"/>
      <c r="E364" s="2"/>
      <c r="F364" s="29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2:35" ht="15.75" customHeight="1" x14ac:dyDescent="0.2">
      <c r="B365"/>
      <c r="C365" s="2"/>
      <c r="D365" s="2"/>
      <c r="E365" s="2"/>
      <c r="F365" s="29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2:35" ht="15.75" customHeight="1" x14ac:dyDescent="0.2">
      <c r="B366"/>
      <c r="C366" s="2"/>
      <c r="D366" s="2"/>
      <c r="E366" s="2"/>
      <c r="F366" s="29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2:35" ht="15.75" customHeight="1" x14ac:dyDescent="0.2">
      <c r="B367"/>
      <c r="C367" s="2"/>
      <c r="D367" s="2"/>
      <c r="E367" s="2"/>
      <c r="F367" s="29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2:35" ht="15.75" customHeight="1" x14ac:dyDescent="0.2">
      <c r="B368"/>
      <c r="C368" s="2"/>
      <c r="D368" s="2"/>
      <c r="E368" s="2"/>
      <c r="F368" s="29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2:35" ht="15.75" customHeight="1" x14ac:dyDescent="0.2">
      <c r="B369"/>
      <c r="C369" s="2"/>
      <c r="D369" s="2"/>
      <c r="E369" s="2"/>
      <c r="F369" s="29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2:35" ht="15.75" customHeight="1" x14ac:dyDescent="0.2">
      <c r="B370"/>
      <c r="C370" s="2"/>
      <c r="D370" s="2"/>
      <c r="E370" s="2"/>
      <c r="F370" s="29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2:35" ht="15.75" customHeight="1" x14ac:dyDescent="0.2">
      <c r="B371"/>
      <c r="C371" s="2"/>
      <c r="D371" s="2"/>
      <c r="E371" s="2"/>
      <c r="F371" s="29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2:35" ht="15.75" customHeight="1" x14ac:dyDescent="0.2">
      <c r="B372"/>
      <c r="C372" s="2"/>
      <c r="D372" s="2"/>
      <c r="E372" s="2"/>
      <c r="F372" s="29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2:35" ht="15.75" customHeight="1" x14ac:dyDescent="0.2">
      <c r="B373"/>
      <c r="C373" s="2"/>
      <c r="D373" s="2"/>
      <c r="E373" s="2"/>
      <c r="F373" s="29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2:35" ht="15.75" customHeight="1" x14ac:dyDescent="0.2">
      <c r="B374"/>
      <c r="C374" s="2"/>
      <c r="D374" s="2"/>
      <c r="E374" s="2"/>
      <c r="F374" s="29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2:35" ht="15.75" customHeight="1" x14ac:dyDescent="0.2">
      <c r="B375"/>
      <c r="C375" s="2"/>
      <c r="D375" s="2"/>
      <c r="E375" s="2"/>
      <c r="F375" s="29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2:35" ht="15.75" customHeight="1" x14ac:dyDescent="0.2">
      <c r="B376"/>
      <c r="C376" s="2"/>
      <c r="D376" s="2"/>
      <c r="E376" s="2"/>
      <c r="F376" s="29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2:35" ht="15.75" customHeight="1" x14ac:dyDescent="0.2">
      <c r="B377"/>
      <c r="C377" s="2"/>
      <c r="D377" s="2"/>
      <c r="E377" s="2"/>
      <c r="F377" s="29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2:35" ht="15.75" customHeight="1" x14ac:dyDescent="0.2">
      <c r="B378"/>
      <c r="C378" s="2"/>
      <c r="D378" s="2"/>
      <c r="E378" s="2"/>
      <c r="F378" s="29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2:35" ht="15.75" customHeight="1" x14ac:dyDescent="0.2">
      <c r="B379"/>
      <c r="C379" s="2"/>
      <c r="D379" s="2"/>
      <c r="E379" s="2"/>
      <c r="F379" s="29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2:35" ht="15.75" customHeight="1" x14ac:dyDescent="0.2">
      <c r="B380"/>
      <c r="C380" s="2"/>
      <c r="D380" s="2"/>
      <c r="E380" s="2"/>
      <c r="F380" s="29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2:35" ht="15.75" customHeight="1" x14ac:dyDescent="0.2">
      <c r="B381"/>
      <c r="C381" s="2"/>
      <c r="D381" s="2"/>
      <c r="E381" s="2"/>
      <c r="F381" s="29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2:35" ht="15.75" customHeight="1" x14ac:dyDescent="0.2">
      <c r="B382"/>
      <c r="C382" s="2"/>
      <c r="D382" s="2"/>
      <c r="E382" s="2"/>
      <c r="F382" s="29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2:35" ht="15.75" customHeight="1" x14ac:dyDescent="0.2">
      <c r="B383"/>
      <c r="C383" s="2"/>
      <c r="D383" s="2"/>
      <c r="E383" s="2"/>
      <c r="F383" s="29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2:35" ht="15.75" customHeight="1" x14ac:dyDescent="0.2">
      <c r="B384"/>
      <c r="C384" s="2"/>
      <c r="D384" s="2"/>
      <c r="E384" s="2"/>
      <c r="F384" s="29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2:35" ht="15.75" customHeight="1" x14ac:dyDescent="0.2">
      <c r="B385"/>
      <c r="C385" s="2"/>
      <c r="D385" s="2"/>
      <c r="E385" s="2"/>
      <c r="F385" s="29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2:35" ht="15.75" customHeight="1" x14ac:dyDescent="0.2">
      <c r="B386"/>
      <c r="C386" s="2"/>
      <c r="D386" s="2"/>
      <c r="E386" s="2"/>
      <c r="F386" s="29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2:35" ht="15.75" customHeight="1" x14ac:dyDescent="0.2">
      <c r="B387"/>
      <c r="C387" s="2"/>
      <c r="D387" s="2"/>
      <c r="E387" s="2"/>
      <c r="F387" s="29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2:35" ht="15.75" customHeight="1" x14ac:dyDescent="0.2">
      <c r="B388"/>
      <c r="C388" s="2"/>
      <c r="D388" s="2"/>
      <c r="E388" s="2"/>
      <c r="F388" s="29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2:35" ht="15.75" customHeight="1" x14ac:dyDescent="0.2">
      <c r="B389"/>
      <c r="C389" s="2"/>
      <c r="D389" s="2"/>
      <c r="E389" s="2"/>
      <c r="F389" s="29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2:35" ht="15.75" customHeight="1" x14ac:dyDescent="0.2">
      <c r="B390"/>
      <c r="C390" s="2"/>
      <c r="D390" s="2"/>
      <c r="E390" s="2"/>
      <c r="F390" s="29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2:35" ht="15.75" customHeight="1" x14ac:dyDescent="0.2">
      <c r="B391"/>
      <c r="C391" s="2"/>
      <c r="D391" s="2"/>
      <c r="E391" s="2"/>
      <c r="F391" s="29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2:35" ht="15.75" customHeight="1" x14ac:dyDescent="0.2">
      <c r="B392"/>
      <c r="C392" s="2"/>
      <c r="D392" s="2"/>
      <c r="E392" s="2"/>
      <c r="F392" s="29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2:35" ht="15.75" customHeight="1" x14ac:dyDescent="0.2">
      <c r="B393"/>
      <c r="C393" s="2"/>
      <c r="D393" s="2"/>
      <c r="E393" s="2"/>
      <c r="F393" s="29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2:35" ht="15.75" customHeight="1" x14ac:dyDescent="0.2">
      <c r="B394"/>
      <c r="C394" s="2"/>
      <c r="D394" s="2"/>
      <c r="E394" s="2"/>
      <c r="F394" s="29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2:35" ht="15.75" customHeight="1" x14ac:dyDescent="0.2">
      <c r="B395"/>
      <c r="C395" s="2"/>
      <c r="D395" s="2"/>
      <c r="E395" s="2"/>
      <c r="F395" s="29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2:35" ht="15.75" customHeight="1" x14ac:dyDescent="0.2">
      <c r="B396"/>
      <c r="C396" s="2"/>
      <c r="D396" s="2"/>
      <c r="E396" s="2"/>
      <c r="F396" s="29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2:35" ht="15.75" customHeight="1" x14ac:dyDescent="0.2">
      <c r="B397"/>
      <c r="C397" s="2"/>
      <c r="D397" s="2"/>
      <c r="E397" s="2"/>
      <c r="F397" s="29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2:35" ht="15.75" customHeight="1" x14ac:dyDescent="0.2">
      <c r="B398"/>
      <c r="C398" s="2"/>
      <c r="D398" s="2"/>
      <c r="E398" s="2"/>
      <c r="F398" s="29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2:35" ht="15.75" customHeight="1" x14ac:dyDescent="0.2">
      <c r="B399"/>
      <c r="C399" s="2"/>
      <c r="D399" s="2"/>
      <c r="E399" s="2"/>
      <c r="F399" s="29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2:35" ht="15.75" customHeight="1" x14ac:dyDescent="0.2">
      <c r="B400"/>
      <c r="C400" s="2"/>
      <c r="D400" s="2"/>
      <c r="E400" s="2"/>
      <c r="F400" s="29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2:35" ht="15.75" customHeight="1" x14ac:dyDescent="0.2">
      <c r="B401"/>
      <c r="C401" s="2"/>
      <c r="D401" s="2"/>
      <c r="E401" s="2"/>
      <c r="F401" s="29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2:35" ht="15.75" customHeight="1" x14ac:dyDescent="0.2">
      <c r="B402"/>
      <c r="C402" s="2"/>
      <c r="D402" s="2"/>
      <c r="E402" s="2"/>
      <c r="F402" s="29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2:35" ht="15.75" customHeight="1" x14ac:dyDescent="0.2">
      <c r="B403"/>
      <c r="C403" s="2"/>
      <c r="D403" s="2"/>
      <c r="E403" s="2"/>
      <c r="F403" s="29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2:35" ht="15.75" customHeight="1" x14ac:dyDescent="0.2">
      <c r="B404"/>
      <c r="C404" s="2"/>
      <c r="D404" s="2"/>
      <c r="E404" s="2"/>
      <c r="F404" s="29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2:35" ht="15.75" customHeight="1" x14ac:dyDescent="0.2">
      <c r="B405"/>
      <c r="C405" s="2"/>
      <c r="D405" s="2"/>
      <c r="E405" s="2"/>
      <c r="F405" s="29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2:35" ht="15.75" customHeight="1" x14ac:dyDescent="0.2">
      <c r="B406"/>
      <c r="C406" s="2"/>
      <c r="D406" s="2"/>
      <c r="E406" s="2"/>
      <c r="F406" s="29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2:35" ht="15.75" customHeight="1" x14ac:dyDescent="0.2">
      <c r="B407"/>
      <c r="C407" s="2"/>
      <c r="D407" s="2"/>
      <c r="E407" s="2"/>
      <c r="F407" s="29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2:35" ht="15.75" customHeight="1" x14ac:dyDescent="0.2">
      <c r="B408"/>
      <c r="C408" s="2"/>
      <c r="D408" s="2"/>
      <c r="E408" s="2"/>
      <c r="F408" s="29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2:35" ht="15.75" customHeight="1" x14ac:dyDescent="0.2">
      <c r="B409"/>
      <c r="C409" s="2"/>
      <c r="D409" s="2"/>
      <c r="E409" s="2"/>
      <c r="F409" s="29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2:35" ht="15.75" customHeight="1" x14ac:dyDescent="0.2">
      <c r="B410"/>
      <c r="C410" s="2"/>
      <c r="D410" s="2"/>
      <c r="E410" s="2"/>
      <c r="F410" s="29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2:35" ht="15.75" customHeight="1" x14ac:dyDescent="0.2">
      <c r="B411"/>
      <c r="C411" s="2"/>
      <c r="D411" s="2"/>
      <c r="E411" s="2"/>
      <c r="F411" s="29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2:35" ht="15.75" customHeight="1" x14ac:dyDescent="0.2">
      <c r="B412"/>
      <c r="C412" s="2"/>
      <c r="D412" s="2"/>
      <c r="E412" s="2"/>
      <c r="F412" s="29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2:35" ht="15.75" customHeight="1" x14ac:dyDescent="0.2">
      <c r="B413"/>
      <c r="C413" s="2"/>
      <c r="D413" s="2"/>
      <c r="E413" s="2"/>
      <c r="F413" s="29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2:35" ht="15.75" customHeight="1" x14ac:dyDescent="0.2">
      <c r="B414"/>
      <c r="C414" s="2"/>
      <c r="D414" s="2"/>
      <c r="E414" s="2"/>
      <c r="F414" s="29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2:35" ht="15.75" customHeight="1" x14ac:dyDescent="0.2">
      <c r="B415"/>
      <c r="C415" s="2"/>
      <c r="D415" s="2"/>
      <c r="E415" s="2"/>
      <c r="F415" s="29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2:35" ht="15.75" customHeight="1" x14ac:dyDescent="0.2">
      <c r="B416"/>
      <c r="C416" s="2"/>
      <c r="D416" s="2"/>
      <c r="E416" s="2"/>
      <c r="F416" s="29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2:35" ht="15.75" customHeight="1" x14ac:dyDescent="0.2">
      <c r="B417"/>
      <c r="C417" s="2"/>
      <c r="D417" s="2"/>
      <c r="E417" s="2"/>
      <c r="F417" s="29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2:35" ht="15.75" customHeight="1" x14ac:dyDescent="0.2">
      <c r="B418"/>
      <c r="C418" s="2"/>
      <c r="D418" s="2"/>
      <c r="E418" s="2"/>
      <c r="F418" s="29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2:35" ht="15.75" customHeight="1" x14ac:dyDescent="0.2">
      <c r="B419"/>
      <c r="C419" s="2"/>
      <c r="D419" s="2"/>
      <c r="E419" s="2"/>
      <c r="F419" s="29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2:35" ht="15.75" customHeight="1" x14ac:dyDescent="0.2">
      <c r="B420"/>
      <c r="C420" s="2"/>
      <c r="D420" s="2"/>
      <c r="E420" s="2"/>
      <c r="F420" s="29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2:35" ht="15.75" customHeight="1" x14ac:dyDescent="0.2">
      <c r="B421"/>
      <c r="C421" s="2"/>
      <c r="D421" s="2"/>
      <c r="E421" s="2"/>
      <c r="F421" s="29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2:35" ht="15.75" customHeight="1" x14ac:dyDescent="0.2">
      <c r="B422"/>
      <c r="C422" s="2"/>
      <c r="D422" s="2"/>
      <c r="E422" s="2"/>
      <c r="F422" s="29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2:35" ht="15.75" customHeight="1" x14ac:dyDescent="0.2">
      <c r="B423"/>
      <c r="C423" s="2"/>
      <c r="D423" s="2"/>
      <c r="E423" s="2"/>
      <c r="F423" s="29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2:35" ht="15.75" customHeight="1" x14ac:dyDescent="0.2">
      <c r="B424"/>
      <c r="C424" s="2"/>
      <c r="D424" s="2"/>
      <c r="E424" s="2"/>
      <c r="F424" s="29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2:35" ht="15.75" customHeight="1" x14ac:dyDescent="0.2">
      <c r="B425"/>
      <c r="C425" s="2"/>
      <c r="D425" s="2"/>
      <c r="E425" s="2"/>
      <c r="F425" s="29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2:35" ht="15.75" customHeight="1" x14ac:dyDescent="0.2">
      <c r="B426"/>
      <c r="C426" s="2"/>
      <c r="D426" s="2"/>
      <c r="E426" s="2"/>
      <c r="F426" s="29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2:35" ht="15.75" customHeight="1" x14ac:dyDescent="0.2">
      <c r="B427"/>
      <c r="C427" s="2"/>
      <c r="D427" s="2"/>
      <c r="E427" s="2"/>
      <c r="F427" s="29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2:35" ht="15.75" customHeight="1" x14ac:dyDescent="0.2">
      <c r="B428"/>
      <c r="C428" s="2"/>
      <c r="D428" s="2"/>
      <c r="E428" s="2"/>
      <c r="F428" s="29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2:35" ht="15.75" customHeight="1" x14ac:dyDescent="0.2">
      <c r="B429"/>
      <c r="C429" s="2"/>
      <c r="D429" s="2"/>
      <c r="E429" s="2"/>
      <c r="F429" s="29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2:35" ht="15.75" customHeight="1" x14ac:dyDescent="0.2">
      <c r="B430"/>
      <c r="C430" s="2"/>
      <c r="D430" s="2"/>
      <c r="E430" s="2"/>
      <c r="F430" s="29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2:35" ht="15.75" customHeight="1" x14ac:dyDescent="0.2">
      <c r="B431"/>
      <c r="C431" s="2"/>
      <c r="D431" s="2"/>
      <c r="E431" s="2"/>
      <c r="F431" s="29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2:35" ht="15.75" customHeight="1" x14ac:dyDescent="0.2">
      <c r="B432"/>
      <c r="C432" s="2"/>
      <c r="D432" s="2"/>
      <c r="E432" s="2"/>
      <c r="F432" s="29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2:35" ht="15.75" customHeight="1" x14ac:dyDescent="0.2">
      <c r="B433"/>
      <c r="C433" s="2"/>
      <c r="D433" s="2"/>
      <c r="E433" s="2"/>
      <c r="F433" s="29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2:35" ht="15.75" customHeight="1" x14ac:dyDescent="0.2">
      <c r="B434"/>
      <c r="C434" s="2"/>
      <c r="D434" s="2"/>
      <c r="E434" s="2"/>
      <c r="F434" s="29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2:35" ht="15.75" customHeight="1" x14ac:dyDescent="0.2">
      <c r="B435"/>
      <c r="C435" s="2"/>
      <c r="D435" s="2"/>
      <c r="E435" s="2"/>
      <c r="F435" s="29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2:35" ht="15.75" customHeight="1" x14ac:dyDescent="0.2">
      <c r="B436"/>
      <c r="C436" s="2"/>
      <c r="D436" s="2"/>
      <c r="E436" s="2"/>
      <c r="F436" s="29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2:35" ht="15.75" customHeight="1" x14ac:dyDescent="0.2">
      <c r="B437"/>
      <c r="C437" s="2"/>
      <c r="D437" s="2"/>
      <c r="E437" s="2"/>
      <c r="F437" s="29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2:35" ht="15.75" customHeight="1" x14ac:dyDescent="0.2">
      <c r="B438"/>
      <c r="C438" s="2"/>
      <c r="D438" s="2"/>
      <c r="E438" s="2"/>
      <c r="F438" s="29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2:35" ht="15.75" customHeight="1" x14ac:dyDescent="0.2">
      <c r="B439"/>
      <c r="C439" s="2"/>
      <c r="D439" s="2"/>
      <c r="E439" s="2"/>
      <c r="F439" s="29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2:35" ht="15.75" customHeight="1" x14ac:dyDescent="0.2">
      <c r="B440"/>
      <c r="C440" s="2"/>
      <c r="D440" s="2"/>
      <c r="E440" s="2"/>
      <c r="F440" s="29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2:35" ht="15.75" customHeight="1" x14ac:dyDescent="0.2">
      <c r="B441"/>
      <c r="C441" s="2"/>
      <c r="D441" s="2"/>
      <c r="E441" s="2"/>
      <c r="F441" s="29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2:35" ht="15.75" customHeight="1" x14ac:dyDescent="0.2">
      <c r="B442"/>
      <c r="C442" s="2"/>
      <c r="D442" s="2"/>
      <c r="E442" s="2"/>
      <c r="F442" s="29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2:35" ht="15.75" customHeight="1" x14ac:dyDescent="0.2">
      <c r="B443"/>
      <c r="C443" s="2"/>
      <c r="D443" s="2"/>
      <c r="E443" s="2"/>
      <c r="F443" s="29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2:35" ht="15.75" customHeight="1" x14ac:dyDescent="0.2">
      <c r="B444"/>
      <c r="C444" s="2"/>
      <c r="D444" s="2"/>
      <c r="E444" s="2"/>
      <c r="F444" s="29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2:35" ht="15.75" customHeight="1" x14ac:dyDescent="0.2">
      <c r="B445"/>
      <c r="C445" s="2"/>
      <c r="D445" s="2"/>
      <c r="E445" s="2"/>
      <c r="F445" s="29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2:35" ht="15.75" customHeight="1" x14ac:dyDescent="0.2">
      <c r="B446"/>
      <c r="C446" s="2"/>
      <c r="D446" s="2"/>
      <c r="E446" s="2"/>
      <c r="F446" s="29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2:35" ht="15.75" customHeight="1" x14ac:dyDescent="0.2">
      <c r="B447"/>
      <c r="C447" s="2"/>
      <c r="D447" s="2"/>
      <c r="E447" s="2"/>
      <c r="F447" s="29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2:35" ht="15.75" customHeight="1" x14ac:dyDescent="0.2">
      <c r="B448"/>
      <c r="C448" s="2"/>
      <c r="D448" s="2"/>
      <c r="E448" s="2"/>
      <c r="F448" s="29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2:35" ht="15.75" customHeight="1" x14ac:dyDescent="0.2">
      <c r="B449"/>
      <c r="C449" s="2"/>
      <c r="D449" s="2"/>
      <c r="E449" s="2"/>
      <c r="F449" s="29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2:35" ht="15.75" customHeight="1" x14ac:dyDescent="0.2">
      <c r="B450"/>
      <c r="C450" s="2"/>
      <c r="D450" s="2"/>
      <c r="E450" s="2"/>
      <c r="F450" s="29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2:35" ht="15.75" customHeight="1" x14ac:dyDescent="0.2">
      <c r="B451"/>
      <c r="C451" s="2"/>
      <c r="D451" s="2"/>
      <c r="E451" s="2"/>
      <c r="F451" s="29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2:35" ht="15.75" customHeight="1" x14ac:dyDescent="0.2">
      <c r="B452"/>
      <c r="C452" s="2"/>
      <c r="D452" s="2"/>
      <c r="E452" s="2"/>
      <c r="F452" s="29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2:35" ht="15.75" customHeight="1" x14ac:dyDescent="0.2">
      <c r="B453"/>
      <c r="C453" s="2"/>
      <c r="D453" s="2"/>
      <c r="E453" s="2"/>
      <c r="F453" s="29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2:35" ht="15.75" customHeight="1" x14ac:dyDescent="0.2">
      <c r="B454"/>
      <c r="C454" s="2"/>
      <c r="D454" s="2"/>
      <c r="E454" s="2"/>
      <c r="F454" s="29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2:35" ht="15.75" customHeight="1" x14ac:dyDescent="0.2">
      <c r="B455"/>
      <c r="C455" s="2"/>
      <c r="D455" s="2"/>
      <c r="E455" s="2"/>
      <c r="F455" s="29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2:35" ht="15.75" customHeight="1" x14ac:dyDescent="0.2">
      <c r="B456"/>
      <c r="C456" s="2"/>
      <c r="D456" s="2"/>
      <c r="E456" s="2"/>
      <c r="F456" s="29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2:35" ht="15.75" customHeight="1" x14ac:dyDescent="0.2">
      <c r="B457"/>
      <c r="C457" s="2"/>
      <c r="D457" s="2"/>
      <c r="E457" s="2"/>
      <c r="F457" s="29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2:35" ht="15.75" customHeight="1" x14ac:dyDescent="0.2">
      <c r="B458"/>
      <c r="C458" s="2"/>
      <c r="D458" s="2"/>
      <c r="E458" s="2"/>
      <c r="F458" s="29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2:35" ht="15.75" customHeight="1" x14ac:dyDescent="0.2">
      <c r="B459"/>
      <c r="C459" s="2"/>
      <c r="D459" s="2"/>
      <c r="E459" s="2"/>
      <c r="F459" s="29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2:35" ht="15.75" customHeight="1" x14ac:dyDescent="0.2">
      <c r="B460"/>
      <c r="C460" s="2"/>
      <c r="D460" s="2"/>
      <c r="E460" s="2"/>
      <c r="F460" s="29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2:35" ht="15.75" customHeight="1" x14ac:dyDescent="0.2">
      <c r="B461"/>
      <c r="C461" s="2"/>
      <c r="D461" s="2"/>
      <c r="E461" s="2"/>
      <c r="F461" s="29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2:35" ht="15.75" customHeight="1" x14ac:dyDescent="0.2">
      <c r="B462"/>
      <c r="C462" s="2"/>
      <c r="D462" s="2"/>
      <c r="E462" s="2"/>
      <c r="F462" s="29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2:35" ht="15.75" customHeight="1" x14ac:dyDescent="0.2">
      <c r="B463"/>
      <c r="C463" s="2"/>
      <c r="D463" s="2"/>
      <c r="E463" s="2"/>
      <c r="F463" s="29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2:35" ht="15.75" customHeight="1" x14ac:dyDescent="0.2">
      <c r="B464"/>
      <c r="C464" s="2"/>
      <c r="D464" s="2"/>
      <c r="E464" s="2"/>
      <c r="F464" s="29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2:35" ht="15.75" customHeight="1" x14ac:dyDescent="0.2">
      <c r="B465"/>
      <c r="C465" s="2"/>
      <c r="D465" s="2"/>
      <c r="E465" s="2"/>
      <c r="F465" s="29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2:35" ht="15.75" customHeight="1" x14ac:dyDescent="0.2">
      <c r="B466"/>
      <c r="C466" s="2"/>
      <c r="D466" s="2"/>
      <c r="E466" s="2"/>
      <c r="F466" s="29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2:35" ht="15.75" customHeight="1" x14ac:dyDescent="0.2">
      <c r="B467"/>
      <c r="C467" s="2"/>
      <c r="D467" s="2"/>
      <c r="E467" s="2"/>
      <c r="F467" s="29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2:35" ht="15.75" customHeight="1" x14ac:dyDescent="0.2">
      <c r="B468"/>
      <c r="C468" s="2"/>
      <c r="D468" s="2"/>
      <c r="E468" s="2"/>
      <c r="F468" s="29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2:35" ht="15.75" customHeight="1" x14ac:dyDescent="0.2">
      <c r="B469"/>
      <c r="C469" s="2"/>
      <c r="D469" s="2"/>
      <c r="E469" s="2"/>
      <c r="F469" s="29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2:35" ht="15.75" customHeight="1" x14ac:dyDescent="0.2">
      <c r="B470"/>
      <c r="C470" s="2"/>
      <c r="D470" s="2"/>
      <c r="E470" s="2"/>
      <c r="F470" s="29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2:35" ht="15.75" customHeight="1" x14ac:dyDescent="0.2">
      <c r="B471"/>
      <c r="C471" s="2"/>
      <c r="D471" s="2"/>
      <c r="E471" s="2"/>
      <c r="F471" s="29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2:35" ht="15.75" customHeight="1" x14ac:dyDescent="0.2">
      <c r="B472"/>
      <c r="C472" s="2"/>
      <c r="D472" s="2"/>
      <c r="E472" s="2"/>
      <c r="F472" s="29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2:35" ht="15.75" customHeight="1" x14ac:dyDescent="0.2">
      <c r="B473"/>
      <c r="C473" s="2"/>
      <c r="D473" s="2"/>
      <c r="E473" s="2"/>
      <c r="F473" s="29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2:35" ht="15.75" customHeight="1" x14ac:dyDescent="0.2">
      <c r="B474"/>
      <c r="C474" s="2"/>
      <c r="D474" s="2"/>
      <c r="E474" s="2"/>
      <c r="F474" s="29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2:35" ht="15.75" customHeight="1" x14ac:dyDescent="0.2">
      <c r="B475"/>
      <c r="C475" s="2"/>
      <c r="D475" s="2"/>
      <c r="E475" s="2"/>
      <c r="F475" s="29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2:35" ht="15.75" customHeight="1" x14ac:dyDescent="0.2">
      <c r="B476"/>
      <c r="C476" s="2"/>
      <c r="D476" s="2"/>
      <c r="E476" s="2"/>
      <c r="F476" s="29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2:35" ht="15.75" customHeight="1" x14ac:dyDescent="0.2">
      <c r="B477"/>
      <c r="C477" s="2"/>
      <c r="D477" s="2"/>
      <c r="E477" s="2"/>
      <c r="F477" s="29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2:35" ht="15.75" customHeight="1" x14ac:dyDescent="0.2">
      <c r="B478"/>
      <c r="C478" s="2"/>
      <c r="D478" s="2"/>
      <c r="E478" s="2"/>
      <c r="F478" s="29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2:35" ht="15.75" customHeight="1" x14ac:dyDescent="0.2">
      <c r="B479"/>
      <c r="C479" s="2"/>
      <c r="D479" s="2"/>
      <c r="E479" s="2"/>
      <c r="F479" s="29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2:35" ht="15.75" customHeight="1" x14ac:dyDescent="0.2">
      <c r="B480"/>
      <c r="C480" s="2"/>
      <c r="D480" s="2"/>
      <c r="E480" s="2"/>
      <c r="F480" s="29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2:35" ht="15.75" customHeight="1" x14ac:dyDescent="0.2">
      <c r="B481"/>
      <c r="C481" s="2"/>
      <c r="D481" s="2"/>
      <c r="E481" s="2"/>
      <c r="F481" s="29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2:35" ht="15.75" customHeight="1" x14ac:dyDescent="0.2">
      <c r="B482"/>
      <c r="C482" s="2"/>
      <c r="D482" s="2"/>
      <c r="E482" s="2"/>
      <c r="F482" s="29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2:35" ht="15.75" customHeight="1" x14ac:dyDescent="0.2">
      <c r="B483"/>
      <c r="C483" s="2"/>
      <c r="D483" s="2"/>
      <c r="E483" s="2"/>
      <c r="F483" s="29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2:35" ht="15.75" customHeight="1" x14ac:dyDescent="0.2">
      <c r="B484"/>
      <c r="C484" s="2"/>
      <c r="D484" s="2"/>
      <c r="E484" s="2"/>
      <c r="F484" s="29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2:35" ht="15.75" customHeight="1" x14ac:dyDescent="0.2">
      <c r="B485"/>
      <c r="C485" s="2"/>
      <c r="D485" s="2"/>
      <c r="E485" s="2"/>
      <c r="F485" s="29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2:35" ht="15.75" customHeight="1" x14ac:dyDescent="0.2">
      <c r="B486"/>
      <c r="C486" s="2"/>
      <c r="D486" s="2"/>
      <c r="E486" s="2"/>
      <c r="F486" s="29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2:35" ht="15.75" customHeight="1" x14ac:dyDescent="0.2">
      <c r="B487"/>
      <c r="C487" s="2"/>
      <c r="D487" s="2"/>
      <c r="E487" s="2"/>
      <c r="F487" s="29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2:35" ht="15.75" customHeight="1" x14ac:dyDescent="0.2">
      <c r="B488"/>
      <c r="C488" s="2"/>
      <c r="D488" s="2"/>
      <c r="E488" s="2"/>
      <c r="F488" s="29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2:35" ht="15.75" customHeight="1" x14ac:dyDescent="0.2">
      <c r="B489"/>
      <c r="C489" s="2"/>
      <c r="D489" s="2"/>
      <c r="E489" s="2"/>
      <c r="F489" s="29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2:35" ht="15.75" customHeight="1" x14ac:dyDescent="0.2">
      <c r="B490"/>
      <c r="C490" s="2"/>
      <c r="D490" s="2"/>
      <c r="E490" s="2"/>
      <c r="F490" s="29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2:35" ht="15.75" customHeight="1" x14ac:dyDescent="0.2">
      <c r="B491"/>
      <c r="C491" s="2"/>
      <c r="D491" s="2"/>
      <c r="E491" s="2"/>
      <c r="F491" s="29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2:35" ht="15.75" customHeight="1" x14ac:dyDescent="0.2">
      <c r="B492"/>
      <c r="C492" s="2"/>
      <c r="D492" s="2"/>
      <c r="E492" s="2"/>
      <c r="F492" s="29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2:35" ht="15.75" customHeight="1" x14ac:dyDescent="0.2">
      <c r="B493"/>
      <c r="C493" s="2"/>
      <c r="D493" s="2"/>
      <c r="E493" s="2"/>
      <c r="F493" s="29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2:35" ht="15.75" customHeight="1" x14ac:dyDescent="0.2">
      <c r="B494"/>
      <c r="C494" s="2"/>
      <c r="D494" s="2"/>
      <c r="E494" s="2"/>
      <c r="F494" s="29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2:35" ht="15.75" customHeight="1" x14ac:dyDescent="0.2">
      <c r="B495"/>
      <c r="C495" s="2"/>
      <c r="D495" s="2"/>
      <c r="E495" s="2"/>
      <c r="F495" s="29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2:35" ht="15.75" customHeight="1" x14ac:dyDescent="0.2">
      <c r="B496"/>
      <c r="C496" s="2"/>
      <c r="D496" s="2"/>
      <c r="E496" s="2"/>
      <c r="F496" s="29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2:35" ht="15.75" customHeight="1" x14ac:dyDescent="0.2">
      <c r="B497"/>
      <c r="C497" s="2"/>
      <c r="D497" s="2"/>
      <c r="E497" s="2"/>
      <c r="F497" s="29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2:35" ht="15.75" customHeight="1" x14ac:dyDescent="0.2">
      <c r="B498"/>
      <c r="C498" s="2"/>
      <c r="D498" s="2"/>
      <c r="E498" s="2"/>
      <c r="F498" s="29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2:35" ht="15.75" customHeight="1" x14ac:dyDescent="0.2">
      <c r="B499"/>
      <c r="C499" s="2"/>
      <c r="D499" s="2"/>
      <c r="E499" s="2"/>
      <c r="F499" s="29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2:35" ht="15.75" customHeight="1" x14ac:dyDescent="0.2">
      <c r="B500"/>
      <c r="C500" s="2"/>
      <c r="D500" s="2"/>
      <c r="E500" s="2"/>
      <c r="F500" s="29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2:35" ht="15.75" customHeight="1" x14ac:dyDescent="0.2">
      <c r="B501"/>
      <c r="C501" s="2"/>
      <c r="D501" s="2"/>
      <c r="E501" s="2"/>
      <c r="F501" s="29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2:35" ht="15.75" customHeight="1" x14ac:dyDescent="0.2">
      <c r="B502"/>
      <c r="C502" s="2"/>
      <c r="D502" s="2"/>
      <c r="E502" s="2"/>
      <c r="F502" s="29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spans="2:35" ht="15.75" customHeight="1" x14ac:dyDescent="0.2">
      <c r="B503"/>
      <c r="C503" s="2"/>
      <c r="D503" s="2"/>
      <c r="E503" s="2"/>
      <c r="F503" s="29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spans="2:35" ht="15.75" customHeight="1" x14ac:dyDescent="0.2">
      <c r="B504"/>
      <c r="C504" s="2"/>
      <c r="D504" s="2"/>
      <c r="E504" s="2"/>
      <c r="F504" s="29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2:35" ht="15.75" customHeight="1" x14ac:dyDescent="0.2">
      <c r="B505"/>
      <c r="C505" s="2"/>
      <c r="D505" s="2"/>
      <c r="E505" s="2"/>
      <c r="F505" s="29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spans="2:35" ht="15.75" customHeight="1" x14ac:dyDescent="0.2">
      <c r="B506"/>
      <c r="C506" s="2"/>
      <c r="D506" s="2"/>
      <c r="E506" s="2"/>
      <c r="F506" s="29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spans="2:35" ht="15.75" customHeight="1" x14ac:dyDescent="0.2">
      <c r="B507"/>
      <c r="C507" s="2"/>
      <c r="D507" s="2"/>
      <c r="E507" s="2"/>
      <c r="F507" s="29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spans="2:35" ht="15.75" customHeight="1" x14ac:dyDescent="0.2">
      <c r="B508"/>
      <c r="C508" s="2"/>
      <c r="D508" s="2"/>
      <c r="E508" s="2"/>
      <c r="F508" s="29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spans="2:35" ht="15.75" customHeight="1" x14ac:dyDescent="0.2">
      <c r="B509"/>
      <c r="C509" s="2"/>
      <c r="D509" s="2"/>
      <c r="E509" s="2"/>
      <c r="F509" s="29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2:35" ht="15.75" customHeight="1" x14ac:dyDescent="0.2">
      <c r="B510"/>
      <c r="C510" s="2"/>
      <c r="D510" s="2"/>
      <c r="E510" s="2"/>
      <c r="F510" s="29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spans="2:35" ht="15.75" customHeight="1" x14ac:dyDescent="0.2">
      <c r="B511"/>
      <c r="C511" s="2"/>
      <c r="D511" s="2"/>
      <c r="E511" s="2"/>
      <c r="F511" s="29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spans="2:35" ht="15.75" customHeight="1" x14ac:dyDescent="0.2">
      <c r="B512"/>
      <c r="C512" s="2"/>
      <c r="D512" s="2"/>
      <c r="E512" s="2"/>
      <c r="F512" s="29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2:35" ht="15.75" customHeight="1" x14ac:dyDescent="0.2">
      <c r="B513"/>
      <c r="C513" s="2"/>
      <c r="D513" s="2"/>
      <c r="E513" s="2"/>
      <c r="F513" s="29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spans="2:35" ht="15.75" customHeight="1" x14ac:dyDescent="0.2">
      <c r="B514"/>
      <c r="C514" s="2"/>
      <c r="D514" s="2"/>
      <c r="E514" s="2"/>
      <c r="F514" s="29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2:35" ht="15.75" customHeight="1" x14ac:dyDescent="0.2">
      <c r="B515"/>
      <c r="C515" s="2"/>
      <c r="D515" s="2"/>
      <c r="E515" s="2"/>
      <c r="F515" s="29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spans="2:35" ht="15.75" customHeight="1" x14ac:dyDescent="0.2">
      <c r="B516"/>
      <c r="C516" s="2"/>
      <c r="D516" s="2"/>
      <c r="E516" s="2"/>
      <c r="F516" s="29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spans="2:35" ht="15.75" customHeight="1" x14ac:dyDescent="0.2">
      <c r="B517"/>
      <c r="C517" s="2"/>
      <c r="D517" s="2"/>
      <c r="E517" s="2"/>
      <c r="F517" s="29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spans="2:35" ht="15.75" customHeight="1" x14ac:dyDescent="0.2">
      <c r="B518"/>
      <c r="C518" s="2"/>
      <c r="D518" s="2"/>
      <c r="E518" s="2"/>
      <c r="F518" s="29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spans="2:35" ht="15.75" customHeight="1" x14ac:dyDescent="0.2">
      <c r="B519"/>
      <c r="C519" s="2"/>
      <c r="D519" s="2"/>
      <c r="E519" s="2"/>
      <c r="F519" s="29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spans="2:35" ht="15.75" customHeight="1" x14ac:dyDescent="0.2">
      <c r="B520"/>
      <c r="C520" s="2"/>
      <c r="D520" s="2"/>
      <c r="E520" s="2"/>
      <c r="F520" s="29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spans="2:35" ht="15.75" customHeight="1" x14ac:dyDescent="0.2">
      <c r="B521"/>
      <c r="C521" s="2"/>
      <c r="D521" s="2"/>
      <c r="E521" s="2"/>
      <c r="F521" s="29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spans="2:35" ht="15.75" customHeight="1" x14ac:dyDescent="0.2">
      <c r="B522"/>
      <c r="C522" s="2"/>
      <c r="D522" s="2"/>
      <c r="E522" s="2"/>
      <c r="F522" s="29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2:35" ht="15.75" customHeight="1" x14ac:dyDescent="0.2">
      <c r="B523"/>
      <c r="C523" s="2"/>
      <c r="D523" s="2"/>
      <c r="E523" s="2"/>
      <c r="F523" s="29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spans="2:35" ht="15.75" customHeight="1" x14ac:dyDescent="0.2">
      <c r="B524"/>
      <c r="C524" s="2"/>
      <c r="D524" s="2"/>
      <c r="E524" s="2"/>
      <c r="F524" s="29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spans="2:35" ht="15.75" customHeight="1" x14ac:dyDescent="0.2">
      <c r="B525"/>
      <c r="C525" s="2"/>
      <c r="D525" s="2"/>
      <c r="E525" s="2"/>
      <c r="F525" s="29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spans="2:35" ht="15.75" customHeight="1" x14ac:dyDescent="0.2">
      <c r="B526"/>
      <c r="C526" s="2"/>
      <c r="D526" s="2"/>
      <c r="E526" s="2"/>
      <c r="F526" s="29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spans="2:35" ht="15.75" customHeight="1" x14ac:dyDescent="0.2">
      <c r="B527"/>
      <c r="C527" s="2"/>
      <c r="D527" s="2"/>
      <c r="E527" s="2"/>
      <c r="F527" s="29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spans="2:35" ht="15.75" customHeight="1" x14ac:dyDescent="0.2">
      <c r="B528"/>
      <c r="C528" s="2"/>
      <c r="D528" s="2"/>
      <c r="E528" s="2"/>
      <c r="F528" s="29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spans="2:35" ht="15.75" customHeight="1" x14ac:dyDescent="0.2">
      <c r="B529"/>
      <c r="C529" s="2"/>
      <c r="D529" s="2"/>
      <c r="E529" s="2"/>
      <c r="F529" s="29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spans="2:35" ht="15.75" customHeight="1" x14ac:dyDescent="0.2">
      <c r="B530"/>
      <c r="C530" s="2"/>
      <c r="D530" s="2"/>
      <c r="E530" s="2"/>
      <c r="F530" s="29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spans="2:35" ht="15.75" customHeight="1" x14ac:dyDescent="0.2">
      <c r="B531"/>
      <c r="C531" s="2"/>
      <c r="D531" s="2"/>
      <c r="E531" s="2"/>
      <c r="F531" s="29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spans="2:35" ht="15.75" customHeight="1" x14ac:dyDescent="0.2">
      <c r="B532"/>
      <c r="C532" s="2"/>
      <c r="D532" s="2"/>
      <c r="E532" s="2"/>
      <c r="F532" s="29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spans="2:35" ht="15.75" customHeight="1" x14ac:dyDescent="0.2">
      <c r="B533"/>
      <c r="C533" s="2"/>
      <c r="D533" s="2"/>
      <c r="E533" s="2"/>
      <c r="F533" s="29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spans="2:35" ht="15.75" customHeight="1" x14ac:dyDescent="0.2">
      <c r="B534"/>
      <c r="C534" s="2"/>
      <c r="D534" s="2"/>
      <c r="E534" s="2"/>
      <c r="F534" s="29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spans="2:35" ht="15.75" customHeight="1" x14ac:dyDescent="0.2">
      <c r="B535"/>
      <c r="C535" s="2"/>
      <c r="D535" s="2"/>
      <c r="E535" s="2"/>
      <c r="F535" s="29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spans="2:35" ht="15.75" customHeight="1" x14ac:dyDescent="0.2">
      <c r="B536"/>
      <c r="C536" s="2"/>
      <c r="D536" s="2"/>
      <c r="E536" s="2"/>
      <c r="F536" s="29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spans="2:35" ht="15.75" customHeight="1" x14ac:dyDescent="0.2">
      <c r="B537"/>
      <c r="C537" s="2"/>
      <c r="D537" s="2"/>
      <c r="E537" s="2"/>
      <c r="F537" s="29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spans="2:35" ht="15.75" customHeight="1" x14ac:dyDescent="0.2">
      <c r="B538"/>
      <c r="C538" s="2"/>
      <c r="D538" s="2"/>
      <c r="E538" s="2"/>
      <c r="F538" s="29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spans="2:35" ht="15.75" customHeight="1" x14ac:dyDescent="0.2">
      <c r="B539"/>
      <c r="C539" s="2"/>
      <c r="D539" s="2"/>
      <c r="E539" s="2"/>
      <c r="F539" s="29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spans="2:35" ht="15.75" customHeight="1" x14ac:dyDescent="0.2">
      <c r="B540"/>
      <c r="C540" s="2"/>
      <c r="D540" s="2"/>
      <c r="E540" s="2"/>
      <c r="F540" s="29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spans="2:35" ht="15.75" customHeight="1" x14ac:dyDescent="0.2">
      <c r="B541"/>
      <c r="C541" s="2"/>
      <c r="D541" s="2"/>
      <c r="E541" s="2"/>
      <c r="F541" s="29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spans="2:35" ht="15.75" customHeight="1" x14ac:dyDescent="0.2">
      <c r="B542"/>
      <c r="C542" s="2"/>
      <c r="D542" s="2"/>
      <c r="E542" s="2"/>
      <c r="F542" s="29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spans="2:35" ht="15.75" customHeight="1" x14ac:dyDescent="0.2">
      <c r="B543"/>
      <c r="C543" s="2"/>
      <c r="D543" s="2"/>
      <c r="E543" s="2"/>
      <c r="F543" s="29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spans="2:35" ht="15.75" customHeight="1" x14ac:dyDescent="0.2">
      <c r="B544"/>
      <c r="C544" s="2"/>
      <c r="D544" s="2"/>
      <c r="E544" s="2"/>
      <c r="F544" s="29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spans="2:35" ht="15.75" customHeight="1" x14ac:dyDescent="0.2">
      <c r="B545"/>
      <c r="C545" s="2"/>
      <c r="D545" s="2"/>
      <c r="E545" s="2"/>
      <c r="F545" s="29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spans="2:35" ht="15.75" customHeight="1" x14ac:dyDescent="0.2">
      <c r="B546"/>
      <c r="C546" s="2"/>
      <c r="D546" s="2"/>
      <c r="E546" s="2"/>
      <c r="F546" s="29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spans="2:35" ht="15.75" customHeight="1" x14ac:dyDescent="0.2">
      <c r="B547"/>
      <c r="C547" s="2"/>
      <c r="D547" s="2"/>
      <c r="E547" s="2"/>
      <c r="F547" s="29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spans="2:35" ht="15.75" customHeight="1" x14ac:dyDescent="0.2">
      <c r="B548"/>
      <c r="C548" s="2"/>
      <c r="D548" s="2"/>
      <c r="E548" s="2"/>
      <c r="F548" s="29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spans="2:35" ht="15.75" customHeight="1" x14ac:dyDescent="0.2">
      <c r="B549"/>
      <c r="C549" s="2"/>
      <c r="D549" s="2"/>
      <c r="E549" s="2"/>
      <c r="F549" s="29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spans="2:35" ht="15.75" customHeight="1" x14ac:dyDescent="0.2">
      <c r="B550"/>
      <c r="C550" s="2"/>
      <c r="D550" s="2"/>
      <c r="E550" s="2"/>
      <c r="F550" s="29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spans="2:35" ht="15.75" customHeight="1" x14ac:dyDescent="0.2">
      <c r="B551"/>
      <c r="C551" s="2"/>
      <c r="D551" s="2"/>
      <c r="E551" s="2"/>
      <c r="F551" s="29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spans="2:35" ht="15.75" customHeight="1" x14ac:dyDescent="0.2">
      <c r="B552"/>
      <c r="C552" s="2"/>
      <c r="D552" s="2"/>
      <c r="E552" s="2"/>
      <c r="F552" s="29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spans="2:35" ht="15.75" customHeight="1" x14ac:dyDescent="0.2">
      <c r="B553"/>
      <c r="C553" s="2"/>
      <c r="D553" s="2"/>
      <c r="E553" s="2"/>
      <c r="F553" s="29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spans="2:35" ht="15.75" customHeight="1" x14ac:dyDescent="0.2">
      <c r="B554"/>
      <c r="C554" s="2"/>
      <c r="D554" s="2"/>
      <c r="E554" s="2"/>
      <c r="F554" s="29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spans="2:35" ht="15.75" customHeight="1" x14ac:dyDescent="0.2">
      <c r="B555"/>
      <c r="C555" s="2"/>
      <c r="D555" s="2"/>
      <c r="E555" s="2"/>
      <c r="F555" s="29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spans="2:35" ht="15.75" customHeight="1" x14ac:dyDescent="0.2">
      <c r="B556"/>
      <c r="C556" s="2"/>
      <c r="D556" s="2"/>
      <c r="E556" s="2"/>
      <c r="F556" s="29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spans="2:35" ht="15.75" customHeight="1" x14ac:dyDescent="0.2">
      <c r="B557"/>
      <c r="C557" s="2"/>
      <c r="D557" s="2"/>
      <c r="E557" s="2"/>
      <c r="F557" s="29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spans="2:35" ht="15.75" customHeight="1" x14ac:dyDescent="0.2">
      <c r="B558"/>
      <c r="C558" s="2"/>
      <c r="D558" s="2"/>
      <c r="E558" s="2"/>
      <c r="F558" s="29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spans="2:35" ht="15.75" customHeight="1" x14ac:dyDescent="0.2">
      <c r="B559"/>
      <c r="C559" s="2"/>
      <c r="D559" s="2"/>
      <c r="E559" s="2"/>
      <c r="F559" s="29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spans="2:35" ht="15.75" customHeight="1" x14ac:dyDescent="0.2">
      <c r="B560"/>
      <c r="C560" s="2"/>
      <c r="D560" s="2"/>
      <c r="E560" s="2"/>
      <c r="F560" s="29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spans="2:35" ht="15.75" customHeight="1" x14ac:dyDescent="0.2">
      <c r="B561"/>
      <c r="C561" s="2"/>
      <c r="D561" s="2"/>
      <c r="E561" s="2"/>
      <c r="F561" s="29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spans="2:35" ht="15.75" customHeight="1" x14ac:dyDescent="0.2">
      <c r="B562"/>
      <c r="C562" s="2"/>
      <c r="D562" s="2"/>
      <c r="E562" s="2"/>
      <c r="F562" s="29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spans="2:35" ht="15.75" customHeight="1" x14ac:dyDescent="0.2">
      <c r="B563"/>
      <c r="C563" s="2"/>
      <c r="D563" s="2"/>
      <c r="E563" s="2"/>
      <c r="F563" s="29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spans="2:35" ht="15.75" customHeight="1" x14ac:dyDescent="0.2">
      <c r="B564"/>
      <c r="C564" s="2"/>
      <c r="D564" s="2"/>
      <c r="E564" s="2"/>
      <c r="F564" s="29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spans="2:35" ht="15.75" customHeight="1" x14ac:dyDescent="0.2">
      <c r="B565"/>
      <c r="C565" s="2"/>
      <c r="D565" s="2"/>
      <c r="E565" s="2"/>
      <c r="F565" s="29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spans="2:35" ht="15.75" customHeight="1" x14ac:dyDescent="0.2">
      <c r="B566"/>
      <c r="C566" s="2"/>
      <c r="D566" s="2"/>
      <c r="E566" s="2"/>
      <c r="F566" s="29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spans="2:35" ht="15.75" customHeight="1" x14ac:dyDescent="0.2">
      <c r="B567"/>
      <c r="C567" s="2"/>
      <c r="D567" s="2"/>
      <c r="E567" s="2"/>
      <c r="F567" s="29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spans="2:35" ht="15.75" customHeight="1" x14ac:dyDescent="0.2">
      <c r="B568"/>
      <c r="C568" s="2"/>
      <c r="D568" s="2"/>
      <c r="E568" s="2"/>
      <c r="F568" s="29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spans="2:35" ht="15.75" customHeight="1" x14ac:dyDescent="0.2">
      <c r="B569"/>
      <c r="C569" s="2"/>
      <c r="D569" s="2"/>
      <c r="E569" s="2"/>
      <c r="F569" s="29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spans="2:35" ht="15.75" customHeight="1" x14ac:dyDescent="0.2">
      <c r="B570"/>
      <c r="C570" s="2"/>
      <c r="D570" s="2"/>
      <c r="E570" s="2"/>
      <c r="F570" s="29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spans="2:35" ht="15.75" customHeight="1" x14ac:dyDescent="0.2">
      <c r="B571"/>
      <c r="C571" s="2"/>
      <c r="D571" s="2"/>
      <c r="E571" s="2"/>
      <c r="F571" s="29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spans="2:35" ht="15.75" customHeight="1" x14ac:dyDescent="0.2">
      <c r="B572"/>
      <c r="C572" s="2"/>
      <c r="D572" s="2"/>
      <c r="E572" s="2"/>
      <c r="F572" s="29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spans="2:35" ht="15.75" customHeight="1" x14ac:dyDescent="0.2">
      <c r="B573"/>
      <c r="C573" s="2"/>
      <c r="D573" s="2"/>
      <c r="E573" s="2"/>
      <c r="F573" s="29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spans="2:35" ht="15.75" customHeight="1" x14ac:dyDescent="0.2">
      <c r="B574"/>
      <c r="C574" s="2"/>
      <c r="D574" s="2"/>
      <c r="E574" s="2"/>
      <c r="F574" s="29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spans="2:35" ht="15.75" customHeight="1" x14ac:dyDescent="0.2">
      <c r="B575"/>
      <c r="C575" s="2"/>
      <c r="D575" s="2"/>
      <c r="E575" s="2"/>
      <c r="F575" s="29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spans="2:35" ht="15.75" customHeight="1" x14ac:dyDescent="0.2">
      <c r="B576"/>
      <c r="C576" s="2"/>
      <c r="D576" s="2"/>
      <c r="E576" s="2"/>
      <c r="F576" s="29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spans="2:35" ht="15.75" customHeight="1" x14ac:dyDescent="0.2">
      <c r="B577"/>
      <c r="C577" s="2"/>
      <c r="D577" s="2"/>
      <c r="E577" s="2"/>
      <c r="F577" s="29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spans="2:35" ht="15.75" customHeight="1" x14ac:dyDescent="0.2">
      <c r="B578"/>
      <c r="C578" s="2"/>
      <c r="D578" s="2"/>
      <c r="E578" s="2"/>
      <c r="F578" s="29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spans="2:35" ht="15.75" customHeight="1" x14ac:dyDescent="0.2">
      <c r="B579"/>
      <c r="C579" s="2"/>
      <c r="D579" s="2"/>
      <c r="E579" s="2"/>
      <c r="F579" s="29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spans="2:35" ht="15.75" customHeight="1" x14ac:dyDescent="0.2">
      <c r="B580"/>
      <c r="C580" s="2"/>
      <c r="D580" s="2"/>
      <c r="E580" s="2"/>
      <c r="F580" s="29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spans="2:35" ht="15.75" customHeight="1" x14ac:dyDescent="0.2">
      <c r="B581"/>
      <c r="C581" s="2"/>
      <c r="D581" s="2"/>
      <c r="E581" s="2"/>
      <c r="F581" s="29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spans="2:35" ht="15.75" customHeight="1" x14ac:dyDescent="0.2">
      <c r="B582"/>
      <c r="C582" s="2"/>
      <c r="D582" s="2"/>
      <c r="E582" s="2"/>
      <c r="F582" s="29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spans="2:35" ht="15.75" customHeight="1" x14ac:dyDescent="0.2">
      <c r="B583"/>
      <c r="C583" s="2"/>
      <c r="D583" s="2"/>
      <c r="E583" s="2"/>
      <c r="F583" s="29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spans="2:35" ht="15.75" customHeight="1" x14ac:dyDescent="0.2">
      <c r="B584"/>
      <c r="C584" s="2"/>
      <c r="D584" s="2"/>
      <c r="E584" s="2"/>
      <c r="F584" s="29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spans="2:35" ht="15.75" customHeight="1" x14ac:dyDescent="0.2">
      <c r="B585"/>
      <c r="C585" s="2"/>
      <c r="D585" s="2"/>
      <c r="E585" s="2"/>
      <c r="F585" s="29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spans="2:35" ht="15.75" customHeight="1" x14ac:dyDescent="0.2">
      <c r="B586"/>
      <c r="C586" s="2"/>
      <c r="D586" s="2"/>
      <c r="E586" s="2"/>
      <c r="F586" s="29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spans="2:35" ht="15.75" customHeight="1" x14ac:dyDescent="0.2">
      <c r="B587"/>
      <c r="C587" s="2"/>
      <c r="D587" s="2"/>
      <c r="E587" s="2"/>
      <c r="F587" s="29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spans="2:35" ht="15.75" customHeight="1" x14ac:dyDescent="0.2">
      <c r="B588"/>
      <c r="C588" s="2"/>
      <c r="D588" s="2"/>
      <c r="E588" s="2"/>
      <c r="F588" s="29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spans="2:35" ht="15.75" customHeight="1" x14ac:dyDescent="0.2">
      <c r="B589"/>
      <c r="C589" s="2"/>
      <c r="D589" s="2"/>
      <c r="E589" s="2"/>
      <c r="F589" s="29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spans="2:35" ht="15.75" customHeight="1" x14ac:dyDescent="0.2">
      <c r="B590"/>
      <c r="C590" s="2"/>
      <c r="D590" s="2"/>
      <c r="E590" s="2"/>
      <c r="F590" s="29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spans="2:35" ht="15.75" customHeight="1" x14ac:dyDescent="0.2">
      <c r="B591"/>
      <c r="C591" s="2"/>
      <c r="D591" s="2"/>
      <c r="E591" s="2"/>
      <c r="F591" s="29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spans="2:35" ht="15.75" customHeight="1" x14ac:dyDescent="0.2">
      <c r="B592"/>
      <c r="C592" s="2"/>
      <c r="D592" s="2"/>
      <c r="E592" s="2"/>
      <c r="F592" s="29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spans="2:35" ht="15.75" customHeight="1" x14ac:dyDescent="0.2">
      <c r="B593"/>
      <c r="C593" s="2"/>
      <c r="D593" s="2"/>
      <c r="E593" s="2"/>
      <c r="F593" s="29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spans="2:35" ht="15.75" customHeight="1" x14ac:dyDescent="0.2">
      <c r="B594"/>
      <c r="C594" s="2"/>
      <c r="D594" s="2"/>
      <c r="E594" s="2"/>
      <c r="F594" s="29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spans="2:35" ht="15.75" customHeight="1" x14ac:dyDescent="0.2">
      <c r="B595"/>
      <c r="C595" s="2"/>
      <c r="D595" s="2"/>
      <c r="E595" s="2"/>
      <c r="F595" s="29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spans="2:35" ht="15.75" customHeight="1" x14ac:dyDescent="0.2">
      <c r="B596"/>
      <c r="C596" s="2"/>
      <c r="D596" s="2"/>
      <c r="E596" s="2"/>
      <c r="F596" s="29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spans="2:35" ht="15.75" customHeight="1" x14ac:dyDescent="0.2">
      <c r="B597"/>
      <c r="C597" s="2"/>
      <c r="D597" s="2"/>
      <c r="E597" s="2"/>
      <c r="F597" s="29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spans="2:35" ht="15.75" customHeight="1" x14ac:dyDescent="0.2">
      <c r="B598"/>
      <c r="C598" s="2"/>
      <c r="D598" s="2"/>
      <c r="E598" s="2"/>
      <c r="F598" s="29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spans="2:35" ht="15.75" customHeight="1" x14ac:dyDescent="0.2">
      <c r="B599"/>
      <c r="C599" s="2"/>
      <c r="D599" s="2"/>
      <c r="E599" s="2"/>
      <c r="F599" s="29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spans="2:35" ht="15.75" customHeight="1" x14ac:dyDescent="0.2">
      <c r="B600"/>
      <c r="C600" s="2"/>
      <c r="D600" s="2"/>
      <c r="E600" s="2"/>
      <c r="F600" s="29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spans="2:35" ht="15.75" customHeight="1" x14ac:dyDescent="0.2">
      <c r="B601"/>
      <c r="C601" s="2"/>
      <c r="D601" s="2"/>
      <c r="E601" s="2"/>
      <c r="F601" s="29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spans="2:35" ht="15.75" customHeight="1" x14ac:dyDescent="0.2">
      <c r="B602"/>
      <c r="C602" s="2"/>
      <c r="D602" s="2"/>
      <c r="E602" s="2"/>
      <c r="F602" s="29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spans="2:35" ht="15.75" customHeight="1" x14ac:dyDescent="0.2">
      <c r="B603"/>
      <c r="C603" s="2"/>
      <c r="D603" s="2"/>
      <c r="E603" s="2"/>
      <c r="F603" s="29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spans="2:35" ht="15.75" customHeight="1" x14ac:dyDescent="0.2">
      <c r="B604"/>
      <c r="C604" s="2"/>
      <c r="D604" s="2"/>
      <c r="E604" s="2"/>
      <c r="F604" s="29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spans="2:35" ht="15.75" customHeight="1" x14ac:dyDescent="0.2">
      <c r="B605"/>
      <c r="C605" s="2"/>
      <c r="D605" s="2"/>
      <c r="E605" s="2"/>
      <c r="F605" s="29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spans="2:35" ht="15.75" customHeight="1" x14ac:dyDescent="0.2">
      <c r="B606"/>
      <c r="C606" s="2"/>
      <c r="D606" s="2"/>
      <c r="E606" s="2"/>
      <c r="F606" s="29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spans="2:35" ht="15.75" customHeight="1" x14ac:dyDescent="0.2">
      <c r="B607"/>
      <c r="C607" s="2"/>
      <c r="D607" s="2"/>
      <c r="E607" s="2"/>
      <c r="F607" s="29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spans="2:35" ht="15.75" customHeight="1" x14ac:dyDescent="0.2">
      <c r="B608"/>
      <c r="C608" s="2"/>
      <c r="D608" s="2"/>
      <c r="E608" s="2"/>
      <c r="F608" s="29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spans="2:35" ht="15.75" customHeight="1" x14ac:dyDescent="0.2">
      <c r="B609"/>
      <c r="C609" s="2"/>
      <c r="D609" s="2"/>
      <c r="E609" s="2"/>
      <c r="F609" s="29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spans="2:35" ht="15.75" customHeight="1" x14ac:dyDescent="0.2">
      <c r="B610"/>
      <c r="C610" s="2"/>
      <c r="D610" s="2"/>
      <c r="E610" s="2"/>
      <c r="F610" s="29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spans="2:35" ht="15.75" customHeight="1" x14ac:dyDescent="0.2">
      <c r="B611"/>
      <c r="C611" s="2"/>
      <c r="D611" s="2"/>
      <c r="E611" s="2"/>
      <c r="F611" s="29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2:35" ht="15.75" customHeight="1" x14ac:dyDescent="0.2">
      <c r="B612"/>
      <c r="C612" s="2"/>
      <c r="D612" s="2"/>
      <c r="E612" s="2"/>
      <c r="F612" s="29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spans="2:35" ht="15.75" customHeight="1" x14ac:dyDescent="0.2">
      <c r="B613"/>
      <c r="C613" s="2"/>
      <c r="D613" s="2"/>
      <c r="E613" s="2"/>
      <c r="F613" s="29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spans="2:35" ht="15.75" customHeight="1" x14ac:dyDescent="0.2">
      <c r="B614"/>
      <c r="C614" s="2"/>
      <c r="D614" s="2"/>
      <c r="E614" s="2"/>
      <c r="F614" s="29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spans="2:35" ht="15.75" customHeight="1" x14ac:dyDescent="0.2">
      <c r="B615"/>
      <c r="C615" s="2"/>
      <c r="D615" s="2"/>
      <c r="E615" s="2"/>
      <c r="F615" s="29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spans="2:35" ht="15.75" customHeight="1" x14ac:dyDescent="0.2">
      <c r="B616"/>
      <c r="C616" s="2"/>
      <c r="D616" s="2"/>
      <c r="E616" s="2"/>
      <c r="F616" s="29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spans="2:35" ht="15.75" customHeight="1" x14ac:dyDescent="0.2">
      <c r="B617"/>
      <c r="C617" s="2"/>
      <c r="D617" s="2"/>
      <c r="E617" s="2"/>
      <c r="F617" s="29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2:35" ht="15.75" customHeight="1" x14ac:dyDescent="0.2">
      <c r="B618"/>
      <c r="C618" s="2"/>
      <c r="D618" s="2"/>
      <c r="E618" s="2"/>
      <c r="F618" s="29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2:35" ht="15.75" customHeight="1" x14ac:dyDescent="0.2">
      <c r="B619"/>
      <c r="C619" s="2"/>
      <c r="D619" s="2"/>
      <c r="E619" s="2"/>
      <c r="F619" s="29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2:35" ht="15.75" customHeight="1" x14ac:dyDescent="0.2">
      <c r="B620"/>
      <c r="C620" s="2"/>
      <c r="D620" s="2"/>
      <c r="E620" s="2"/>
      <c r="F620" s="29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spans="2:35" ht="15.75" customHeight="1" x14ac:dyDescent="0.2">
      <c r="B621"/>
      <c r="C621" s="2"/>
      <c r="D621" s="2"/>
      <c r="E621" s="2"/>
      <c r="F621" s="29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spans="2:35" ht="15.75" customHeight="1" x14ac:dyDescent="0.2">
      <c r="B622"/>
      <c r="C622" s="2"/>
      <c r="D622" s="2"/>
      <c r="E622" s="2"/>
      <c r="F622" s="29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spans="2:35" ht="15.75" customHeight="1" x14ac:dyDescent="0.2">
      <c r="B623"/>
      <c r="C623" s="2"/>
      <c r="D623" s="2"/>
      <c r="E623" s="2"/>
      <c r="F623" s="29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spans="2:35" ht="15.75" customHeight="1" x14ac:dyDescent="0.2">
      <c r="B624"/>
      <c r="C624" s="2"/>
      <c r="D624" s="2"/>
      <c r="E624" s="2"/>
      <c r="F624" s="29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spans="2:35" ht="15.75" customHeight="1" x14ac:dyDescent="0.2">
      <c r="B625"/>
      <c r="C625" s="2"/>
      <c r="D625" s="2"/>
      <c r="E625" s="2"/>
      <c r="F625" s="29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2:35" ht="15.75" customHeight="1" x14ac:dyDescent="0.2">
      <c r="B626"/>
      <c r="C626" s="2"/>
      <c r="D626" s="2"/>
      <c r="E626" s="2"/>
      <c r="F626" s="29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spans="2:35" ht="15.75" customHeight="1" x14ac:dyDescent="0.2">
      <c r="B627"/>
      <c r="C627" s="2"/>
      <c r="D627" s="2"/>
      <c r="E627" s="2"/>
      <c r="F627" s="29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spans="2:35" ht="15.75" customHeight="1" x14ac:dyDescent="0.2">
      <c r="B628"/>
      <c r="C628" s="2"/>
      <c r="D628" s="2"/>
      <c r="E628" s="2"/>
      <c r="F628" s="29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spans="2:35" ht="15.75" customHeight="1" x14ac:dyDescent="0.2">
      <c r="B629"/>
      <c r="C629" s="2"/>
      <c r="D629" s="2"/>
      <c r="E629" s="2"/>
      <c r="F629" s="29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spans="2:35" ht="15.75" customHeight="1" x14ac:dyDescent="0.2">
      <c r="B630"/>
      <c r="C630" s="2"/>
      <c r="D630" s="2"/>
      <c r="E630" s="2"/>
      <c r="F630" s="29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spans="2:35" ht="15.75" customHeight="1" x14ac:dyDescent="0.2">
      <c r="B631"/>
      <c r="C631" s="2"/>
      <c r="D631" s="2"/>
      <c r="E631" s="2"/>
      <c r="F631" s="29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spans="2:35" ht="15.75" customHeight="1" x14ac:dyDescent="0.2">
      <c r="B632"/>
      <c r="C632" s="2"/>
      <c r="D632" s="2"/>
      <c r="E632" s="2"/>
      <c r="F632" s="29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spans="2:35" ht="15.75" customHeight="1" x14ac:dyDescent="0.2">
      <c r="B633"/>
      <c r="C633" s="2"/>
      <c r="D633" s="2"/>
      <c r="E633" s="2"/>
      <c r="F633" s="29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spans="2:35" ht="15.75" customHeight="1" x14ac:dyDescent="0.2">
      <c r="B634"/>
      <c r="C634" s="2"/>
      <c r="D634" s="2"/>
      <c r="E634" s="2"/>
      <c r="F634" s="29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spans="2:35" ht="15.75" customHeight="1" x14ac:dyDescent="0.2">
      <c r="B635"/>
      <c r="C635" s="2"/>
      <c r="D635" s="2"/>
      <c r="E635" s="2"/>
      <c r="F635" s="29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spans="2:35" ht="15.75" customHeight="1" x14ac:dyDescent="0.2">
      <c r="B636"/>
      <c r="C636" s="2"/>
      <c r="D636" s="2"/>
      <c r="E636" s="2"/>
      <c r="F636" s="29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spans="2:35" ht="15.75" customHeight="1" x14ac:dyDescent="0.2">
      <c r="B637"/>
      <c r="C637" s="2"/>
      <c r="D637" s="2"/>
      <c r="E637" s="2"/>
      <c r="F637" s="29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2:35" ht="15.75" customHeight="1" x14ac:dyDescent="0.2">
      <c r="B638"/>
      <c r="C638" s="2"/>
      <c r="D638" s="2"/>
      <c r="E638" s="2"/>
      <c r="F638" s="29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2:35" ht="15.75" customHeight="1" x14ac:dyDescent="0.2">
      <c r="B639"/>
      <c r="C639" s="2"/>
      <c r="D639" s="2"/>
      <c r="E639" s="2"/>
      <c r="F639" s="29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2:35" ht="15.75" customHeight="1" x14ac:dyDescent="0.2">
      <c r="B640"/>
      <c r="C640" s="2"/>
      <c r="D640" s="2"/>
      <c r="E640" s="2"/>
      <c r="F640" s="29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2:35" ht="15.75" customHeight="1" x14ac:dyDescent="0.2">
      <c r="B641"/>
      <c r="C641" s="2"/>
      <c r="D641" s="2"/>
      <c r="E641" s="2"/>
      <c r="F641" s="29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2:35" ht="15.75" customHeight="1" x14ac:dyDescent="0.2">
      <c r="B642"/>
      <c r="C642" s="2"/>
      <c r="D642" s="2"/>
      <c r="E642" s="2"/>
      <c r="F642" s="29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2:35" ht="15.75" customHeight="1" x14ac:dyDescent="0.2">
      <c r="B643"/>
      <c r="C643" s="2"/>
      <c r="D643" s="2"/>
      <c r="E643" s="2"/>
      <c r="F643" s="29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2:35" ht="15.75" customHeight="1" x14ac:dyDescent="0.2">
      <c r="B644"/>
      <c r="C644" s="2"/>
      <c r="D644" s="2"/>
      <c r="E644" s="2"/>
      <c r="F644" s="29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2:35" ht="15.75" customHeight="1" x14ac:dyDescent="0.2">
      <c r="B645"/>
      <c r="C645" s="2"/>
      <c r="D645" s="2"/>
      <c r="E645" s="2"/>
      <c r="F645" s="29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2:35" ht="15.75" customHeight="1" x14ac:dyDescent="0.2">
      <c r="B646"/>
      <c r="C646" s="2"/>
      <c r="D646" s="2"/>
      <c r="E646" s="2"/>
      <c r="F646" s="29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2:35" ht="15.75" customHeight="1" x14ac:dyDescent="0.2">
      <c r="B647"/>
      <c r="C647" s="2"/>
      <c r="D647" s="2"/>
      <c r="E647" s="2"/>
      <c r="F647" s="29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2:35" ht="15.75" customHeight="1" x14ac:dyDescent="0.2">
      <c r="B648"/>
      <c r="C648" s="2"/>
      <c r="D648" s="2"/>
      <c r="E648" s="2"/>
      <c r="F648" s="29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2:35" ht="15.75" customHeight="1" x14ac:dyDescent="0.2">
      <c r="B649"/>
      <c r="C649" s="2"/>
      <c r="D649" s="2"/>
      <c r="E649" s="2"/>
      <c r="F649" s="29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2:35" ht="15.75" customHeight="1" x14ac:dyDescent="0.2">
      <c r="B650"/>
      <c r="C650" s="2"/>
      <c r="D650" s="2"/>
      <c r="E650" s="2"/>
      <c r="F650" s="29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2:35" ht="15.75" customHeight="1" x14ac:dyDescent="0.2">
      <c r="B651"/>
      <c r="C651" s="2"/>
      <c r="D651" s="2"/>
      <c r="E651" s="2"/>
      <c r="F651" s="29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2:35" ht="15.75" customHeight="1" x14ac:dyDescent="0.2">
      <c r="B652"/>
      <c r="C652" s="2"/>
      <c r="D652" s="2"/>
      <c r="E652" s="2"/>
      <c r="F652" s="29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2:35" ht="15.75" customHeight="1" x14ac:dyDescent="0.2">
      <c r="B653"/>
      <c r="C653" s="2"/>
      <c r="D653" s="2"/>
      <c r="E653" s="2"/>
      <c r="F653" s="29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2:35" ht="15.75" customHeight="1" x14ac:dyDescent="0.2">
      <c r="B654"/>
      <c r="C654" s="2"/>
      <c r="D654" s="2"/>
      <c r="E654" s="2"/>
      <c r="F654" s="29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2:35" ht="15.75" customHeight="1" x14ac:dyDescent="0.2">
      <c r="B655"/>
      <c r="C655" s="2"/>
      <c r="D655" s="2"/>
      <c r="E655" s="2"/>
      <c r="F655" s="29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2:35" ht="15.75" customHeight="1" x14ac:dyDescent="0.2">
      <c r="B656"/>
      <c r="C656" s="2"/>
      <c r="D656" s="2"/>
      <c r="E656" s="2"/>
      <c r="F656" s="29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2:35" ht="15.75" customHeight="1" x14ac:dyDescent="0.2">
      <c r="B657"/>
      <c r="C657" s="2"/>
      <c r="D657" s="2"/>
      <c r="E657" s="2"/>
      <c r="F657" s="29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2:35" ht="15.75" customHeight="1" x14ac:dyDescent="0.2">
      <c r="B658"/>
      <c r="C658" s="2"/>
      <c r="D658" s="2"/>
      <c r="E658" s="2"/>
      <c r="F658" s="29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2:35" ht="15.75" customHeight="1" x14ac:dyDescent="0.2">
      <c r="B659"/>
      <c r="C659" s="2"/>
      <c r="D659" s="2"/>
      <c r="E659" s="2"/>
      <c r="F659" s="29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2:35" ht="15.75" customHeight="1" x14ac:dyDescent="0.2">
      <c r="B660"/>
      <c r="C660" s="2"/>
      <c r="D660" s="2"/>
      <c r="E660" s="2"/>
      <c r="F660" s="29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2:35" ht="15.75" customHeight="1" x14ac:dyDescent="0.2">
      <c r="B661"/>
      <c r="C661" s="2"/>
      <c r="D661" s="2"/>
      <c r="E661" s="2"/>
      <c r="F661" s="29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2:35" ht="15.75" customHeight="1" x14ac:dyDescent="0.2">
      <c r="B662"/>
      <c r="C662" s="2"/>
      <c r="D662" s="2"/>
      <c r="E662" s="2"/>
      <c r="F662" s="29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2:35" ht="15.75" customHeight="1" x14ac:dyDescent="0.2">
      <c r="B663"/>
      <c r="C663" s="2"/>
      <c r="D663" s="2"/>
      <c r="E663" s="2"/>
      <c r="F663" s="29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2:35" ht="15.75" customHeight="1" x14ac:dyDescent="0.2">
      <c r="B664"/>
      <c r="C664" s="2"/>
      <c r="D664" s="2"/>
      <c r="E664" s="2"/>
      <c r="F664" s="29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2:35" ht="15.75" customHeight="1" x14ac:dyDescent="0.2">
      <c r="B665"/>
      <c r="C665" s="2"/>
      <c r="D665" s="2"/>
      <c r="E665" s="2"/>
      <c r="F665" s="29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2:35" ht="15.75" customHeight="1" x14ac:dyDescent="0.2">
      <c r="B666"/>
      <c r="C666" s="2"/>
      <c r="D666" s="2"/>
      <c r="E666" s="2"/>
      <c r="F666" s="29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2:35" ht="15.75" customHeight="1" x14ac:dyDescent="0.2">
      <c r="B667"/>
      <c r="C667" s="2"/>
      <c r="D667" s="2"/>
      <c r="E667" s="2"/>
      <c r="F667" s="29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2:35" ht="15.75" customHeight="1" x14ac:dyDescent="0.2">
      <c r="B668"/>
      <c r="C668" s="2"/>
      <c r="D668" s="2"/>
      <c r="E668" s="2"/>
      <c r="F668" s="29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2:35" ht="15.75" customHeight="1" x14ac:dyDescent="0.2">
      <c r="B669"/>
      <c r="C669" s="2"/>
      <c r="D669" s="2"/>
      <c r="E669" s="2"/>
      <c r="F669" s="29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2:35" ht="15.75" customHeight="1" x14ac:dyDescent="0.2">
      <c r="B670"/>
      <c r="C670" s="2"/>
      <c r="D670" s="2"/>
      <c r="E670" s="2"/>
      <c r="F670" s="29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2:35" ht="15.75" customHeight="1" x14ac:dyDescent="0.2">
      <c r="B671"/>
      <c r="C671" s="2"/>
      <c r="D671" s="2"/>
      <c r="E671" s="2"/>
      <c r="F671" s="29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2:35" ht="15.75" customHeight="1" x14ac:dyDescent="0.2">
      <c r="B672"/>
      <c r="C672" s="2"/>
      <c r="D672" s="2"/>
      <c r="E672" s="2"/>
      <c r="F672" s="29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2:35" ht="15.75" customHeight="1" x14ac:dyDescent="0.2">
      <c r="B673"/>
      <c r="C673" s="2"/>
      <c r="D673" s="2"/>
      <c r="E673" s="2"/>
      <c r="F673" s="29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2:35" ht="15.75" customHeight="1" x14ac:dyDescent="0.2">
      <c r="B674"/>
      <c r="C674" s="2"/>
      <c r="D674" s="2"/>
      <c r="E674" s="2"/>
      <c r="F674" s="29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2:35" ht="15.75" customHeight="1" x14ac:dyDescent="0.2">
      <c r="B675"/>
      <c r="C675" s="2"/>
      <c r="D675" s="2"/>
      <c r="E675" s="2"/>
      <c r="F675" s="29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2:35" ht="15.75" customHeight="1" x14ac:dyDescent="0.2">
      <c r="B676"/>
      <c r="C676" s="2"/>
      <c r="D676" s="2"/>
      <c r="E676" s="2"/>
      <c r="F676" s="29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2:35" ht="15.75" customHeight="1" x14ac:dyDescent="0.2">
      <c r="B677"/>
      <c r="C677" s="2"/>
      <c r="D677" s="2"/>
      <c r="E677" s="2"/>
      <c r="F677" s="29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2:35" ht="15.75" customHeight="1" x14ac:dyDescent="0.2">
      <c r="B678"/>
      <c r="C678" s="2"/>
      <c r="D678" s="2"/>
      <c r="E678" s="2"/>
      <c r="F678" s="29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2:35" ht="15.75" customHeight="1" x14ac:dyDescent="0.2">
      <c r="B679"/>
      <c r="C679" s="2"/>
      <c r="D679" s="2"/>
      <c r="E679" s="2"/>
      <c r="F679" s="29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2:35" ht="15.75" customHeight="1" x14ac:dyDescent="0.2">
      <c r="B680"/>
      <c r="C680" s="2"/>
      <c r="D680" s="2"/>
      <c r="E680" s="2"/>
      <c r="F680" s="29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2:35" ht="15.75" customHeight="1" x14ac:dyDescent="0.2">
      <c r="B681"/>
      <c r="C681" s="2"/>
      <c r="D681" s="2"/>
      <c r="E681" s="2"/>
      <c r="F681" s="29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2:35" ht="15.75" customHeight="1" x14ac:dyDescent="0.2">
      <c r="B682"/>
      <c r="C682" s="2"/>
      <c r="D682" s="2"/>
      <c r="E682" s="2"/>
      <c r="F682" s="29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spans="2:35" ht="15.75" customHeight="1" x14ac:dyDescent="0.2">
      <c r="B683"/>
      <c r="C683" s="2"/>
      <c r="D683" s="2"/>
      <c r="E683" s="2"/>
      <c r="F683" s="29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spans="2:35" ht="15.75" customHeight="1" x14ac:dyDescent="0.2">
      <c r="B684"/>
      <c r="C684" s="2"/>
      <c r="D684" s="2"/>
      <c r="E684" s="2"/>
      <c r="F684" s="29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spans="2:35" ht="15.75" customHeight="1" x14ac:dyDescent="0.2">
      <c r="B685"/>
      <c r="C685" s="2"/>
      <c r="D685" s="2"/>
      <c r="E685" s="2"/>
      <c r="F685" s="29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spans="2:35" ht="15.75" customHeight="1" x14ac:dyDescent="0.2">
      <c r="B686"/>
      <c r="C686" s="2"/>
      <c r="D686" s="2"/>
      <c r="E686" s="2"/>
      <c r="F686" s="29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spans="2:35" ht="15.75" customHeight="1" x14ac:dyDescent="0.2">
      <c r="B687"/>
      <c r="C687" s="2"/>
      <c r="D687" s="2"/>
      <c r="E687" s="2"/>
      <c r="F687" s="29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spans="2:35" ht="15.75" customHeight="1" x14ac:dyDescent="0.2">
      <c r="B688"/>
      <c r="C688" s="2"/>
      <c r="D688" s="2"/>
      <c r="E688" s="2"/>
      <c r="F688" s="29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spans="2:35" ht="15.75" customHeight="1" x14ac:dyDescent="0.2">
      <c r="B689"/>
      <c r="C689" s="2"/>
      <c r="D689" s="2"/>
      <c r="E689" s="2"/>
      <c r="F689" s="29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spans="2:35" ht="15.75" customHeight="1" x14ac:dyDescent="0.2">
      <c r="B690"/>
      <c r="C690" s="2"/>
      <c r="D690" s="2"/>
      <c r="E690" s="2"/>
      <c r="F690" s="29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spans="2:35" ht="15.75" customHeight="1" x14ac:dyDescent="0.2">
      <c r="B691"/>
      <c r="C691" s="2"/>
      <c r="D691" s="2"/>
      <c r="E691" s="2"/>
      <c r="F691" s="29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spans="2:35" ht="15.75" customHeight="1" x14ac:dyDescent="0.2">
      <c r="B692"/>
      <c r="C692" s="2"/>
      <c r="D692" s="2"/>
      <c r="E692" s="2"/>
      <c r="F692" s="29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spans="2:35" ht="15.75" customHeight="1" x14ac:dyDescent="0.2">
      <c r="B693"/>
      <c r="C693" s="2"/>
      <c r="D693" s="2"/>
      <c r="E693" s="2"/>
      <c r="F693" s="29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spans="2:35" ht="15.75" customHeight="1" x14ac:dyDescent="0.2">
      <c r="B694"/>
      <c r="C694" s="2"/>
      <c r="D694" s="2"/>
      <c r="E694" s="2"/>
      <c r="F694" s="29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spans="2:35" ht="15.75" customHeight="1" x14ac:dyDescent="0.2">
      <c r="B695"/>
      <c r="C695" s="2"/>
      <c r="D695" s="2"/>
      <c r="E695" s="2"/>
      <c r="F695" s="29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spans="2:35" ht="15.75" customHeight="1" x14ac:dyDescent="0.2">
      <c r="B696"/>
      <c r="C696" s="2"/>
      <c r="D696" s="2"/>
      <c r="E696" s="2"/>
      <c r="F696" s="29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spans="2:35" ht="15.75" customHeight="1" x14ac:dyDescent="0.2">
      <c r="B697"/>
      <c r="C697" s="2"/>
      <c r="D697" s="2"/>
      <c r="E697" s="2"/>
      <c r="F697" s="29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spans="2:35" ht="15.75" customHeight="1" x14ac:dyDescent="0.2">
      <c r="B698"/>
      <c r="C698" s="2"/>
      <c r="D698" s="2"/>
      <c r="E698" s="2"/>
      <c r="F698" s="29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spans="2:35" ht="15.75" customHeight="1" x14ac:dyDescent="0.2">
      <c r="B699"/>
      <c r="C699" s="2"/>
      <c r="D699" s="2"/>
      <c r="E699" s="2"/>
      <c r="F699" s="29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spans="2:35" ht="15.75" customHeight="1" x14ac:dyDescent="0.2">
      <c r="B700"/>
      <c r="C700" s="2"/>
      <c r="D700" s="2"/>
      <c r="E700" s="2"/>
      <c r="F700" s="29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spans="2:35" ht="15.75" customHeight="1" x14ac:dyDescent="0.2">
      <c r="B701"/>
      <c r="C701" s="2"/>
      <c r="D701" s="2"/>
      <c r="E701" s="2"/>
      <c r="F701" s="29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spans="2:35" ht="15.75" customHeight="1" x14ac:dyDescent="0.2">
      <c r="B702"/>
      <c r="C702" s="2"/>
      <c r="D702" s="2"/>
      <c r="E702" s="2"/>
      <c r="F702" s="29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spans="2:35" ht="15.75" customHeight="1" x14ac:dyDescent="0.2">
      <c r="B703"/>
      <c r="C703" s="2"/>
      <c r="D703" s="2"/>
      <c r="E703" s="2"/>
      <c r="F703" s="29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spans="2:35" ht="15.75" customHeight="1" x14ac:dyDescent="0.2">
      <c r="B704"/>
      <c r="C704" s="2"/>
      <c r="D704" s="2"/>
      <c r="E704" s="2"/>
      <c r="F704" s="29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spans="2:35" ht="15.75" customHeight="1" x14ac:dyDescent="0.2">
      <c r="B705"/>
      <c r="C705" s="2"/>
      <c r="D705" s="2"/>
      <c r="E705" s="2"/>
      <c r="F705" s="29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spans="2:35" ht="15.75" customHeight="1" x14ac:dyDescent="0.2">
      <c r="B706"/>
      <c r="C706" s="2"/>
      <c r="D706" s="2"/>
      <c r="E706" s="2"/>
      <c r="F706" s="29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spans="2:35" ht="15.75" customHeight="1" x14ac:dyDescent="0.2">
      <c r="B707"/>
      <c r="C707" s="2"/>
      <c r="D707" s="2"/>
      <c r="E707" s="2"/>
      <c r="F707" s="29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spans="2:35" ht="15.75" customHeight="1" x14ac:dyDescent="0.2">
      <c r="B708"/>
      <c r="C708" s="2"/>
      <c r="D708" s="2"/>
      <c r="E708" s="2"/>
      <c r="F708" s="29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spans="2:35" ht="15.75" customHeight="1" x14ac:dyDescent="0.2">
      <c r="B709"/>
      <c r="C709" s="2"/>
      <c r="D709" s="2"/>
      <c r="E709" s="2"/>
      <c r="F709" s="29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spans="2:35" ht="15.75" customHeight="1" x14ac:dyDescent="0.2">
      <c r="B710"/>
      <c r="C710" s="2"/>
      <c r="D710" s="2"/>
      <c r="E710" s="2"/>
      <c r="F710" s="29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spans="2:35" ht="15.75" customHeight="1" x14ac:dyDescent="0.2">
      <c r="B711"/>
      <c r="C711" s="2"/>
      <c r="D711" s="2"/>
      <c r="E711" s="2"/>
      <c r="F711" s="29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spans="2:35" ht="15.75" customHeight="1" x14ac:dyDescent="0.2">
      <c r="B712"/>
      <c r="C712" s="2"/>
      <c r="D712" s="2"/>
      <c r="E712" s="2"/>
      <c r="F712" s="29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spans="2:35" ht="15.75" customHeight="1" x14ac:dyDescent="0.2">
      <c r="B713"/>
      <c r="C713" s="2"/>
      <c r="D713" s="2"/>
      <c r="E713" s="2"/>
      <c r="F713" s="29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spans="2:35" ht="15.75" customHeight="1" x14ac:dyDescent="0.2">
      <c r="B714"/>
      <c r="C714" s="2"/>
      <c r="D714" s="2"/>
      <c r="E714" s="2"/>
      <c r="F714" s="29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spans="2:35" ht="15.75" customHeight="1" x14ac:dyDescent="0.2">
      <c r="B715"/>
      <c r="C715" s="2"/>
      <c r="D715" s="2"/>
      <c r="E715" s="2"/>
      <c r="F715" s="29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spans="2:35" ht="15.75" customHeight="1" x14ac:dyDescent="0.2">
      <c r="B716"/>
      <c r="C716" s="2"/>
      <c r="D716" s="2"/>
      <c r="E716" s="2"/>
      <c r="F716" s="29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spans="2:35" ht="15.75" customHeight="1" x14ac:dyDescent="0.2">
      <c r="B717"/>
      <c r="C717" s="2"/>
      <c r="D717" s="2"/>
      <c r="E717" s="2"/>
      <c r="F717" s="29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spans="2:35" ht="15.75" customHeight="1" x14ac:dyDescent="0.2">
      <c r="B718"/>
      <c r="C718" s="2"/>
      <c r="D718" s="2"/>
      <c r="E718" s="2"/>
      <c r="F718" s="29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spans="2:35" ht="15.75" customHeight="1" x14ac:dyDescent="0.2">
      <c r="B719"/>
      <c r="C719" s="2"/>
      <c r="D719" s="2"/>
      <c r="E719" s="2"/>
      <c r="F719" s="29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spans="2:35" ht="15.75" customHeight="1" x14ac:dyDescent="0.2">
      <c r="B720"/>
      <c r="C720" s="2"/>
      <c r="D720" s="2"/>
      <c r="E720" s="2"/>
      <c r="F720" s="29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spans="2:35" ht="15.75" customHeight="1" x14ac:dyDescent="0.2">
      <c r="B721"/>
      <c r="C721" s="2"/>
      <c r="D721" s="2"/>
      <c r="E721" s="2"/>
      <c r="F721" s="29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spans="2:35" ht="15.75" customHeight="1" x14ac:dyDescent="0.2">
      <c r="B722"/>
      <c r="C722" s="2"/>
      <c r="D722" s="2"/>
      <c r="E722" s="2"/>
      <c r="F722" s="29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spans="2:35" ht="15.75" customHeight="1" x14ac:dyDescent="0.2">
      <c r="B723"/>
      <c r="C723" s="2"/>
      <c r="D723" s="2"/>
      <c r="E723" s="2"/>
      <c r="F723" s="29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spans="2:35" ht="15.75" customHeight="1" x14ac:dyDescent="0.2">
      <c r="B724"/>
      <c r="C724" s="2"/>
      <c r="D724" s="2"/>
      <c r="E724" s="2"/>
      <c r="F724" s="29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spans="2:35" ht="15.75" customHeight="1" x14ac:dyDescent="0.2">
      <c r="B725"/>
      <c r="C725" s="2"/>
      <c r="D725" s="2"/>
      <c r="E725" s="2"/>
      <c r="F725" s="29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spans="2:35" ht="15.75" customHeight="1" x14ac:dyDescent="0.2">
      <c r="B726"/>
      <c r="C726" s="2"/>
      <c r="D726" s="2"/>
      <c r="E726" s="2"/>
      <c r="F726" s="29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spans="2:35" ht="15.75" customHeight="1" x14ac:dyDescent="0.2">
      <c r="B727"/>
      <c r="C727" s="2"/>
      <c r="D727" s="2"/>
      <c r="E727" s="2"/>
      <c r="F727" s="29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 spans="2:35" ht="15.75" customHeight="1" x14ac:dyDescent="0.2">
      <c r="B728"/>
      <c r="C728" s="2"/>
      <c r="D728" s="2"/>
      <c r="E728" s="2"/>
      <c r="F728" s="29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 spans="2:35" ht="15.75" customHeight="1" x14ac:dyDescent="0.2">
      <c r="B729"/>
      <c r="C729" s="2"/>
      <c r="D729" s="2"/>
      <c r="E729" s="2"/>
      <c r="F729" s="29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 spans="2:35" ht="15.75" customHeight="1" x14ac:dyDescent="0.2">
      <c r="B730"/>
      <c r="C730" s="2"/>
      <c r="D730" s="2"/>
      <c r="E730" s="2"/>
      <c r="F730" s="29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 spans="2:35" ht="15.75" customHeight="1" x14ac:dyDescent="0.2">
      <c r="B731"/>
      <c r="C731" s="2"/>
      <c r="D731" s="2"/>
      <c r="E731" s="2"/>
      <c r="F731" s="29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 spans="2:35" ht="15.75" customHeight="1" x14ac:dyDescent="0.2">
      <c r="B732"/>
      <c r="C732" s="2"/>
      <c r="D732" s="2"/>
      <c r="E732" s="2"/>
      <c r="F732" s="29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 spans="2:35" ht="15.75" customHeight="1" x14ac:dyDescent="0.2">
      <c r="B733"/>
      <c r="C733" s="2"/>
      <c r="D733" s="2"/>
      <c r="E733" s="2"/>
      <c r="F733" s="29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 spans="2:35" ht="15.75" customHeight="1" x14ac:dyDescent="0.2">
      <c r="B734"/>
      <c r="C734" s="2"/>
      <c r="D734" s="2"/>
      <c r="E734" s="2"/>
      <c r="F734" s="29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 spans="2:35" ht="15.75" customHeight="1" x14ac:dyDescent="0.2">
      <c r="B735"/>
      <c r="C735" s="2"/>
      <c r="D735" s="2"/>
      <c r="E735" s="2"/>
      <c r="F735" s="29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 spans="2:35" ht="15.75" customHeight="1" x14ac:dyDescent="0.2">
      <c r="B736"/>
      <c r="C736" s="2"/>
      <c r="D736" s="2"/>
      <c r="E736" s="2"/>
      <c r="F736" s="29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 spans="2:35" ht="15.75" customHeight="1" x14ac:dyDescent="0.2">
      <c r="B737"/>
      <c r="C737" s="2"/>
      <c r="D737" s="2"/>
      <c r="E737" s="2"/>
      <c r="F737" s="29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 spans="2:35" ht="15.75" customHeight="1" x14ac:dyDescent="0.2">
      <c r="B738"/>
      <c r="C738" s="2"/>
      <c r="D738" s="2"/>
      <c r="E738" s="2"/>
      <c r="F738" s="29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 spans="2:35" ht="15.75" customHeight="1" x14ac:dyDescent="0.2">
      <c r="B739"/>
      <c r="C739" s="2"/>
      <c r="D739" s="2"/>
      <c r="E739" s="2"/>
      <c r="F739" s="29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 spans="2:35" ht="15.75" customHeight="1" x14ac:dyDescent="0.2">
      <c r="B740"/>
      <c r="C740" s="2"/>
      <c r="D740" s="2"/>
      <c r="E740" s="2"/>
      <c r="F740" s="29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 spans="2:35" ht="15.75" customHeight="1" x14ac:dyDescent="0.2">
      <c r="B741"/>
      <c r="C741" s="2"/>
      <c r="D741" s="2"/>
      <c r="E741" s="2"/>
      <c r="F741" s="29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 spans="2:35" ht="15.75" customHeight="1" x14ac:dyDescent="0.2">
      <c r="B742"/>
      <c r="C742" s="2"/>
      <c r="D742" s="2"/>
      <c r="E742" s="2"/>
      <c r="F742" s="29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 spans="2:35" ht="15.75" customHeight="1" x14ac:dyDescent="0.2">
      <c r="B743"/>
      <c r="C743" s="2"/>
      <c r="D743" s="2"/>
      <c r="E743" s="2"/>
      <c r="F743" s="29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 spans="2:35" ht="15.75" customHeight="1" x14ac:dyDescent="0.2">
      <c r="B744"/>
      <c r="C744" s="2"/>
      <c r="D744" s="2"/>
      <c r="E744" s="2"/>
      <c r="F744" s="29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 spans="2:35" ht="15.75" customHeight="1" x14ac:dyDescent="0.2">
      <c r="B745"/>
      <c r="C745" s="2"/>
      <c r="D745" s="2"/>
      <c r="E745" s="2"/>
      <c r="F745" s="29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 spans="2:35" ht="15.75" customHeight="1" x14ac:dyDescent="0.2">
      <c r="B746"/>
    </row>
    <row r="747" spans="2:35" ht="15.75" customHeight="1" x14ac:dyDescent="0.2">
      <c r="B747"/>
    </row>
    <row r="748" spans="2:35" ht="15.75" customHeight="1" x14ac:dyDescent="0.2">
      <c r="B748"/>
    </row>
    <row r="749" spans="2:35" ht="15.75" customHeight="1" x14ac:dyDescent="0.2">
      <c r="B749"/>
    </row>
    <row r="750" spans="2:35" ht="15.75" customHeight="1" x14ac:dyDescent="0.2">
      <c r="B750"/>
    </row>
    <row r="751" spans="2:35" ht="15.75" customHeight="1" x14ac:dyDescent="0.2">
      <c r="B751"/>
    </row>
    <row r="752" spans="2:35" ht="15.75" customHeight="1" x14ac:dyDescent="0.2">
      <c r="B752"/>
    </row>
    <row r="753" spans="2:35" ht="15.75" customHeight="1" x14ac:dyDescent="0.2">
      <c r="B753"/>
    </row>
    <row r="754" spans="2:35" ht="15.75" customHeight="1" x14ac:dyDescent="0.2">
      <c r="B754"/>
    </row>
    <row r="755" spans="2:35" ht="15.75" customHeight="1" x14ac:dyDescent="0.2">
      <c r="B755"/>
    </row>
    <row r="756" spans="2:35" s="2" customFormat="1" ht="15.75" customHeight="1" x14ac:dyDescent="0.2">
      <c r="C756"/>
      <c r="D756"/>
      <c r="E756"/>
      <c r="F756" s="37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</row>
    <row r="757" spans="2:35" s="2" customFormat="1" ht="15.75" customHeight="1" x14ac:dyDescent="0.2">
      <c r="C757"/>
      <c r="D757"/>
      <c r="E757"/>
      <c r="F757" s="3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</row>
    <row r="758" spans="2:35" s="2" customFormat="1" ht="15.75" customHeight="1" x14ac:dyDescent="0.2">
      <c r="C758"/>
      <c r="D758"/>
      <c r="E758"/>
      <c r="F758" s="37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</row>
    <row r="759" spans="2:35" s="2" customFormat="1" ht="15.75" customHeight="1" x14ac:dyDescent="0.2">
      <c r="C759"/>
      <c r="D759"/>
      <c r="E759"/>
      <c r="F759" s="37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</row>
    <row r="760" spans="2:35" s="2" customFormat="1" ht="15.75" customHeight="1" x14ac:dyDescent="0.2">
      <c r="C760"/>
      <c r="D760"/>
      <c r="E760"/>
      <c r="F760" s="37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</row>
    <row r="761" spans="2:35" s="2" customFormat="1" ht="15.75" customHeight="1" x14ac:dyDescent="0.2">
      <c r="C761"/>
      <c r="D761"/>
      <c r="E761"/>
      <c r="F761" s="37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</row>
    <row r="762" spans="2:35" s="2" customFormat="1" ht="15.75" customHeight="1" x14ac:dyDescent="0.2">
      <c r="C762"/>
      <c r="D762"/>
      <c r="E762"/>
      <c r="F762" s="37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</row>
    <row r="763" spans="2:35" s="2" customFormat="1" ht="15.75" customHeight="1" x14ac:dyDescent="0.2">
      <c r="C763"/>
      <c r="D763"/>
      <c r="E763"/>
      <c r="F763" s="37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</row>
    <row r="764" spans="2:35" s="2" customFormat="1" ht="15.75" customHeight="1" x14ac:dyDescent="0.2">
      <c r="C764"/>
      <c r="D764"/>
      <c r="E764"/>
      <c r="F764" s="37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</row>
    <row r="765" spans="2:35" s="2" customFormat="1" ht="15.75" customHeight="1" x14ac:dyDescent="0.2">
      <c r="C765"/>
      <c r="D765"/>
      <c r="E765"/>
      <c r="F765" s="37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</row>
    <row r="766" spans="2:35" s="2" customFormat="1" ht="15.75" customHeight="1" x14ac:dyDescent="0.2">
      <c r="C766"/>
      <c r="D766"/>
      <c r="E766"/>
      <c r="F766" s="37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</row>
    <row r="767" spans="2:35" s="2" customFormat="1" ht="15.75" customHeight="1" x14ac:dyDescent="0.2">
      <c r="C767"/>
      <c r="D767"/>
      <c r="E767"/>
      <c r="F767" s="3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</row>
    <row r="768" spans="2:35" s="2" customFormat="1" ht="15.75" customHeight="1" x14ac:dyDescent="0.2">
      <c r="C768"/>
      <c r="D768"/>
      <c r="E768"/>
      <c r="F768" s="37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</row>
    <row r="769" spans="3:35" s="2" customFormat="1" ht="15.75" customHeight="1" x14ac:dyDescent="0.2">
      <c r="C769"/>
      <c r="D769"/>
      <c r="E769"/>
      <c r="F769" s="37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</row>
    <row r="770" spans="3:35" s="2" customFormat="1" ht="15.75" customHeight="1" x14ac:dyDescent="0.2">
      <c r="C770"/>
      <c r="D770"/>
      <c r="E770"/>
      <c r="F770" s="37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</row>
    <row r="771" spans="3:35" s="2" customFormat="1" ht="15.75" customHeight="1" x14ac:dyDescent="0.2">
      <c r="C771"/>
      <c r="D771"/>
      <c r="E771"/>
      <c r="F771" s="37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</row>
    <row r="772" spans="3:35" s="2" customFormat="1" ht="15.75" customHeight="1" x14ac:dyDescent="0.2">
      <c r="C772"/>
      <c r="D772"/>
      <c r="E772"/>
      <c r="F772" s="37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</row>
    <row r="773" spans="3:35" s="2" customFormat="1" ht="15.75" customHeight="1" x14ac:dyDescent="0.2">
      <c r="C773"/>
      <c r="D773"/>
      <c r="E773"/>
      <c r="F773" s="37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</row>
    <row r="774" spans="3:35" s="2" customFormat="1" ht="15.75" customHeight="1" x14ac:dyDescent="0.2">
      <c r="C774"/>
      <c r="D774"/>
      <c r="E774"/>
      <c r="F774" s="37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</row>
    <row r="775" spans="3:35" s="2" customFormat="1" ht="15.75" customHeight="1" x14ac:dyDescent="0.2">
      <c r="C775"/>
      <c r="D775"/>
      <c r="E775"/>
      <c r="F775" s="37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</row>
    <row r="776" spans="3:35" s="2" customFormat="1" ht="15.75" customHeight="1" x14ac:dyDescent="0.2">
      <c r="C776"/>
      <c r="D776"/>
      <c r="E776"/>
      <c r="F776" s="37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</row>
    <row r="777" spans="3:35" s="2" customFormat="1" ht="15.75" customHeight="1" x14ac:dyDescent="0.2">
      <c r="C777"/>
      <c r="D777"/>
      <c r="E777"/>
      <c r="F777" s="3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</row>
    <row r="778" spans="3:35" s="2" customFormat="1" ht="15.75" customHeight="1" x14ac:dyDescent="0.2">
      <c r="C778"/>
      <c r="D778"/>
      <c r="E778"/>
      <c r="F778" s="37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</row>
    <row r="779" spans="3:35" s="2" customFormat="1" ht="15.75" customHeight="1" x14ac:dyDescent="0.2">
      <c r="C779"/>
      <c r="D779"/>
      <c r="E779"/>
      <c r="F779" s="37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</row>
    <row r="780" spans="3:35" s="2" customFormat="1" ht="15.75" customHeight="1" x14ac:dyDescent="0.2">
      <c r="C780"/>
      <c r="D780"/>
      <c r="E780"/>
      <c r="F780" s="37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</row>
    <row r="781" spans="3:35" s="2" customFormat="1" ht="15.75" customHeight="1" x14ac:dyDescent="0.2">
      <c r="C781"/>
      <c r="D781"/>
      <c r="E781"/>
      <c r="F781" s="37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</row>
    <row r="782" spans="3:35" s="2" customFormat="1" ht="15.75" customHeight="1" x14ac:dyDescent="0.2">
      <c r="C782"/>
      <c r="D782"/>
      <c r="E782"/>
      <c r="F782" s="37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</row>
    <row r="783" spans="3:35" s="2" customFormat="1" ht="15.75" customHeight="1" x14ac:dyDescent="0.2">
      <c r="C783"/>
      <c r="D783"/>
      <c r="E783"/>
      <c r="F783" s="37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</row>
    <row r="784" spans="3:35" s="2" customFormat="1" ht="15.75" customHeight="1" x14ac:dyDescent="0.2">
      <c r="C784"/>
      <c r="D784"/>
      <c r="E784"/>
      <c r="F784" s="37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</row>
    <row r="785" spans="3:35" s="2" customFormat="1" ht="15.75" customHeight="1" x14ac:dyDescent="0.2">
      <c r="C785"/>
      <c r="D785"/>
      <c r="E785"/>
      <c r="F785" s="37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</row>
    <row r="786" spans="3:35" s="2" customFormat="1" ht="15.75" customHeight="1" x14ac:dyDescent="0.2">
      <c r="C786"/>
      <c r="D786"/>
      <c r="E786"/>
      <c r="F786" s="37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</row>
    <row r="787" spans="3:35" s="2" customFormat="1" ht="15.75" customHeight="1" x14ac:dyDescent="0.2">
      <c r="C787"/>
      <c r="D787"/>
      <c r="E787"/>
      <c r="F787" s="3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</row>
    <row r="788" spans="3:35" s="2" customFormat="1" ht="15.75" customHeight="1" x14ac:dyDescent="0.2">
      <c r="C788"/>
      <c r="D788"/>
      <c r="E788"/>
      <c r="F788" s="37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</row>
    <row r="789" spans="3:35" s="2" customFormat="1" ht="15.75" customHeight="1" x14ac:dyDescent="0.2">
      <c r="C789"/>
      <c r="D789"/>
      <c r="E789"/>
      <c r="F789" s="37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</row>
    <row r="790" spans="3:35" s="2" customFormat="1" ht="15.75" customHeight="1" x14ac:dyDescent="0.2">
      <c r="C790"/>
      <c r="D790"/>
      <c r="E790"/>
      <c r="F790" s="37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</row>
    <row r="791" spans="3:35" s="2" customFormat="1" ht="15.75" customHeight="1" x14ac:dyDescent="0.2">
      <c r="C791"/>
      <c r="D791"/>
      <c r="E791"/>
      <c r="F791" s="37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</row>
    <row r="792" spans="3:35" s="2" customFormat="1" ht="15.75" customHeight="1" x14ac:dyDescent="0.2">
      <c r="C792"/>
      <c r="D792"/>
      <c r="E792"/>
      <c r="F792" s="37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</row>
    <row r="793" spans="3:35" s="2" customFormat="1" ht="15.75" customHeight="1" x14ac:dyDescent="0.2">
      <c r="C793"/>
      <c r="D793"/>
      <c r="E793"/>
      <c r="F793" s="37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</row>
    <row r="794" spans="3:35" s="2" customFormat="1" ht="15.75" customHeight="1" x14ac:dyDescent="0.2">
      <c r="C794"/>
      <c r="D794"/>
      <c r="E794"/>
      <c r="F794" s="37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</row>
    <row r="795" spans="3:35" s="2" customFormat="1" ht="15.75" customHeight="1" x14ac:dyDescent="0.2">
      <c r="C795"/>
      <c r="D795"/>
      <c r="E795"/>
      <c r="F795" s="37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</row>
    <row r="796" spans="3:35" s="2" customFormat="1" ht="15.75" customHeight="1" x14ac:dyDescent="0.2">
      <c r="C796"/>
      <c r="D796"/>
      <c r="E796"/>
      <c r="F796" s="37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</row>
    <row r="797" spans="3:35" s="2" customFormat="1" ht="15.75" customHeight="1" x14ac:dyDescent="0.2">
      <c r="C797"/>
      <c r="D797"/>
      <c r="E797"/>
      <c r="F797" s="3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</row>
    <row r="798" spans="3:35" s="2" customFormat="1" ht="15.75" customHeight="1" x14ac:dyDescent="0.2">
      <c r="C798"/>
      <c r="D798"/>
      <c r="E798"/>
      <c r="F798" s="37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</row>
    <row r="799" spans="3:35" s="2" customFormat="1" ht="15.75" customHeight="1" x14ac:dyDescent="0.2">
      <c r="C799"/>
      <c r="D799"/>
      <c r="E799"/>
      <c r="F799" s="37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</row>
    <row r="800" spans="3:35" s="2" customFormat="1" ht="15.75" customHeight="1" x14ac:dyDescent="0.2">
      <c r="C800"/>
      <c r="D800"/>
      <c r="E800"/>
      <c r="F800" s="37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</row>
    <row r="801" spans="3:35" s="2" customFormat="1" ht="15.75" customHeight="1" x14ac:dyDescent="0.2">
      <c r="C801"/>
      <c r="D801"/>
      <c r="E801"/>
      <c r="F801" s="37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</row>
    <row r="802" spans="3:35" s="2" customFormat="1" ht="15.75" customHeight="1" x14ac:dyDescent="0.2">
      <c r="C802"/>
      <c r="D802"/>
      <c r="E802"/>
      <c r="F802" s="37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</row>
    <row r="803" spans="3:35" s="2" customFormat="1" ht="15.75" customHeight="1" x14ac:dyDescent="0.2">
      <c r="C803"/>
      <c r="D803"/>
      <c r="E803"/>
      <c r="F803" s="37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</row>
    <row r="804" spans="3:35" s="2" customFormat="1" ht="15.75" customHeight="1" x14ac:dyDescent="0.2">
      <c r="C804"/>
      <c r="D804"/>
      <c r="E804"/>
      <c r="F804" s="37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</row>
    <row r="805" spans="3:35" s="2" customFormat="1" ht="15.75" customHeight="1" x14ac:dyDescent="0.2">
      <c r="C805"/>
      <c r="D805"/>
      <c r="E805"/>
      <c r="F805" s="37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</row>
    <row r="806" spans="3:35" s="2" customFormat="1" ht="15.75" customHeight="1" x14ac:dyDescent="0.2">
      <c r="C806"/>
      <c r="D806"/>
      <c r="E806"/>
      <c r="F806" s="37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</row>
    <row r="807" spans="3:35" s="2" customFormat="1" ht="15.75" customHeight="1" x14ac:dyDescent="0.2">
      <c r="C807"/>
      <c r="D807"/>
      <c r="E807"/>
      <c r="F807" s="3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</row>
    <row r="808" spans="3:35" s="2" customFormat="1" ht="15.75" customHeight="1" x14ac:dyDescent="0.2">
      <c r="C808"/>
      <c r="D808"/>
      <c r="E808"/>
      <c r="F808" s="37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</row>
    <row r="809" spans="3:35" s="2" customFormat="1" ht="15.75" customHeight="1" x14ac:dyDescent="0.2">
      <c r="C809"/>
      <c r="D809"/>
      <c r="E809"/>
      <c r="F809" s="37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</row>
    <row r="810" spans="3:35" s="2" customFormat="1" ht="15.75" customHeight="1" x14ac:dyDescent="0.2">
      <c r="C810"/>
      <c r="D810"/>
      <c r="E810"/>
      <c r="F810" s="37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</row>
    <row r="811" spans="3:35" s="2" customFormat="1" ht="15.75" customHeight="1" x14ac:dyDescent="0.2">
      <c r="C811"/>
      <c r="D811"/>
      <c r="E811"/>
      <c r="F811" s="37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</row>
    <row r="812" spans="3:35" s="2" customFormat="1" ht="15.75" customHeight="1" x14ac:dyDescent="0.2">
      <c r="C812"/>
      <c r="D812"/>
      <c r="E812"/>
      <c r="F812" s="37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</row>
    <row r="813" spans="3:35" s="2" customFormat="1" ht="15.75" customHeight="1" x14ac:dyDescent="0.2">
      <c r="C813"/>
      <c r="D813"/>
      <c r="E813"/>
      <c r="F813" s="37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</row>
    <row r="814" spans="3:35" s="2" customFormat="1" ht="15.75" customHeight="1" x14ac:dyDescent="0.2">
      <c r="C814"/>
      <c r="D814"/>
      <c r="E814"/>
      <c r="F814" s="37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</row>
    <row r="815" spans="3:35" s="2" customFormat="1" ht="15.75" customHeight="1" x14ac:dyDescent="0.2">
      <c r="C815"/>
      <c r="D815"/>
      <c r="E815"/>
      <c r="F815" s="37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</row>
    <row r="816" spans="3:35" s="2" customFormat="1" ht="15.75" customHeight="1" x14ac:dyDescent="0.2">
      <c r="C816"/>
      <c r="D816"/>
      <c r="E816"/>
      <c r="F816" s="37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</row>
    <row r="817" spans="3:35" s="2" customFormat="1" ht="15.75" customHeight="1" x14ac:dyDescent="0.2">
      <c r="C817"/>
      <c r="D817"/>
      <c r="E817"/>
      <c r="F817" s="3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</row>
    <row r="818" spans="3:35" s="2" customFormat="1" ht="15.75" customHeight="1" x14ac:dyDescent="0.2">
      <c r="C818"/>
      <c r="D818"/>
      <c r="E818"/>
      <c r="F818" s="37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</row>
    <row r="819" spans="3:35" s="2" customFormat="1" ht="15.75" customHeight="1" x14ac:dyDescent="0.2">
      <c r="C819"/>
      <c r="D819"/>
      <c r="E819"/>
      <c r="F819" s="37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</row>
    <row r="820" spans="3:35" s="2" customFormat="1" ht="15.75" customHeight="1" x14ac:dyDescent="0.2">
      <c r="C820"/>
      <c r="D820"/>
      <c r="E820"/>
      <c r="F820" s="37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</row>
    <row r="821" spans="3:35" s="2" customFormat="1" ht="15.75" customHeight="1" x14ac:dyDescent="0.2">
      <c r="C821"/>
      <c r="D821"/>
      <c r="E821"/>
      <c r="F821" s="37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</row>
    <row r="822" spans="3:35" s="2" customFormat="1" ht="15.75" customHeight="1" x14ac:dyDescent="0.2">
      <c r="C822"/>
      <c r="D822"/>
      <c r="E822"/>
      <c r="F822" s="37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</row>
    <row r="823" spans="3:35" s="2" customFormat="1" ht="15.75" customHeight="1" x14ac:dyDescent="0.2">
      <c r="C823"/>
      <c r="D823"/>
      <c r="E823"/>
      <c r="F823" s="37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</row>
    <row r="824" spans="3:35" s="2" customFormat="1" ht="15.75" customHeight="1" x14ac:dyDescent="0.2">
      <c r="C824"/>
      <c r="D824"/>
      <c r="E824"/>
      <c r="F824" s="37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</row>
    <row r="825" spans="3:35" s="2" customFormat="1" ht="15.75" customHeight="1" x14ac:dyDescent="0.2">
      <c r="C825"/>
      <c r="D825"/>
      <c r="E825"/>
      <c r="F825" s="37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</row>
    <row r="826" spans="3:35" s="2" customFormat="1" ht="15.75" customHeight="1" x14ac:dyDescent="0.2">
      <c r="C826"/>
      <c r="D826"/>
      <c r="E826"/>
      <c r="F826" s="37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</row>
    <row r="827" spans="3:35" s="2" customFormat="1" ht="15.75" customHeight="1" x14ac:dyDescent="0.2">
      <c r="C827"/>
      <c r="D827"/>
      <c r="E827"/>
      <c r="F827" s="3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</row>
    <row r="828" spans="3:35" s="2" customFormat="1" ht="15.75" customHeight="1" x14ac:dyDescent="0.2">
      <c r="C828"/>
      <c r="D828"/>
      <c r="E828"/>
      <c r="F828" s="37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</row>
    <row r="829" spans="3:35" s="2" customFormat="1" ht="15.75" customHeight="1" x14ac:dyDescent="0.2">
      <c r="C829"/>
      <c r="D829"/>
      <c r="E829"/>
      <c r="F829" s="37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</row>
    <row r="830" spans="3:35" s="2" customFormat="1" ht="15.75" customHeight="1" x14ac:dyDescent="0.2">
      <c r="C830"/>
      <c r="D830"/>
      <c r="E830"/>
      <c r="F830" s="37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</row>
    <row r="831" spans="3:35" s="2" customFormat="1" ht="15.75" customHeight="1" x14ac:dyDescent="0.2">
      <c r="C831"/>
      <c r="D831"/>
      <c r="E831"/>
      <c r="F831" s="37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</row>
    <row r="832" spans="3:35" s="2" customFormat="1" ht="15.75" customHeight="1" x14ac:dyDescent="0.2">
      <c r="C832"/>
      <c r="D832"/>
      <c r="E832"/>
      <c r="F832" s="37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</row>
    <row r="833" spans="3:35" s="2" customFormat="1" ht="15.75" customHeight="1" x14ac:dyDescent="0.2">
      <c r="C833"/>
      <c r="D833"/>
      <c r="E833"/>
      <c r="F833" s="37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</row>
    <row r="834" spans="3:35" s="2" customFormat="1" ht="15.75" customHeight="1" x14ac:dyDescent="0.2">
      <c r="C834"/>
      <c r="D834"/>
      <c r="E834"/>
      <c r="F834" s="37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</row>
    <row r="835" spans="3:35" s="2" customFormat="1" ht="15.75" customHeight="1" x14ac:dyDescent="0.2">
      <c r="C835"/>
      <c r="D835"/>
      <c r="E835"/>
      <c r="F835" s="37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</row>
    <row r="836" spans="3:35" s="2" customFormat="1" ht="15.75" customHeight="1" x14ac:dyDescent="0.2">
      <c r="C836"/>
      <c r="D836"/>
      <c r="E836"/>
      <c r="F836" s="37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</row>
    <row r="837" spans="3:35" s="2" customFormat="1" ht="15.75" customHeight="1" x14ac:dyDescent="0.2">
      <c r="C837"/>
      <c r="D837"/>
      <c r="E837"/>
      <c r="F837" s="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</row>
    <row r="838" spans="3:35" s="2" customFormat="1" ht="15.75" customHeight="1" x14ac:dyDescent="0.2">
      <c r="C838"/>
      <c r="D838"/>
      <c r="E838"/>
      <c r="F838" s="37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</row>
    <row r="839" spans="3:35" s="2" customFormat="1" ht="15.75" customHeight="1" x14ac:dyDescent="0.2">
      <c r="C839"/>
      <c r="D839"/>
      <c r="E839"/>
      <c r="F839" s="37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</row>
    <row r="840" spans="3:35" s="2" customFormat="1" ht="15.75" customHeight="1" x14ac:dyDescent="0.2">
      <c r="C840"/>
      <c r="D840"/>
      <c r="E840"/>
      <c r="F840" s="37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</row>
    <row r="841" spans="3:35" s="2" customFormat="1" ht="15.75" customHeight="1" x14ac:dyDescent="0.2">
      <c r="C841"/>
      <c r="D841"/>
      <c r="E841"/>
      <c r="F841" s="37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</row>
    <row r="842" spans="3:35" s="2" customFormat="1" ht="15.75" customHeight="1" x14ac:dyDescent="0.2">
      <c r="C842"/>
      <c r="D842"/>
      <c r="E842"/>
      <c r="F842" s="37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</row>
    <row r="843" spans="3:35" s="2" customFormat="1" ht="15.75" customHeight="1" x14ac:dyDescent="0.2">
      <c r="C843"/>
      <c r="D843"/>
      <c r="E843"/>
      <c r="F843" s="37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</row>
    <row r="844" spans="3:35" s="2" customFormat="1" ht="15.75" customHeight="1" x14ac:dyDescent="0.2">
      <c r="C844"/>
      <c r="D844"/>
      <c r="E844"/>
      <c r="F844" s="37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</row>
    <row r="845" spans="3:35" s="2" customFormat="1" ht="15.75" customHeight="1" x14ac:dyDescent="0.2">
      <c r="C845"/>
      <c r="D845"/>
      <c r="E845"/>
      <c r="F845" s="37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</row>
    <row r="846" spans="3:35" s="2" customFormat="1" ht="15.75" customHeight="1" x14ac:dyDescent="0.2">
      <c r="C846"/>
      <c r="D846"/>
      <c r="E846"/>
      <c r="F846" s="37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</row>
    <row r="847" spans="3:35" s="2" customFormat="1" ht="15.75" customHeight="1" x14ac:dyDescent="0.2">
      <c r="C847"/>
      <c r="D847"/>
      <c r="E847"/>
      <c r="F847" s="3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</row>
    <row r="848" spans="3:35" s="2" customFormat="1" ht="15.75" customHeight="1" x14ac:dyDescent="0.2">
      <c r="C848"/>
      <c r="D848"/>
      <c r="E848"/>
      <c r="F848" s="37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</row>
    <row r="849" spans="3:35" s="2" customFormat="1" ht="15.75" customHeight="1" x14ac:dyDescent="0.2">
      <c r="C849"/>
      <c r="D849"/>
      <c r="E849"/>
      <c r="F849" s="37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</row>
  </sheetData>
  <mergeCells count="5">
    <mergeCell ref="C2:F2"/>
    <mergeCell ref="C3:F3"/>
    <mergeCell ref="B5:B6"/>
    <mergeCell ref="C5:C6"/>
    <mergeCell ref="D5:F5"/>
  </mergeCells>
  <phoneticPr fontId="13" type="noConversion"/>
  <printOptions horizontalCentered="1"/>
  <pageMargins left="0.70866141732283472" right="0.70866141732283472" top="0.35433070866141736" bottom="0.74803149606299213" header="0.31496062992125984" footer="0.31496062992125984"/>
  <pageSetup paperSize="9" scale="85" orientation="landscape" r:id="rId1"/>
  <rowBreaks count="4" manualBreakCount="4">
    <brk id="71" max="5" man="1"/>
    <brk id="123" max="5" man="1"/>
    <brk id="188" max="5" man="1"/>
    <brk id="19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746"/>
  <sheetViews>
    <sheetView tabSelected="1" zoomScale="90" zoomScaleNormal="90" workbookViewId="0">
      <selection activeCell="F55" sqref="F55"/>
    </sheetView>
  </sheetViews>
  <sheetFormatPr defaultRowHeight="12.75" x14ac:dyDescent="0.2"/>
  <cols>
    <col min="1" max="1" width="6.28515625" style="2" customWidth="1"/>
    <col min="2" max="2" width="80.5703125" customWidth="1"/>
    <col min="3" max="3" width="15.7109375" style="37" customWidth="1"/>
  </cols>
  <sheetData>
    <row r="1" spans="1:32" ht="15" customHeight="1" x14ac:dyDescent="0.3">
      <c r="A1" s="55"/>
      <c r="B1" s="180"/>
      <c r="C1" s="181" t="s">
        <v>904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5" customHeight="1" x14ac:dyDescent="0.3">
      <c r="A2" s="55"/>
      <c r="B2" s="180"/>
      <c r="C2" s="181" t="s">
        <v>1296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5" customHeight="1" x14ac:dyDescent="0.3">
      <c r="A3" s="55"/>
      <c r="B3" s="180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9.5" x14ac:dyDescent="0.35">
      <c r="A4" s="742" t="s">
        <v>27</v>
      </c>
      <c r="B4" s="742"/>
      <c r="C4" s="75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9.5" x14ac:dyDescent="0.35">
      <c r="A5" s="742" t="s">
        <v>1297</v>
      </c>
      <c r="B5" s="742"/>
      <c r="C5" s="75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3.5" thickBot="1" x14ac:dyDescent="0.25">
      <c r="A6" s="55"/>
      <c r="B6" s="55"/>
      <c r="C6" s="181" t="s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53.25" customHeight="1" thickBot="1" x14ac:dyDescent="0.25">
      <c r="A7" s="217" t="s">
        <v>118</v>
      </c>
      <c r="B7" s="45" t="s">
        <v>375</v>
      </c>
      <c r="C7" s="45" t="s">
        <v>889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22.5" customHeight="1" x14ac:dyDescent="0.2">
      <c r="A8" s="147" t="s">
        <v>354</v>
      </c>
      <c r="B8" s="226" t="s">
        <v>339</v>
      </c>
      <c r="C8" s="173">
        <f>SUM(C9:C50)</f>
        <v>1287979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8" customHeight="1" x14ac:dyDescent="0.25">
      <c r="A9" s="14" t="s">
        <v>120</v>
      </c>
      <c r="B9" s="23" t="s">
        <v>221</v>
      </c>
      <c r="C9" s="38">
        <f>SUM('2.működés'!C9)</f>
        <v>594154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3.5" hidden="1" customHeight="1" x14ac:dyDescent="0.2">
      <c r="A10" s="8" t="s">
        <v>121</v>
      </c>
      <c r="B10" s="8" t="s">
        <v>129</v>
      </c>
      <c r="C10" s="5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3.5" hidden="1" customHeight="1" x14ac:dyDescent="0.2">
      <c r="A11" s="8" t="s">
        <v>170</v>
      </c>
      <c r="B11" s="8" t="s">
        <v>171</v>
      </c>
      <c r="C11" s="5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3.5" hidden="1" customHeight="1" x14ac:dyDescent="0.2">
      <c r="A12" s="8" t="s">
        <v>122</v>
      </c>
      <c r="B12" s="8" t="s">
        <v>126</v>
      </c>
      <c r="C12" s="6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3.5" hidden="1" customHeight="1" x14ac:dyDescent="0.2">
      <c r="A13" s="8" t="s">
        <v>123</v>
      </c>
      <c r="B13" s="8" t="s">
        <v>127</v>
      </c>
      <c r="C13" s="1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3.5" hidden="1" customHeight="1" x14ac:dyDescent="0.2">
      <c r="A14" s="8" t="s">
        <v>124</v>
      </c>
      <c r="B14" s="8" t="s">
        <v>128</v>
      </c>
      <c r="C14" s="1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2.75" hidden="1" customHeight="1" x14ac:dyDescent="0.2">
      <c r="A15" s="8" t="s">
        <v>125</v>
      </c>
      <c r="B15" s="8" t="s">
        <v>130</v>
      </c>
      <c r="C15" s="1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8" customHeight="1" x14ac:dyDescent="0.25">
      <c r="A16" s="14" t="s">
        <v>131</v>
      </c>
      <c r="B16" s="23" t="s">
        <v>222</v>
      </c>
      <c r="C16" s="42">
        <f>SUM('3.felh'!C13)</f>
        <v>40000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2.75" hidden="1" customHeight="1" x14ac:dyDescent="0.2">
      <c r="A17" s="8" t="s">
        <v>132</v>
      </c>
      <c r="B17" s="8" t="s">
        <v>139</v>
      </c>
      <c r="C17" s="5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2.75" hidden="1" customHeight="1" x14ac:dyDescent="0.2">
      <c r="A18" s="8" t="s">
        <v>172</v>
      </c>
      <c r="B18" s="8" t="s">
        <v>173</v>
      </c>
      <c r="C18" s="1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2.75" hidden="1" customHeight="1" x14ac:dyDescent="0.2">
      <c r="A19" s="8" t="s">
        <v>133</v>
      </c>
      <c r="B19" s="8" t="s">
        <v>136</v>
      </c>
      <c r="C19" s="1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2.75" hidden="1" customHeight="1" x14ac:dyDescent="0.2">
      <c r="A20" s="8" t="s">
        <v>134</v>
      </c>
      <c r="B20" s="8" t="s">
        <v>137</v>
      </c>
      <c r="C20" s="1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2.75" hidden="1" customHeight="1" x14ac:dyDescent="0.2">
      <c r="A21" s="8" t="s">
        <v>135</v>
      </c>
      <c r="B21" s="8" t="s">
        <v>138</v>
      </c>
      <c r="C21" s="1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8" customHeight="1" x14ac:dyDescent="0.25">
      <c r="A22" s="14" t="s">
        <v>140</v>
      </c>
      <c r="B22" s="23" t="s">
        <v>103</v>
      </c>
      <c r="C22" s="42">
        <f>SUM('2.működés'!C68)</f>
        <v>468980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2.75" hidden="1" customHeight="1" x14ac:dyDescent="0.2">
      <c r="A23" s="8" t="s">
        <v>141</v>
      </c>
      <c r="B23" s="8" t="s">
        <v>147</v>
      </c>
      <c r="C23" s="1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2.75" hidden="1" customHeight="1" x14ac:dyDescent="0.2">
      <c r="A24" s="8" t="s">
        <v>142</v>
      </c>
      <c r="B24" s="8" t="s">
        <v>148</v>
      </c>
      <c r="C24" s="1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2.75" hidden="1" customHeight="1" x14ac:dyDescent="0.2">
      <c r="A25" s="8" t="s">
        <v>143</v>
      </c>
      <c r="B25" s="20" t="s">
        <v>149</v>
      </c>
      <c r="C25" s="4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2.75" hidden="1" customHeight="1" x14ac:dyDescent="0.2">
      <c r="A26" s="8" t="s">
        <v>144</v>
      </c>
      <c r="B26" s="8" t="s">
        <v>176</v>
      </c>
      <c r="C26" s="39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s="50" customFormat="1" ht="12.75" hidden="1" customHeight="1" x14ac:dyDescent="0.2">
      <c r="A27" s="8" t="s">
        <v>145</v>
      </c>
      <c r="B27" s="8" t="s">
        <v>177</v>
      </c>
      <c r="C27" s="1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s="50" customFormat="1" ht="12.75" hidden="1" customHeight="1" x14ac:dyDescent="0.2">
      <c r="A28" s="8" t="s">
        <v>146</v>
      </c>
      <c r="B28" s="8" t="s">
        <v>150</v>
      </c>
      <c r="C28" s="1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s="50" customFormat="1" ht="18" customHeight="1" x14ac:dyDescent="0.25">
      <c r="A29" s="14" t="s">
        <v>151</v>
      </c>
      <c r="B29" s="23" t="s">
        <v>223</v>
      </c>
      <c r="C29" s="42">
        <f>SUM('2.működés'!C81)</f>
        <v>134045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3.5" hidden="1" customHeight="1" x14ac:dyDescent="0.2">
      <c r="A30" s="8" t="s">
        <v>154</v>
      </c>
      <c r="B30" s="8" t="s">
        <v>152</v>
      </c>
      <c r="C30" s="1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s="50" customFormat="1" ht="13.5" hidden="1" customHeight="1" x14ac:dyDescent="0.2">
      <c r="A31" s="8" t="s">
        <v>155</v>
      </c>
      <c r="B31" s="8" t="s">
        <v>153</v>
      </c>
      <c r="C31" s="1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s="50" customFormat="1" ht="13.5" hidden="1" customHeight="1" x14ac:dyDescent="0.2">
      <c r="A32" s="8" t="s">
        <v>156</v>
      </c>
      <c r="B32" s="8" t="s">
        <v>159</v>
      </c>
      <c r="C32" s="1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3.5" hidden="1" customHeight="1" x14ac:dyDescent="0.2">
      <c r="A33" s="8" t="s">
        <v>157</v>
      </c>
      <c r="B33" s="20" t="s">
        <v>160</v>
      </c>
      <c r="C33" s="8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2.75" hidden="1" customHeight="1" x14ac:dyDescent="0.2">
      <c r="A34" s="8" t="s">
        <v>158</v>
      </c>
      <c r="B34" s="20" t="s">
        <v>161</v>
      </c>
      <c r="C34" s="8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2.75" hidden="1" customHeight="1" x14ac:dyDescent="0.2">
      <c r="A35" s="8" t="s">
        <v>162</v>
      </c>
      <c r="B35" s="20" t="s">
        <v>163</v>
      </c>
      <c r="C35" s="8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2.75" hidden="1" customHeight="1" x14ac:dyDescent="0.2">
      <c r="A36" s="8" t="s">
        <v>164</v>
      </c>
      <c r="B36" s="20" t="s">
        <v>165</v>
      </c>
      <c r="C36" s="8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2.75" hidden="1" customHeight="1" x14ac:dyDescent="0.2">
      <c r="A37" s="8" t="s">
        <v>166</v>
      </c>
      <c r="B37" s="20" t="s">
        <v>167</v>
      </c>
      <c r="C37" s="8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2.75" hidden="1" customHeight="1" x14ac:dyDescent="0.2">
      <c r="A38" s="8" t="s">
        <v>168</v>
      </c>
      <c r="B38" s="20" t="s">
        <v>169</v>
      </c>
      <c r="C38" s="8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2.75" hidden="1" customHeight="1" x14ac:dyDescent="0.2">
      <c r="A39" s="8" t="s">
        <v>174</v>
      </c>
      <c r="B39" s="20" t="s">
        <v>175</v>
      </c>
      <c r="C39" s="8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7.25" customHeight="1" x14ac:dyDescent="0.25">
      <c r="A40" s="14" t="s">
        <v>178</v>
      </c>
      <c r="B40" s="23" t="s">
        <v>224</v>
      </c>
      <c r="C40" s="42">
        <f>SUM('3.felh'!C25)</f>
        <v>500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2.75" hidden="1" customHeight="1" x14ac:dyDescent="0.2">
      <c r="A41" s="8" t="s">
        <v>179</v>
      </c>
      <c r="B41" s="20" t="s">
        <v>184</v>
      </c>
      <c r="C41" s="8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2.75" hidden="1" customHeight="1" x14ac:dyDescent="0.2">
      <c r="A42" s="8" t="s">
        <v>180</v>
      </c>
      <c r="B42" s="20" t="s">
        <v>185</v>
      </c>
      <c r="C42" s="8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2.75" hidden="1" customHeight="1" x14ac:dyDescent="0.2">
      <c r="A43" s="8" t="s">
        <v>181</v>
      </c>
      <c r="B43" s="20" t="s">
        <v>186</v>
      </c>
      <c r="C43" s="8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2.75" hidden="1" customHeight="1" x14ac:dyDescent="0.2">
      <c r="A44" s="8" t="s">
        <v>182</v>
      </c>
      <c r="B44" s="20" t="s">
        <v>187</v>
      </c>
      <c r="C44" s="8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2.75" hidden="1" customHeight="1" x14ac:dyDescent="0.2">
      <c r="A45" s="8" t="s">
        <v>183</v>
      </c>
      <c r="B45" s="20" t="s">
        <v>188</v>
      </c>
      <c r="C45" s="8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8" customHeight="1" x14ac:dyDescent="0.25">
      <c r="A46" s="14" t="s">
        <v>189</v>
      </c>
      <c r="B46" s="23" t="s">
        <v>225</v>
      </c>
      <c r="C46" s="42">
        <f>SUM('2.működés'!C93)</f>
        <v>40000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2.75" hidden="1" customHeight="1" x14ac:dyDescent="0.2">
      <c r="A47" s="8" t="s">
        <v>195</v>
      </c>
      <c r="B47" s="20" t="s">
        <v>192</v>
      </c>
      <c r="C47" s="8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2.75" hidden="1" customHeight="1" x14ac:dyDescent="0.2">
      <c r="A48" s="8" t="s">
        <v>196</v>
      </c>
      <c r="B48" s="20" t="s">
        <v>193</v>
      </c>
      <c r="C48" s="8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2.75" hidden="1" customHeight="1" x14ac:dyDescent="0.2">
      <c r="A49" s="8" t="s">
        <v>197</v>
      </c>
      <c r="B49" s="20" t="s">
        <v>194</v>
      </c>
      <c r="C49" s="8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8" customHeight="1" x14ac:dyDescent="0.25">
      <c r="A50" s="14" t="s">
        <v>190</v>
      </c>
      <c r="B50" s="23" t="s">
        <v>226</v>
      </c>
      <c r="C50" s="42">
        <f>SUM('3.felh'!C31)</f>
        <v>10300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3.5" hidden="1" customHeight="1" x14ac:dyDescent="0.25">
      <c r="A51" s="8" t="s">
        <v>198</v>
      </c>
      <c r="B51" s="20" t="s">
        <v>201</v>
      </c>
      <c r="C51" s="4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3.5" hidden="1" customHeight="1" x14ac:dyDescent="0.25">
      <c r="A52" s="8" t="s">
        <v>199</v>
      </c>
      <c r="B52" s="20" t="s">
        <v>202</v>
      </c>
      <c r="C52" s="4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3.5" hidden="1" customHeight="1" x14ac:dyDescent="0.25">
      <c r="A53" s="8" t="s">
        <v>200</v>
      </c>
      <c r="B53" s="20" t="s">
        <v>203</v>
      </c>
      <c r="C53" s="4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22.5" customHeight="1" x14ac:dyDescent="0.2">
      <c r="A54" s="25" t="s">
        <v>191</v>
      </c>
      <c r="B54" s="172" t="s">
        <v>351</v>
      </c>
      <c r="C54" s="193">
        <f>SUM(C55+C60)</f>
        <v>716048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3.5" customHeight="1" x14ac:dyDescent="0.25">
      <c r="A55" s="25"/>
      <c r="B55" s="23" t="s">
        <v>431</v>
      </c>
      <c r="C55" s="42">
        <f>SUM(C56)+C59</f>
        <v>716048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3.5" customHeight="1" x14ac:dyDescent="0.2">
      <c r="A56" s="8"/>
      <c r="B56" s="31" t="s">
        <v>432</v>
      </c>
      <c r="C56" s="13">
        <f>SUM(C57:C58)</f>
        <v>716048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x14ac:dyDescent="0.2">
      <c r="A57" s="8"/>
      <c r="B57" s="31" t="s">
        <v>420</v>
      </c>
      <c r="C57" s="13">
        <f>'2.működés'!C102</f>
        <v>197337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x14ac:dyDescent="0.2">
      <c r="A58" s="8"/>
      <c r="B58" s="31" t="s">
        <v>421</v>
      </c>
      <c r="C58" s="13">
        <f>'3.felh'!C37</f>
        <v>518711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3.5" customHeight="1" x14ac:dyDescent="0.2">
      <c r="A59" s="8"/>
      <c r="B59" s="31" t="s">
        <v>487</v>
      </c>
      <c r="C59" s="13">
        <f>'2.működés'!C107</f>
        <v>0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3.5" customHeight="1" x14ac:dyDescent="0.25">
      <c r="A60" s="8"/>
      <c r="B60" s="23" t="s">
        <v>429</v>
      </c>
      <c r="C60" s="42">
        <f>SUM(C61:C62)</f>
        <v>0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3.5" customHeight="1" x14ac:dyDescent="0.2">
      <c r="A61" s="8"/>
      <c r="B61" s="8" t="s">
        <v>247</v>
      </c>
      <c r="C61" s="13">
        <v>0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3.5" customHeight="1" thickBot="1" x14ac:dyDescent="0.25">
      <c r="A62" s="12"/>
      <c r="B62" s="12" t="s">
        <v>248</v>
      </c>
      <c r="C62" s="32">
        <f>'3.felh'!C40</f>
        <v>0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23.25" customHeight="1" thickBot="1" x14ac:dyDescent="0.4">
      <c r="A63" s="215"/>
      <c r="B63" s="216" t="s">
        <v>374</v>
      </c>
      <c r="C63" s="556">
        <f>SUM(C8+C54)</f>
        <v>2004027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20.25" customHeight="1" x14ac:dyDescent="0.25">
      <c r="A64" s="147" t="s">
        <v>353</v>
      </c>
      <c r="B64" s="225" t="s">
        <v>341</v>
      </c>
      <c r="C64" s="174">
        <f>SUM(C65+C70)</f>
        <v>1926031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8" customHeight="1" x14ac:dyDescent="0.25">
      <c r="A65" s="14" t="s">
        <v>204</v>
      </c>
      <c r="B65" s="23" t="s">
        <v>8</v>
      </c>
      <c r="C65" s="148">
        <f>SUM(C66:C68)</f>
        <v>1375491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x14ac:dyDescent="0.2">
      <c r="A66" s="8"/>
      <c r="B66" s="14" t="s">
        <v>9</v>
      </c>
      <c r="C66" s="82">
        <f>SUM('8.Önk.'!U95)</f>
        <v>984919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3.5" customHeight="1" thickBot="1" x14ac:dyDescent="0.25">
      <c r="A67" s="8"/>
      <c r="B67" s="8" t="s">
        <v>456</v>
      </c>
      <c r="C67" s="130">
        <f>SUM('9.Hivatal'!J76)</f>
        <v>255051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3.5" customHeight="1" thickBot="1" x14ac:dyDescent="0.25">
      <c r="A68" s="8"/>
      <c r="B68" s="208" t="s">
        <v>207</v>
      </c>
      <c r="C68" s="725">
        <f>SUM('2.működés'!C124)</f>
        <v>135521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2.75" hidden="1" customHeight="1" thickBot="1" x14ac:dyDescent="0.25">
      <c r="A69" s="8"/>
      <c r="B69" s="8" t="s">
        <v>430</v>
      </c>
      <c r="C69" s="267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8" customHeight="1" x14ac:dyDescent="0.25">
      <c r="A70" s="14" t="s">
        <v>205</v>
      </c>
      <c r="B70" s="23" t="s">
        <v>227</v>
      </c>
      <c r="C70" s="36">
        <f>SUM(C71:C73)</f>
        <v>550540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s="50" customFormat="1" ht="13.5" customHeight="1" x14ac:dyDescent="0.2">
      <c r="A71" s="8"/>
      <c r="B71" s="8" t="s">
        <v>335</v>
      </c>
      <c r="C71" s="13">
        <f>SUM('3.felh'!C44)</f>
        <v>5648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s="50" customFormat="1" ht="13.5" customHeight="1" x14ac:dyDescent="0.2">
      <c r="A72" s="8"/>
      <c r="B72" s="8" t="s">
        <v>336</v>
      </c>
      <c r="C72" s="13">
        <f>SUM('3.felh'!C66)</f>
        <v>544892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s="50" customFormat="1" ht="13.5" customHeight="1" x14ac:dyDescent="0.2">
      <c r="A73" s="8"/>
      <c r="B73" s="8" t="s">
        <v>337</v>
      </c>
      <c r="C73" s="13">
        <f>SUM(C74:C76)</f>
        <v>0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s="50" customFormat="1" ht="13.5" customHeight="1" x14ac:dyDescent="0.2">
      <c r="A74" s="8"/>
      <c r="B74" s="8" t="s">
        <v>1062</v>
      </c>
      <c r="C74" s="13">
        <f>SUM('3.felh'!C81)</f>
        <v>0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s="50" customFormat="1" ht="13.5" customHeight="1" thickBot="1" x14ac:dyDescent="0.25">
      <c r="A75" s="8"/>
      <c r="B75" s="8" t="s">
        <v>1075</v>
      </c>
      <c r="C75" s="13">
        <v>0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s="50" customFormat="1" ht="13.5" customHeight="1" thickBot="1" x14ac:dyDescent="0.25">
      <c r="A76" s="8"/>
      <c r="B76" s="208" t="s">
        <v>1382</v>
      </c>
      <c r="C76" s="725">
        <f>SUM('3.felh'!C83)</f>
        <v>0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s="50" customFormat="1" ht="22.5" customHeight="1" x14ac:dyDescent="0.25">
      <c r="A77" s="14" t="s">
        <v>206</v>
      </c>
      <c r="B77" s="172" t="s">
        <v>352</v>
      </c>
      <c r="C77" s="190">
        <f>SUM(C78+C82+C83)</f>
        <v>77996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s="50" customFormat="1" ht="15" customHeight="1" x14ac:dyDescent="0.25">
      <c r="A78" s="14"/>
      <c r="B78" s="189" t="s">
        <v>379</v>
      </c>
      <c r="C78" s="160">
        <f>SUM(C79:C81)</f>
        <v>77996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s="50" customFormat="1" ht="12.75" customHeight="1" x14ac:dyDescent="0.2">
      <c r="A79" s="14" t="s">
        <v>386</v>
      </c>
      <c r="B79" s="8" t="s">
        <v>404</v>
      </c>
      <c r="C79" s="13">
        <f>SUM('2.működés'!C128)</f>
        <v>19840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s="50" customFormat="1" ht="15.75" hidden="1" x14ac:dyDescent="0.25">
      <c r="A80" s="14"/>
      <c r="B80" s="224" t="s">
        <v>380</v>
      </c>
      <c r="C80" s="4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s="50" customFormat="1" ht="12.75" customHeight="1" x14ac:dyDescent="0.2">
      <c r="A81" s="14"/>
      <c r="B81" s="224" t="s">
        <v>1096</v>
      </c>
      <c r="C81" s="13">
        <f>SUM('3.felh'!C88)</f>
        <v>58156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s="50" customFormat="1" ht="15" customHeight="1" x14ac:dyDescent="0.25">
      <c r="A82" s="14"/>
      <c r="B82" s="189" t="s">
        <v>381</v>
      </c>
      <c r="C82" s="43">
        <v>0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s="50" customFormat="1" ht="15" customHeight="1" thickBot="1" x14ac:dyDescent="0.3">
      <c r="A83" s="22"/>
      <c r="B83" s="186" t="s">
        <v>382</v>
      </c>
      <c r="C83" s="171">
        <v>0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21.75" customHeight="1" thickBot="1" x14ac:dyDescent="0.4">
      <c r="A84" s="264"/>
      <c r="B84" s="216" t="s">
        <v>55</v>
      </c>
      <c r="C84" s="556">
        <f>SUM(C64+C77)</f>
        <v>2004027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4.25" hidden="1" customHeight="1" thickBot="1" x14ac:dyDescent="0.25">
      <c r="C85" s="7">
        <f>SUM(C63-C84)</f>
        <v>0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5.75" hidden="1" customHeight="1" x14ac:dyDescent="0.2">
      <c r="B86" s="2" t="s">
        <v>466</v>
      </c>
      <c r="C86" s="7">
        <f>SUM(C68+C76)</f>
        <v>135521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5.75" hidden="1" customHeight="1" x14ac:dyDescent="0.2">
      <c r="C87" s="7">
        <f>SUM(C63-C84)</f>
        <v>0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27" hidden="1" customHeight="1" x14ac:dyDescent="0.2">
      <c r="B88" s="230" t="s">
        <v>883</v>
      </c>
      <c r="C88" s="7" t="e">
        <f>SUM(C8-C66-C67-C79-C81)+'8.Önk.'!C138+'8.Önk.'!#REF!</f>
        <v>#REF!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5" hidden="1" customHeight="1" x14ac:dyDescent="0.2">
      <c r="B89" t="s">
        <v>334</v>
      </c>
      <c r="C89" s="7">
        <f>SUM(C63-C84)</f>
        <v>0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5.75" hidden="1" customHeight="1" x14ac:dyDescent="0.2">
      <c r="C90" s="7">
        <f>C63-C84</f>
        <v>0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5.75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5.75" customHeigh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5.75" customHeigh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5.75" customHeigh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5.75" customHeigh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5.75" customHeigh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2:32" ht="15.75" customHeight="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2:32" ht="15.75" customHeigh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2:32" ht="15.75" customHeigh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2:32" ht="15.75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2:32" ht="15.75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2:32" ht="15.75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2:32" ht="15.7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2:32" ht="15.7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2:32" ht="15.7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2:32" ht="15.7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2:32" ht="15.75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2:32" ht="15.7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2:32" ht="15.75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2:32" ht="15.75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2:32" ht="15.75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2:32" ht="15.75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2:32" ht="15.7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2:32" ht="15.7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2:32" ht="15.7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2:32" ht="15.7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2:32" ht="15.7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2:32" ht="15.7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2:32" ht="15.7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2:32" ht="15.75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2:32" ht="15.75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2:32" ht="15.75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2:32" ht="15.75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2:32" ht="15.75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2:32" ht="15.7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2:32" ht="15.75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2:32" ht="15.75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2:32" ht="15.75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2:32" ht="15.7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2:32" ht="15.7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2:32" ht="15.7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2:32" ht="15.7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2:32" ht="15.7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2:32" ht="15.7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2:32" ht="15.75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2:32" ht="15.75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2:32" ht="15.75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2:32" ht="15.75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2:32" ht="15.75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2:32" ht="15.75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2:32" ht="15.75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2:32" ht="15.75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2:32" ht="15.75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2:32" ht="15.75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2:32" ht="15.75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2:32" ht="15.75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2:32" ht="15.75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2:32" ht="15.75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2:32" ht="15.75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2:32" ht="15.75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2:32" ht="15.75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2:32" ht="15.75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2:32" ht="15.75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2:32" ht="15.75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2:32" ht="15.75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2:32" ht="15.75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2:32" ht="15.75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2:32" ht="15.75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2:32" ht="15.75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2:32" ht="15.75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2:32" ht="15.75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2:32" ht="15.75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2:32" ht="15.75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2:32" ht="15.75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2:32" ht="15.75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2:32" ht="15.75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2:32" ht="15.75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2:32" ht="15.75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2:32" ht="15.75" customHeight="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2:32" ht="15.75" customHeight="1" x14ac:dyDescent="0.2">
      <c r="B170" s="2"/>
      <c r="C170" s="29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2:32" ht="15.75" customHeight="1" x14ac:dyDescent="0.2">
      <c r="B171" s="2"/>
      <c r="C171" s="29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2:32" ht="15.75" customHeight="1" x14ac:dyDescent="0.2">
      <c r="B172" s="2"/>
      <c r="C172" s="29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2:32" ht="15.75" customHeight="1" x14ac:dyDescent="0.2">
      <c r="B173" s="2"/>
      <c r="C173" s="29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2:32" ht="15.75" customHeight="1" x14ac:dyDescent="0.2">
      <c r="B174" s="2"/>
      <c r="C174" s="29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2:32" ht="15.75" customHeight="1" x14ac:dyDescent="0.2">
      <c r="B175" s="2"/>
      <c r="C175" s="29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2:32" ht="15.75" customHeight="1" x14ac:dyDescent="0.2">
      <c r="B176" s="2"/>
      <c r="C176" s="29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2:32" ht="15.75" customHeight="1" x14ac:dyDescent="0.2">
      <c r="B177" s="2"/>
      <c r="C177" s="29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2:32" ht="15.75" customHeight="1" x14ac:dyDescent="0.2">
      <c r="B178" s="2"/>
      <c r="C178" s="29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2:32" ht="15.75" customHeight="1" x14ac:dyDescent="0.2">
      <c r="B179" s="2"/>
      <c r="C179" s="29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2:32" ht="15.75" customHeight="1" x14ac:dyDescent="0.2">
      <c r="B180" s="2"/>
      <c r="C180" s="29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2:32" ht="15.75" customHeight="1" x14ac:dyDescent="0.2">
      <c r="B181" s="2"/>
      <c r="C181" s="29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2:32" ht="15.75" customHeight="1" x14ac:dyDescent="0.2">
      <c r="B182" s="2"/>
      <c r="C182" s="29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2:32" ht="15.75" customHeight="1" x14ac:dyDescent="0.2">
      <c r="B183" s="2"/>
      <c r="C183" s="29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2:32" ht="15.75" customHeight="1" x14ac:dyDescent="0.2">
      <c r="B184" s="2"/>
      <c r="C184" s="29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2:32" ht="15.75" customHeight="1" x14ac:dyDescent="0.2">
      <c r="B185" s="2"/>
      <c r="C185" s="29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2:32" ht="15.75" customHeight="1" x14ac:dyDescent="0.2">
      <c r="B186" s="2"/>
      <c r="C186" s="29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2:32" ht="15.75" customHeight="1" x14ac:dyDescent="0.2">
      <c r="B187" s="2"/>
      <c r="C187" s="29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2:32" ht="15.75" customHeight="1" x14ac:dyDescent="0.2">
      <c r="B188" s="2"/>
      <c r="C188" s="29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2:32" ht="15.75" customHeight="1" x14ac:dyDescent="0.2">
      <c r="B189" s="2"/>
      <c r="C189" s="29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2:32" ht="15.75" customHeight="1" x14ac:dyDescent="0.2">
      <c r="B190" s="2"/>
      <c r="C190" s="29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2:32" ht="15.75" customHeight="1" x14ac:dyDescent="0.2">
      <c r="B191" s="2"/>
      <c r="C191" s="29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2:32" ht="15.75" customHeight="1" x14ac:dyDescent="0.2">
      <c r="B192" s="2"/>
      <c r="C192" s="29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2:32" ht="15.75" customHeight="1" x14ac:dyDescent="0.2">
      <c r="B193" s="2"/>
      <c r="C193" s="29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2:32" ht="15.75" customHeight="1" x14ac:dyDescent="0.2">
      <c r="B194" s="2"/>
      <c r="C194" s="29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2:32" ht="15.75" customHeight="1" x14ac:dyDescent="0.2">
      <c r="B195" s="2"/>
      <c r="C195" s="29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2:32" ht="15.75" customHeight="1" x14ac:dyDescent="0.2">
      <c r="B196" s="2"/>
      <c r="C196" s="29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2:32" ht="15.75" customHeight="1" x14ac:dyDescent="0.2">
      <c r="B197" s="2"/>
      <c r="C197" s="29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2:32" ht="15.75" customHeight="1" x14ac:dyDescent="0.2">
      <c r="B198" s="2"/>
      <c r="C198" s="29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2:32" ht="15.75" customHeight="1" x14ac:dyDescent="0.2">
      <c r="B199" s="2"/>
      <c r="C199" s="29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2:32" ht="15.75" customHeight="1" x14ac:dyDescent="0.2">
      <c r="B200" s="2"/>
      <c r="C200" s="29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2:32" ht="15.75" customHeight="1" x14ac:dyDescent="0.2">
      <c r="B201" s="2"/>
      <c r="C201" s="29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2:32" ht="15.75" customHeight="1" x14ac:dyDescent="0.2">
      <c r="B202" s="2"/>
      <c r="C202" s="29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2:32" ht="15.75" customHeight="1" x14ac:dyDescent="0.2">
      <c r="B203" s="2"/>
      <c r="C203" s="29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2:32" ht="15.75" customHeight="1" x14ac:dyDescent="0.2">
      <c r="B204" s="2"/>
      <c r="C204" s="29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2:32" ht="15.75" customHeight="1" x14ac:dyDescent="0.2">
      <c r="B205" s="2"/>
      <c r="C205" s="29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2:32" ht="15.75" customHeight="1" x14ac:dyDescent="0.2">
      <c r="B206" s="2"/>
      <c r="C206" s="29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2:32" ht="15.75" customHeight="1" x14ac:dyDescent="0.2">
      <c r="B207" s="2"/>
      <c r="C207" s="29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2:32" ht="15.75" customHeight="1" x14ac:dyDescent="0.2">
      <c r="B208" s="2"/>
      <c r="C208" s="29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2:32" ht="15.75" customHeight="1" x14ac:dyDescent="0.2">
      <c r="B209" s="2"/>
      <c r="C209" s="29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2:32" ht="15.75" customHeight="1" x14ac:dyDescent="0.2">
      <c r="B210" s="2"/>
      <c r="C210" s="29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2:32" ht="15.75" customHeight="1" x14ac:dyDescent="0.2">
      <c r="B211" s="2"/>
      <c r="C211" s="29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2:32" ht="15.75" customHeight="1" x14ac:dyDescent="0.2">
      <c r="B212" s="2"/>
      <c r="C212" s="29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2:32" ht="15.75" customHeight="1" x14ac:dyDescent="0.2">
      <c r="B213" s="2"/>
      <c r="C213" s="29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2:32" ht="15.75" customHeight="1" x14ac:dyDescent="0.2">
      <c r="B214" s="2"/>
      <c r="C214" s="29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2:32" ht="15.75" customHeight="1" x14ac:dyDescent="0.2">
      <c r="B215" s="2"/>
      <c r="C215" s="29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2:32" ht="15.75" customHeight="1" x14ac:dyDescent="0.2">
      <c r="B216" s="2"/>
      <c r="C216" s="29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2:32" ht="15.75" customHeight="1" x14ac:dyDescent="0.2">
      <c r="B217" s="2"/>
      <c r="C217" s="29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2:32" ht="15.75" customHeight="1" x14ac:dyDescent="0.2">
      <c r="B218" s="2"/>
      <c r="C218" s="29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2:32" ht="15.75" customHeight="1" x14ac:dyDescent="0.2">
      <c r="B219" s="2"/>
      <c r="C219" s="29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2:32" ht="15.75" customHeight="1" x14ac:dyDescent="0.2">
      <c r="B220" s="2"/>
      <c r="C220" s="29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2:32" ht="15.75" customHeight="1" x14ac:dyDescent="0.2">
      <c r="B221" s="2"/>
      <c r="C221" s="29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2:32" ht="15.75" customHeight="1" x14ac:dyDescent="0.2">
      <c r="B222" s="2"/>
      <c r="C222" s="29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2:32" ht="15.75" customHeight="1" x14ac:dyDescent="0.2">
      <c r="B223" s="2"/>
      <c r="C223" s="29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2:32" ht="15.75" customHeight="1" x14ac:dyDescent="0.2">
      <c r="B224" s="2"/>
      <c r="C224" s="29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2:32" ht="15.75" customHeight="1" x14ac:dyDescent="0.2">
      <c r="B225" s="2"/>
      <c r="C225" s="29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2:32" ht="15.75" customHeight="1" x14ac:dyDescent="0.2">
      <c r="B226" s="2"/>
      <c r="C226" s="29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2:32" ht="15.75" customHeight="1" x14ac:dyDescent="0.2">
      <c r="B227" s="2"/>
      <c r="C227" s="29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2:32" ht="15.75" customHeight="1" x14ac:dyDescent="0.2">
      <c r="B228" s="2"/>
      <c r="C228" s="29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2:32" ht="15.75" customHeight="1" x14ac:dyDescent="0.2">
      <c r="B229" s="2"/>
      <c r="C229" s="29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2:32" ht="15.75" customHeight="1" x14ac:dyDescent="0.2">
      <c r="B230" s="2"/>
      <c r="C230" s="29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2:32" ht="15.75" customHeight="1" x14ac:dyDescent="0.2">
      <c r="B231" s="2"/>
      <c r="C231" s="29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2:32" ht="15.75" customHeight="1" x14ac:dyDescent="0.2">
      <c r="B232" s="2"/>
      <c r="C232" s="29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2:32" ht="15.75" customHeight="1" x14ac:dyDescent="0.2">
      <c r="B233" s="2"/>
      <c r="C233" s="29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2:32" ht="15.75" customHeight="1" x14ac:dyDescent="0.2">
      <c r="B234" s="2"/>
      <c r="C234" s="29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2:32" ht="15.75" customHeight="1" x14ac:dyDescent="0.2">
      <c r="B235" s="2"/>
      <c r="C235" s="29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2:32" ht="15.75" customHeight="1" x14ac:dyDescent="0.2">
      <c r="B236" s="2"/>
      <c r="C236" s="29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2:32" ht="15.75" customHeight="1" x14ac:dyDescent="0.2">
      <c r="B237" s="2"/>
      <c r="C237" s="29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2:32" ht="15.75" customHeight="1" x14ac:dyDescent="0.2">
      <c r="B238" s="2"/>
      <c r="C238" s="29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2:32" ht="15.75" customHeight="1" x14ac:dyDescent="0.2">
      <c r="B239" s="2"/>
      <c r="C239" s="29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2:32" ht="15.75" customHeight="1" x14ac:dyDescent="0.2">
      <c r="B240" s="2"/>
      <c r="C240" s="29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2:32" ht="15.75" customHeight="1" x14ac:dyDescent="0.2">
      <c r="B241" s="2"/>
      <c r="C241" s="29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2:32" ht="15.75" customHeight="1" x14ac:dyDescent="0.2">
      <c r="B242" s="2"/>
      <c r="C242" s="29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2:32" ht="15.75" customHeight="1" x14ac:dyDescent="0.2">
      <c r="B243" s="2"/>
      <c r="C243" s="29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2:32" ht="15.75" customHeight="1" x14ac:dyDescent="0.2">
      <c r="B244" s="2"/>
      <c r="C244" s="29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2:32" ht="15.75" customHeight="1" x14ac:dyDescent="0.2">
      <c r="B245" s="2"/>
      <c r="C245" s="29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2:32" ht="15.75" customHeight="1" x14ac:dyDescent="0.2">
      <c r="B246" s="2"/>
      <c r="C246" s="29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2:32" ht="15.75" customHeight="1" x14ac:dyDescent="0.2">
      <c r="B247" s="2"/>
      <c r="C247" s="29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2:32" ht="15.75" customHeight="1" x14ac:dyDescent="0.2">
      <c r="B248" s="2"/>
      <c r="C248" s="29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2:32" ht="15.75" customHeight="1" x14ac:dyDescent="0.2">
      <c r="B249" s="2"/>
      <c r="C249" s="29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2:32" ht="15.75" customHeight="1" x14ac:dyDescent="0.2">
      <c r="B250" s="2"/>
      <c r="C250" s="29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2:32" ht="15.75" customHeight="1" x14ac:dyDescent="0.2">
      <c r="B251" s="2"/>
      <c r="C251" s="29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2:32" ht="15.75" customHeight="1" x14ac:dyDescent="0.2">
      <c r="B252" s="2"/>
      <c r="C252" s="29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2:32" ht="15.75" customHeight="1" x14ac:dyDescent="0.2">
      <c r="B253" s="2"/>
      <c r="C253" s="29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2:32" ht="15.75" customHeight="1" x14ac:dyDescent="0.2">
      <c r="B254" s="2"/>
      <c r="C254" s="29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2:32" ht="15.75" customHeight="1" x14ac:dyDescent="0.2">
      <c r="B255" s="2"/>
      <c r="C255" s="29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2:32" ht="15.75" customHeight="1" x14ac:dyDescent="0.2">
      <c r="B256" s="2"/>
      <c r="C256" s="29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2:32" ht="15.75" customHeight="1" x14ac:dyDescent="0.2">
      <c r="B257" s="2"/>
      <c r="C257" s="29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2:32" ht="15.75" customHeight="1" x14ac:dyDescent="0.2">
      <c r="B258" s="2"/>
      <c r="C258" s="29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2:32" ht="15.75" customHeight="1" x14ac:dyDescent="0.2">
      <c r="B259" s="2"/>
      <c r="C259" s="29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2:32" ht="15.75" customHeight="1" x14ac:dyDescent="0.2">
      <c r="B260" s="2"/>
      <c r="C260" s="29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2:32" ht="15.75" customHeight="1" x14ac:dyDescent="0.2">
      <c r="B261" s="2"/>
      <c r="C261" s="29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2:32" ht="15.75" customHeight="1" x14ac:dyDescent="0.2">
      <c r="B262" s="2"/>
      <c r="C262" s="29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2:32" ht="15.75" customHeight="1" x14ac:dyDescent="0.2">
      <c r="B263" s="2"/>
      <c r="C263" s="29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2:32" ht="15.75" customHeight="1" x14ac:dyDescent="0.2">
      <c r="B264" s="2"/>
      <c r="C264" s="29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2:32" ht="15.75" customHeight="1" x14ac:dyDescent="0.2">
      <c r="B265" s="2"/>
      <c r="C265" s="29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2:32" ht="15.75" customHeight="1" x14ac:dyDescent="0.2">
      <c r="B266" s="2"/>
      <c r="C266" s="29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2:32" ht="15.75" customHeight="1" x14ac:dyDescent="0.2">
      <c r="B267" s="2"/>
      <c r="C267" s="29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2:32" ht="15.75" customHeight="1" x14ac:dyDescent="0.2">
      <c r="B268" s="2"/>
      <c r="C268" s="29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2:32" ht="15.75" customHeight="1" x14ac:dyDescent="0.2">
      <c r="B269" s="2"/>
      <c r="C269" s="29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2:32" ht="15.75" customHeight="1" x14ac:dyDescent="0.2">
      <c r="B270" s="2"/>
      <c r="C270" s="29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2:32" ht="15.75" customHeight="1" x14ac:dyDescent="0.2">
      <c r="B271" s="2"/>
      <c r="C271" s="29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2:32" ht="15.75" customHeight="1" x14ac:dyDescent="0.2">
      <c r="B272" s="2"/>
      <c r="C272" s="29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2:32" ht="15.75" customHeight="1" x14ac:dyDescent="0.2">
      <c r="B273" s="2"/>
      <c r="C273" s="29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2:32" ht="15.75" customHeight="1" x14ac:dyDescent="0.2">
      <c r="B274" s="2"/>
      <c r="C274" s="29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2:32" ht="15.75" customHeight="1" x14ac:dyDescent="0.2">
      <c r="B275" s="2"/>
      <c r="C275" s="29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2:32" ht="15.75" customHeight="1" x14ac:dyDescent="0.2">
      <c r="B276" s="2"/>
      <c r="C276" s="29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2:32" ht="15.75" customHeight="1" x14ac:dyDescent="0.2">
      <c r="B277" s="2"/>
      <c r="C277" s="29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2:32" ht="15.75" customHeight="1" x14ac:dyDescent="0.2">
      <c r="B278" s="2"/>
      <c r="C278" s="29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2:32" ht="15.75" customHeight="1" x14ac:dyDescent="0.2">
      <c r="B279" s="2"/>
      <c r="C279" s="29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2:32" ht="15.75" customHeight="1" x14ac:dyDescent="0.2">
      <c r="B280" s="2"/>
      <c r="C280" s="29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2:32" ht="15.75" customHeight="1" x14ac:dyDescent="0.2">
      <c r="B281" s="2"/>
      <c r="C281" s="29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2:32" ht="15.75" customHeight="1" x14ac:dyDescent="0.2">
      <c r="B282" s="2"/>
      <c r="C282" s="29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2:32" ht="15.75" customHeight="1" x14ac:dyDescent="0.2">
      <c r="B283" s="2"/>
      <c r="C283" s="29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2:32" ht="15.75" customHeight="1" x14ac:dyDescent="0.2">
      <c r="B284" s="2"/>
      <c r="C284" s="29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2:32" ht="15.75" customHeight="1" x14ac:dyDescent="0.2">
      <c r="B285" s="2"/>
      <c r="C285" s="29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2:32" ht="15.75" customHeight="1" x14ac:dyDescent="0.2">
      <c r="B286" s="2"/>
      <c r="C286" s="29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2:32" ht="15.75" customHeight="1" x14ac:dyDescent="0.2">
      <c r="B287" s="2"/>
      <c r="C287" s="29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2:32" ht="15.75" customHeight="1" x14ac:dyDescent="0.2">
      <c r="B288" s="2"/>
      <c r="C288" s="29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2:32" ht="15.75" customHeight="1" x14ac:dyDescent="0.2">
      <c r="B289" s="2"/>
      <c r="C289" s="29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2:32" ht="15.75" customHeight="1" x14ac:dyDescent="0.2">
      <c r="B290" s="2"/>
      <c r="C290" s="29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2:32" ht="15.75" customHeight="1" x14ac:dyDescent="0.2">
      <c r="B291" s="2"/>
      <c r="C291" s="29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2:32" ht="15.75" customHeight="1" x14ac:dyDescent="0.2">
      <c r="B292" s="2"/>
      <c r="C292" s="29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2:32" ht="15.75" customHeight="1" x14ac:dyDescent="0.2">
      <c r="B293" s="2"/>
      <c r="C293" s="29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2:32" ht="15.75" customHeight="1" x14ac:dyDescent="0.2">
      <c r="B294" s="2"/>
      <c r="C294" s="29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2:32" ht="15.75" customHeight="1" x14ac:dyDescent="0.2">
      <c r="B295" s="2"/>
      <c r="C295" s="29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2:32" ht="15.75" customHeight="1" x14ac:dyDescent="0.2">
      <c r="B296" s="2"/>
      <c r="C296" s="29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2:32" ht="15.75" customHeight="1" x14ac:dyDescent="0.2">
      <c r="B297" s="2"/>
      <c r="C297" s="29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2:32" ht="15.75" customHeight="1" x14ac:dyDescent="0.2">
      <c r="B298" s="2"/>
      <c r="C298" s="29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2:32" ht="15.75" customHeight="1" x14ac:dyDescent="0.2">
      <c r="B299" s="2"/>
      <c r="C299" s="29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2:32" ht="15.75" customHeight="1" x14ac:dyDescent="0.2">
      <c r="B300" s="2"/>
      <c r="C300" s="29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2:32" ht="15.75" customHeight="1" x14ac:dyDescent="0.2">
      <c r="B301" s="2"/>
      <c r="C301" s="29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2:32" ht="15.75" customHeight="1" x14ac:dyDescent="0.2">
      <c r="B302" s="2"/>
      <c r="C302" s="29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2:32" ht="15.75" customHeight="1" x14ac:dyDescent="0.2">
      <c r="B303" s="2"/>
      <c r="C303" s="29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2:32" ht="15.75" customHeight="1" x14ac:dyDescent="0.2">
      <c r="B304" s="2"/>
      <c r="C304" s="29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2:32" ht="15.75" customHeight="1" x14ac:dyDescent="0.2">
      <c r="B305" s="2"/>
      <c r="C305" s="29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2:32" ht="15.75" customHeight="1" x14ac:dyDescent="0.2">
      <c r="B306" s="2"/>
      <c r="C306" s="29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2:32" ht="15.75" customHeight="1" x14ac:dyDescent="0.2">
      <c r="B307" s="2"/>
      <c r="C307" s="29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2:32" ht="15.75" customHeight="1" x14ac:dyDescent="0.2">
      <c r="B308" s="2"/>
      <c r="C308" s="29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2:32" ht="15.75" customHeight="1" x14ac:dyDescent="0.2">
      <c r="B309" s="2"/>
      <c r="C309" s="29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2:32" ht="15.75" customHeight="1" x14ac:dyDescent="0.2">
      <c r="B310" s="2"/>
      <c r="C310" s="29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2:32" ht="15.75" customHeight="1" x14ac:dyDescent="0.2">
      <c r="B311" s="2"/>
      <c r="C311" s="29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2:32" ht="15.75" customHeight="1" x14ac:dyDescent="0.2">
      <c r="B312" s="2"/>
      <c r="C312" s="29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2:32" ht="15.75" customHeight="1" x14ac:dyDescent="0.2">
      <c r="B313" s="2"/>
      <c r="C313" s="29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2:32" ht="15.75" customHeight="1" x14ac:dyDescent="0.2">
      <c r="B314" s="2"/>
      <c r="C314" s="29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2:32" ht="15.75" customHeight="1" x14ac:dyDescent="0.2">
      <c r="B315" s="2"/>
      <c r="C315" s="29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2:32" ht="15.75" customHeight="1" x14ac:dyDescent="0.2">
      <c r="B316" s="2"/>
      <c r="C316" s="29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2:32" ht="15.75" customHeight="1" x14ac:dyDescent="0.2">
      <c r="B317" s="2"/>
      <c r="C317" s="29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2:32" ht="15.75" customHeight="1" x14ac:dyDescent="0.2">
      <c r="B318" s="2"/>
      <c r="C318" s="29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2:32" ht="15.75" customHeight="1" x14ac:dyDescent="0.2">
      <c r="B319" s="2"/>
      <c r="C319" s="29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2:32" ht="15.75" customHeight="1" x14ac:dyDescent="0.2">
      <c r="B320" s="2"/>
      <c r="C320" s="29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2:32" ht="15.75" customHeight="1" x14ac:dyDescent="0.2">
      <c r="B321" s="2"/>
      <c r="C321" s="29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2:32" ht="15.75" customHeight="1" x14ac:dyDescent="0.2">
      <c r="B322" s="2"/>
      <c r="C322" s="29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2:32" ht="15.75" customHeight="1" x14ac:dyDescent="0.2">
      <c r="B323" s="2"/>
      <c r="C323" s="29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2:32" ht="15.75" customHeight="1" x14ac:dyDescent="0.2">
      <c r="B324" s="2"/>
      <c r="C324" s="29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2:32" ht="15.75" customHeight="1" x14ac:dyDescent="0.2">
      <c r="B325" s="2"/>
      <c r="C325" s="29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2:32" ht="15.75" customHeight="1" x14ac:dyDescent="0.2">
      <c r="B326" s="2"/>
      <c r="C326" s="29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2:32" ht="15.75" customHeight="1" x14ac:dyDescent="0.2">
      <c r="B327" s="2"/>
      <c r="C327" s="29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2:32" ht="15.75" customHeight="1" x14ac:dyDescent="0.2">
      <c r="B328" s="2"/>
      <c r="C328" s="29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2:32" ht="15.75" customHeight="1" x14ac:dyDescent="0.2">
      <c r="B329" s="2"/>
      <c r="C329" s="29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2:32" ht="15.75" customHeight="1" x14ac:dyDescent="0.2">
      <c r="B330" s="2"/>
      <c r="C330" s="29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2:32" ht="15.75" customHeight="1" x14ac:dyDescent="0.2">
      <c r="B331" s="2"/>
      <c r="C331" s="29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2:32" ht="15.75" customHeight="1" x14ac:dyDescent="0.2">
      <c r="B332" s="2"/>
      <c r="C332" s="29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2:32" ht="15.75" customHeight="1" x14ac:dyDescent="0.2">
      <c r="B333" s="2"/>
      <c r="C333" s="29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2:32" ht="15.75" customHeight="1" x14ac:dyDescent="0.2">
      <c r="B334" s="2"/>
      <c r="C334" s="29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2:32" ht="15.75" customHeight="1" x14ac:dyDescent="0.2">
      <c r="B335" s="2"/>
      <c r="C335" s="29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2:32" ht="15.75" customHeight="1" x14ac:dyDescent="0.2">
      <c r="B336" s="2"/>
      <c r="C336" s="29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2:32" ht="15.75" customHeight="1" x14ac:dyDescent="0.2">
      <c r="B337" s="2"/>
      <c r="C337" s="29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2:32" ht="15.75" customHeight="1" x14ac:dyDescent="0.2">
      <c r="B338" s="2"/>
      <c r="C338" s="29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2:32" ht="15.75" customHeight="1" x14ac:dyDescent="0.2">
      <c r="B339" s="2"/>
      <c r="C339" s="29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2:32" ht="15.75" customHeight="1" x14ac:dyDescent="0.2">
      <c r="B340" s="2"/>
      <c r="C340" s="29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2:32" ht="15.75" customHeight="1" x14ac:dyDescent="0.2">
      <c r="B341" s="2"/>
      <c r="C341" s="29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2:32" ht="15.75" customHeight="1" x14ac:dyDescent="0.2">
      <c r="B342" s="2"/>
      <c r="C342" s="29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2:32" ht="15.75" customHeight="1" x14ac:dyDescent="0.2">
      <c r="B343" s="2"/>
      <c r="C343" s="29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2:32" ht="15.75" customHeight="1" x14ac:dyDescent="0.2">
      <c r="B344" s="2"/>
      <c r="C344" s="29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2:32" ht="15.75" customHeight="1" x14ac:dyDescent="0.2">
      <c r="B345" s="2"/>
      <c r="C345" s="29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2:32" ht="15.75" customHeight="1" x14ac:dyDescent="0.2">
      <c r="B346" s="2"/>
      <c r="C346" s="29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2:32" ht="15.75" customHeight="1" x14ac:dyDescent="0.2">
      <c r="B347" s="2"/>
      <c r="C347" s="29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2:32" ht="15.75" customHeight="1" x14ac:dyDescent="0.2">
      <c r="B348" s="2"/>
      <c r="C348" s="29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2:32" ht="15.75" customHeight="1" x14ac:dyDescent="0.2">
      <c r="B349" s="2"/>
      <c r="C349" s="29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2:32" ht="15.75" customHeight="1" x14ac:dyDescent="0.2">
      <c r="B350" s="2"/>
      <c r="C350" s="29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2:32" ht="15.75" customHeight="1" x14ac:dyDescent="0.2">
      <c r="B351" s="2"/>
      <c r="C351" s="29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2:32" ht="15.75" customHeight="1" x14ac:dyDescent="0.2">
      <c r="B352" s="2"/>
      <c r="C352" s="29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2:32" ht="15.75" customHeight="1" x14ac:dyDescent="0.2">
      <c r="B353" s="2"/>
      <c r="C353" s="29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2:32" ht="15.75" customHeight="1" x14ac:dyDescent="0.2">
      <c r="B354" s="2"/>
      <c r="C354" s="29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2:32" ht="15.75" customHeight="1" x14ac:dyDescent="0.2">
      <c r="B355" s="2"/>
      <c r="C355" s="29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2:32" ht="15.75" customHeight="1" x14ac:dyDescent="0.2">
      <c r="B356" s="2"/>
      <c r="C356" s="29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2:32" ht="15.75" customHeight="1" x14ac:dyDescent="0.2">
      <c r="B357" s="2"/>
      <c r="C357" s="29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2:32" ht="15.75" customHeight="1" x14ac:dyDescent="0.2">
      <c r="B358" s="2"/>
      <c r="C358" s="29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2:32" ht="15.75" customHeight="1" x14ac:dyDescent="0.2">
      <c r="B359" s="2"/>
      <c r="C359" s="29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2:32" ht="15.75" customHeight="1" x14ac:dyDescent="0.2">
      <c r="B360" s="2"/>
      <c r="C360" s="29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2:32" ht="15.75" customHeight="1" x14ac:dyDescent="0.2">
      <c r="B361" s="2"/>
      <c r="C361" s="29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2:32" ht="15.75" customHeight="1" x14ac:dyDescent="0.2">
      <c r="B362" s="2"/>
      <c r="C362" s="29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2:32" ht="15.75" customHeight="1" x14ac:dyDescent="0.2">
      <c r="B363" s="2"/>
      <c r="C363" s="29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2:32" ht="15.75" customHeight="1" x14ac:dyDescent="0.2">
      <c r="B364" s="2"/>
      <c r="C364" s="29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2:32" ht="15.75" customHeight="1" x14ac:dyDescent="0.2">
      <c r="B365" s="2"/>
      <c r="C365" s="29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2:32" ht="15.75" customHeight="1" x14ac:dyDescent="0.2">
      <c r="B366" s="2"/>
      <c r="C366" s="29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2:32" ht="15.75" customHeight="1" x14ac:dyDescent="0.2">
      <c r="B367" s="2"/>
      <c r="C367" s="29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2:32" ht="15.75" customHeight="1" x14ac:dyDescent="0.2">
      <c r="B368" s="2"/>
      <c r="C368" s="29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2:32" ht="15.75" customHeight="1" x14ac:dyDescent="0.2">
      <c r="B369" s="2"/>
      <c r="C369" s="29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2:32" ht="15.75" customHeight="1" x14ac:dyDescent="0.2">
      <c r="B370" s="2"/>
      <c r="C370" s="29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2:32" ht="15.75" customHeight="1" x14ac:dyDescent="0.2">
      <c r="B371" s="2"/>
      <c r="C371" s="29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2:32" ht="15.75" customHeight="1" x14ac:dyDescent="0.2">
      <c r="B372" s="2"/>
      <c r="C372" s="29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2:32" ht="15.75" customHeight="1" x14ac:dyDescent="0.2">
      <c r="B373" s="2"/>
      <c r="C373" s="29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2:32" ht="15.75" customHeight="1" x14ac:dyDescent="0.2">
      <c r="B374" s="2"/>
      <c r="C374" s="29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2:32" ht="15.75" customHeight="1" x14ac:dyDescent="0.2">
      <c r="B375" s="2"/>
      <c r="C375" s="29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2:32" ht="15.75" customHeight="1" x14ac:dyDescent="0.2">
      <c r="B376" s="2"/>
      <c r="C376" s="29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2:32" ht="15.75" customHeight="1" x14ac:dyDescent="0.2">
      <c r="B377" s="2"/>
      <c r="C377" s="29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2:32" ht="15.75" customHeight="1" x14ac:dyDescent="0.2">
      <c r="B378" s="2"/>
      <c r="C378" s="29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2:32" ht="15.75" customHeight="1" x14ac:dyDescent="0.2">
      <c r="B379" s="2"/>
      <c r="C379" s="29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2:32" ht="15.75" customHeight="1" x14ac:dyDescent="0.2">
      <c r="B380" s="2"/>
      <c r="C380" s="29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2:32" ht="15.75" customHeight="1" x14ac:dyDescent="0.2">
      <c r="B381" s="2"/>
      <c r="C381" s="29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2:32" ht="15.75" customHeight="1" x14ac:dyDescent="0.2">
      <c r="B382" s="2"/>
      <c r="C382" s="29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2:32" ht="15.75" customHeight="1" x14ac:dyDescent="0.2">
      <c r="B383" s="2"/>
      <c r="C383" s="29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2:32" ht="15.75" customHeight="1" x14ac:dyDescent="0.2">
      <c r="B384" s="2"/>
      <c r="C384" s="29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2:32" ht="15.75" customHeight="1" x14ac:dyDescent="0.2">
      <c r="B385" s="2"/>
      <c r="C385" s="29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2:32" ht="15.75" customHeight="1" x14ac:dyDescent="0.2">
      <c r="B386" s="2"/>
      <c r="C386" s="29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2:32" ht="15.75" customHeight="1" x14ac:dyDescent="0.2">
      <c r="B387" s="2"/>
      <c r="C387" s="29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2:32" ht="15.75" customHeight="1" x14ac:dyDescent="0.2">
      <c r="B388" s="2"/>
      <c r="C388" s="29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2:32" ht="15.75" customHeight="1" x14ac:dyDescent="0.2">
      <c r="B389" s="2"/>
      <c r="C389" s="29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2:32" ht="15.75" customHeight="1" x14ac:dyDescent="0.2">
      <c r="B390" s="2"/>
      <c r="C390" s="29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2:32" ht="15.75" customHeight="1" x14ac:dyDescent="0.2">
      <c r="B391" s="2"/>
      <c r="C391" s="29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2:32" ht="15.75" customHeight="1" x14ac:dyDescent="0.2">
      <c r="B392" s="2"/>
      <c r="C392" s="29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2:32" ht="15.75" customHeight="1" x14ac:dyDescent="0.2">
      <c r="B393" s="2"/>
      <c r="C393" s="29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2:32" ht="15.75" customHeight="1" x14ac:dyDescent="0.2">
      <c r="B394" s="2"/>
      <c r="C394" s="29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2:32" ht="15.75" customHeight="1" x14ac:dyDescent="0.2">
      <c r="B395" s="2"/>
      <c r="C395" s="29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2:32" ht="15.75" customHeight="1" x14ac:dyDescent="0.2">
      <c r="B396" s="2"/>
      <c r="C396" s="29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2:32" ht="15.75" customHeight="1" x14ac:dyDescent="0.2">
      <c r="B397" s="2"/>
      <c r="C397" s="29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2:32" ht="15.75" customHeight="1" x14ac:dyDescent="0.2">
      <c r="B398" s="2"/>
      <c r="C398" s="29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2:32" ht="15.75" customHeight="1" x14ac:dyDescent="0.2">
      <c r="B399" s="2"/>
      <c r="C399" s="29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2:32" ht="15.75" customHeight="1" x14ac:dyDescent="0.2">
      <c r="B400" s="2"/>
      <c r="C400" s="29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2:32" ht="15.75" customHeight="1" x14ac:dyDescent="0.2">
      <c r="B401" s="2"/>
      <c r="C401" s="29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2:32" ht="15.75" customHeight="1" x14ac:dyDescent="0.2">
      <c r="B402" s="2"/>
      <c r="C402" s="29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2:32" ht="15.75" customHeight="1" x14ac:dyDescent="0.2">
      <c r="B403" s="2"/>
      <c r="C403" s="29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2:32" ht="15.75" customHeight="1" x14ac:dyDescent="0.2">
      <c r="B404" s="2"/>
      <c r="C404" s="29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2:32" ht="15.75" customHeight="1" x14ac:dyDescent="0.2">
      <c r="B405" s="2"/>
      <c r="C405" s="29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2:32" ht="15.75" customHeight="1" x14ac:dyDescent="0.2">
      <c r="B406" s="2"/>
      <c r="C406" s="29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2:32" ht="15.75" customHeight="1" x14ac:dyDescent="0.2">
      <c r="B407" s="2"/>
      <c r="C407" s="29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2:32" ht="15.75" customHeight="1" x14ac:dyDescent="0.2">
      <c r="B408" s="2"/>
      <c r="C408" s="29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2:32" ht="15.75" customHeight="1" x14ac:dyDescent="0.2">
      <c r="B409" s="2"/>
      <c r="C409" s="29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2:32" ht="15.75" customHeight="1" x14ac:dyDescent="0.2">
      <c r="B410" s="2"/>
      <c r="C410" s="29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2:32" ht="15.75" customHeight="1" x14ac:dyDescent="0.2">
      <c r="B411" s="2"/>
      <c r="C411" s="29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2:32" ht="15.75" customHeight="1" x14ac:dyDescent="0.2">
      <c r="B412" s="2"/>
      <c r="C412" s="29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2:32" ht="15.75" customHeight="1" x14ac:dyDescent="0.2">
      <c r="B413" s="2"/>
      <c r="C413" s="29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2:32" ht="15.75" customHeight="1" x14ac:dyDescent="0.2">
      <c r="B414" s="2"/>
      <c r="C414" s="29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2:32" ht="15.75" customHeight="1" x14ac:dyDescent="0.2">
      <c r="B415" s="2"/>
      <c r="C415" s="29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2:32" ht="15.75" customHeight="1" x14ac:dyDescent="0.2">
      <c r="B416" s="2"/>
      <c r="C416" s="29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2:32" ht="15.75" customHeight="1" x14ac:dyDescent="0.2">
      <c r="B417" s="2"/>
      <c r="C417" s="29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2:32" ht="15.75" customHeight="1" x14ac:dyDescent="0.2">
      <c r="B418" s="2"/>
      <c r="C418" s="29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2:32" ht="15.75" customHeight="1" x14ac:dyDescent="0.2">
      <c r="B419" s="2"/>
      <c r="C419" s="29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2:32" ht="15.75" customHeight="1" x14ac:dyDescent="0.2">
      <c r="B420" s="2"/>
      <c r="C420" s="29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2:32" ht="15.75" customHeight="1" x14ac:dyDescent="0.2">
      <c r="B421" s="2"/>
      <c r="C421" s="29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2:32" ht="15.75" customHeight="1" x14ac:dyDescent="0.2">
      <c r="B422" s="2"/>
      <c r="C422" s="29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2:32" ht="15.75" customHeight="1" x14ac:dyDescent="0.2">
      <c r="B423" s="2"/>
      <c r="C423" s="29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2:32" ht="15.75" customHeight="1" x14ac:dyDescent="0.2">
      <c r="B424" s="2"/>
      <c r="C424" s="29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2:32" ht="15.75" customHeight="1" x14ac:dyDescent="0.2">
      <c r="B425" s="2"/>
      <c r="C425" s="29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2:32" ht="15.75" customHeight="1" x14ac:dyDescent="0.2">
      <c r="B426" s="2"/>
      <c r="C426" s="29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2:32" ht="15.75" customHeight="1" x14ac:dyDescent="0.2">
      <c r="B427" s="2"/>
      <c r="C427" s="29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2:32" ht="15.75" customHeight="1" x14ac:dyDescent="0.2">
      <c r="B428" s="2"/>
      <c r="C428" s="29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2:32" ht="15.75" customHeight="1" x14ac:dyDescent="0.2">
      <c r="B429" s="2"/>
      <c r="C429" s="29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2:32" ht="15.75" customHeight="1" x14ac:dyDescent="0.2">
      <c r="B430" s="2"/>
      <c r="C430" s="29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2:32" ht="15.75" customHeight="1" x14ac:dyDescent="0.2">
      <c r="B431" s="2"/>
      <c r="C431" s="29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2:32" ht="15.75" customHeight="1" x14ac:dyDescent="0.2">
      <c r="B432" s="2"/>
      <c r="C432" s="29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2:32" ht="15.75" customHeight="1" x14ac:dyDescent="0.2">
      <c r="B433" s="2"/>
      <c r="C433" s="29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2:32" ht="15.75" customHeight="1" x14ac:dyDescent="0.2">
      <c r="B434" s="2"/>
      <c r="C434" s="29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2:32" ht="15.75" customHeight="1" x14ac:dyDescent="0.2">
      <c r="B435" s="2"/>
      <c r="C435" s="29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2:32" ht="15.75" customHeight="1" x14ac:dyDescent="0.2">
      <c r="B436" s="2"/>
      <c r="C436" s="29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2:32" ht="15.75" customHeight="1" x14ac:dyDescent="0.2">
      <c r="B437" s="2"/>
      <c r="C437" s="29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2:32" ht="15.75" customHeight="1" x14ac:dyDescent="0.2">
      <c r="B438" s="2"/>
      <c r="C438" s="29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2:32" ht="15.75" customHeight="1" x14ac:dyDescent="0.2">
      <c r="B439" s="2"/>
      <c r="C439" s="29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2:32" ht="15.75" customHeight="1" x14ac:dyDescent="0.2">
      <c r="B440" s="2"/>
      <c r="C440" s="29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2:32" ht="15.75" customHeight="1" x14ac:dyDescent="0.2">
      <c r="B441" s="2"/>
      <c r="C441" s="29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2:32" ht="15.75" customHeight="1" x14ac:dyDescent="0.2">
      <c r="B442" s="2"/>
      <c r="C442" s="29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2:32" ht="15.75" customHeight="1" x14ac:dyDescent="0.2">
      <c r="B443" s="2"/>
      <c r="C443" s="29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2:32" ht="15.75" customHeight="1" x14ac:dyDescent="0.2">
      <c r="B444" s="2"/>
      <c r="C444" s="29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2:32" ht="15.75" customHeight="1" x14ac:dyDescent="0.2">
      <c r="B445" s="2"/>
      <c r="C445" s="29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2:32" ht="15.75" customHeight="1" x14ac:dyDescent="0.2">
      <c r="B446" s="2"/>
      <c r="C446" s="29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2:32" ht="15.75" customHeight="1" x14ac:dyDescent="0.2">
      <c r="B447" s="2"/>
      <c r="C447" s="29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2:32" ht="15.75" customHeight="1" x14ac:dyDescent="0.2">
      <c r="B448" s="2"/>
      <c r="C448" s="29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2:32" ht="15.75" customHeight="1" x14ac:dyDescent="0.2">
      <c r="B449" s="2"/>
      <c r="C449" s="29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2:32" ht="15.75" customHeight="1" x14ac:dyDescent="0.2">
      <c r="B450" s="2"/>
      <c r="C450" s="29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2:32" ht="15.75" customHeight="1" x14ac:dyDescent="0.2">
      <c r="B451" s="2"/>
      <c r="C451" s="29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2:32" ht="15.75" customHeight="1" x14ac:dyDescent="0.2">
      <c r="B452" s="2"/>
      <c r="C452" s="29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2:32" ht="15.75" customHeight="1" x14ac:dyDescent="0.2">
      <c r="B453" s="2"/>
      <c r="C453" s="29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2:32" ht="15.75" customHeight="1" x14ac:dyDescent="0.2">
      <c r="B454" s="2"/>
      <c r="C454" s="29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2:32" ht="15.75" customHeight="1" x14ac:dyDescent="0.2">
      <c r="B455" s="2"/>
      <c r="C455" s="29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2:32" ht="15.75" customHeight="1" x14ac:dyDescent="0.2">
      <c r="B456" s="2"/>
      <c r="C456" s="29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2:32" ht="15.75" customHeight="1" x14ac:dyDescent="0.2">
      <c r="B457" s="2"/>
      <c r="C457" s="29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2:32" ht="15.75" customHeight="1" x14ac:dyDescent="0.2">
      <c r="B458" s="2"/>
      <c r="C458" s="29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2:32" ht="15.75" customHeight="1" x14ac:dyDescent="0.2">
      <c r="B459" s="2"/>
      <c r="C459" s="29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2:32" ht="15.75" customHeight="1" x14ac:dyDescent="0.2">
      <c r="B460" s="2"/>
      <c r="C460" s="29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2:32" ht="15.75" customHeight="1" x14ac:dyDescent="0.2">
      <c r="B461" s="2"/>
      <c r="C461" s="29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2:32" ht="15.75" customHeight="1" x14ac:dyDescent="0.2">
      <c r="B462" s="2"/>
      <c r="C462" s="29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2:32" ht="15.75" customHeight="1" x14ac:dyDescent="0.2">
      <c r="B463" s="2"/>
      <c r="C463" s="29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2:32" ht="15.75" customHeight="1" x14ac:dyDescent="0.2">
      <c r="B464" s="2"/>
      <c r="C464" s="29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2:32" ht="15.75" customHeight="1" x14ac:dyDescent="0.2">
      <c r="B465" s="2"/>
      <c r="C465" s="29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2:32" ht="15.75" customHeight="1" x14ac:dyDescent="0.2">
      <c r="B466" s="2"/>
      <c r="C466" s="29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2:32" ht="15.75" customHeight="1" x14ac:dyDescent="0.2">
      <c r="B467" s="2"/>
      <c r="C467" s="29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2:32" ht="15.75" customHeight="1" x14ac:dyDescent="0.2">
      <c r="B468" s="2"/>
      <c r="C468" s="29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2:32" ht="15.75" customHeight="1" x14ac:dyDescent="0.2">
      <c r="B469" s="2"/>
      <c r="C469" s="29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2:32" ht="15.75" customHeight="1" x14ac:dyDescent="0.2">
      <c r="B470" s="2"/>
      <c r="C470" s="29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2:32" ht="15.75" customHeight="1" x14ac:dyDescent="0.2">
      <c r="B471" s="2"/>
      <c r="C471" s="29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2:32" ht="15.75" customHeight="1" x14ac:dyDescent="0.2">
      <c r="B472" s="2"/>
      <c r="C472" s="29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2:32" ht="15.75" customHeight="1" x14ac:dyDescent="0.2">
      <c r="B473" s="2"/>
      <c r="C473" s="29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2:32" ht="15.75" customHeight="1" x14ac:dyDescent="0.2">
      <c r="B474" s="2"/>
      <c r="C474" s="29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2:32" ht="15.75" customHeight="1" x14ac:dyDescent="0.2">
      <c r="B475" s="2"/>
      <c r="C475" s="29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2:32" ht="15.75" customHeight="1" x14ac:dyDescent="0.2">
      <c r="B476" s="2"/>
      <c r="C476" s="29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2:32" ht="15.75" customHeight="1" x14ac:dyDescent="0.2">
      <c r="B477" s="2"/>
      <c r="C477" s="29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2:32" ht="15.75" customHeight="1" x14ac:dyDescent="0.2">
      <c r="B478" s="2"/>
      <c r="C478" s="29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2:32" ht="15.75" customHeight="1" x14ac:dyDescent="0.2">
      <c r="B479" s="2"/>
      <c r="C479" s="29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2:32" ht="15.75" customHeight="1" x14ac:dyDescent="0.2">
      <c r="B480" s="2"/>
      <c r="C480" s="29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2:32" ht="15.75" customHeight="1" x14ac:dyDescent="0.2">
      <c r="B481" s="2"/>
      <c r="C481" s="29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2:32" ht="15.75" customHeight="1" x14ac:dyDescent="0.2">
      <c r="B482" s="2"/>
      <c r="C482" s="29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2:32" ht="15.75" customHeight="1" x14ac:dyDescent="0.2">
      <c r="B483" s="2"/>
      <c r="C483" s="29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2:32" ht="15.75" customHeight="1" x14ac:dyDescent="0.2">
      <c r="B484" s="2"/>
      <c r="C484" s="29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2:32" ht="15.75" customHeight="1" x14ac:dyDescent="0.2">
      <c r="B485" s="2"/>
      <c r="C485" s="29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2:32" ht="15.75" customHeight="1" x14ac:dyDescent="0.2">
      <c r="B486" s="2"/>
      <c r="C486" s="29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2:32" ht="15.75" customHeight="1" x14ac:dyDescent="0.2">
      <c r="B487" s="2"/>
      <c r="C487" s="29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2:32" ht="15.75" customHeight="1" x14ac:dyDescent="0.2">
      <c r="B488" s="2"/>
      <c r="C488" s="29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2:32" ht="15.75" customHeight="1" x14ac:dyDescent="0.2">
      <c r="B489" s="2"/>
      <c r="C489" s="29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2:32" ht="15.75" customHeight="1" x14ac:dyDescent="0.2">
      <c r="B490" s="2"/>
      <c r="C490" s="29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2:32" ht="15.75" customHeight="1" x14ac:dyDescent="0.2">
      <c r="B491" s="2"/>
      <c r="C491" s="29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2:32" ht="15.75" customHeight="1" x14ac:dyDescent="0.2">
      <c r="B492" s="2"/>
      <c r="C492" s="29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2:32" ht="15.75" customHeight="1" x14ac:dyDescent="0.2">
      <c r="B493" s="2"/>
      <c r="C493" s="29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2:32" ht="15.75" customHeight="1" x14ac:dyDescent="0.2">
      <c r="B494" s="2"/>
      <c r="C494" s="29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2:32" ht="15.75" customHeight="1" x14ac:dyDescent="0.2">
      <c r="B495" s="2"/>
      <c r="C495" s="29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2:32" ht="15.75" customHeight="1" x14ac:dyDescent="0.2">
      <c r="B496" s="2"/>
      <c r="C496" s="29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2:32" ht="15.75" customHeight="1" x14ac:dyDescent="0.2">
      <c r="B497" s="2"/>
      <c r="C497" s="29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2:32" ht="15.75" customHeight="1" x14ac:dyDescent="0.2">
      <c r="B498" s="2"/>
      <c r="C498" s="29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2:32" ht="15.75" customHeight="1" x14ac:dyDescent="0.2">
      <c r="B499" s="2"/>
      <c r="C499" s="29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2:32" ht="15.75" customHeight="1" x14ac:dyDescent="0.2">
      <c r="B500" s="2"/>
      <c r="C500" s="29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2:32" ht="15.75" customHeight="1" x14ac:dyDescent="0.2">
      <c r="B501" s="2"/>
      <c r="C501" s="29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2:32" ht="15.75" customHeight="1" x14ac:dyDescent="0.2">
      <c r="B502" s="2"/>
      <c r="C502" s="29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2:32" ht="15.75" customHeight="1" x14ac:dyDescent="0.2">
      <c r="B503" s="2"/>
      <c r="C503" s="29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2:32" ht="15.75" customHeight="1" x14ac:dyDescent="0.2">
      <c r="B504" s="2"/>
      <c r="C504" s="29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2:32" ht="15.75" customHeight="1" x14ac:dyDescent="0.2">
      <c r="B505" s="2"/>
      <c r="C505" s="29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2:32" ht="15.75" customHeight="1" x14ac:dyDescent="0.2">
      <c r="B506" s="2"/>
      <c r="C506" s="29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2:32" ht="15.75" customHeight="1" x14ac:dyDescent="0.2">
      <c r="B507" s="2"/>
      <c r="C507" s="29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2:32" ht="15.75" customHeight="1" x14ac:dyDescent="0.2">
      <c r="B508" s="2"/>
      <c r="C508" s="29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2:32" ht="15.75" customHeight="1" x14ac:dyDescent="0.2">
      <c r="B509" s="2"/>
      <c r="C509" s="29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2:32" ht="15.75" customHeight="1" x14ac:dyDescent="0.2">
      <c r="B510" s="2"/>
      <c r="C510" s="29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2:32" ht="15.75" customHeight="1" x14ac:dyDescent="0.2">
      <c r="B511" s="2"/>
      <c r="C511" s="29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2:32" ht="15.75" customHeight="1" x14ac:dyDescent="0.2">
      <c r="B512" s="2"/>
      <c r="C512" s="29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2:32" ht="15.75" customHeight="1" x14ac:dyDescent="0.2">
      <c r="B513" s="2"/>
      <c r="C513" s="29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2:32" ht="15.75" customHeight="1" x14ac:dyDescent="0.2">
      <c r="B514" s="2"/>
      <c r="C514" s="29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2:32" ht="15.75" customHeight="1" x14ac:dyDescent="0.2">
      <c r="B515" s="2"/>
      <c r="C515" s="29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2:32" ht="15.75" customHeight="1" x14ac:dyDescent="0.2">
      <c r="B516" s="2"/>
      <c r="C516" s="29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2:32" ht="15.75" customHeight="1" x14ac:dyDescent="0.2">
      <c r="B517" s="2"/>
      <c r="C517" s="29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2:32" ht="15.75" customHeight="1" x14ac:dyDescent="0.2">
      <c r="B518" s="2"/>
      <c r="C518" s="29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2:32" ht="15.75" customHeight="1" x14ac:dyDescent="0.2">
      <c r="B519" s="2"/>
      <c r="C519" s="29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2:32" ht="15.75" customHeight="1" x14ac:dyDescent="0.2">
      <c r="B520" s="2"/>
      <c r="C520" s="29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2:32" ht="15.75" customHeight="1" x14ac:dyDescent="0.2">
      <c r="B521" s="2"/>
      <c r="C521" s="29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2:32" ht="15.75" customHeight="1" x14ac:dyDescent="0.2">
      <c r="B522" s="2"/>
      <c r="C522" s="29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2:32" ht="15.75" customHeight="1" x14ac:dyDescent="0.2">
      <c r="B523" s="2"/>
      <c r="C523" s="29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2:32" ht="15.75" customHeight="1" x14ac:dyDescent="0.2">
      <c r="B524" s="2"/>
      <c r="C524" s="29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2:32" ht="15.75" customHeight="1" x14ac:dyDescent="0.2">
      <c r="B525" s="2"/>
      <c r="C525" s="29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2:32" ht="15.75" customHeight="1" x14ac:dyDescent="0.2">
      <c r="B526" s="2"/>
      <c r="C526" s="29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2:32" ht="15.75" customHeight="1" x14ac:dyDescent="0.2">
      <c r="B527" s="2"/>
      <c r="C527" s="29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2:32" ht="15.75" customHeight="1" x14ac:dyDescent="0.2">
      <c r="B528" s="2"/>
      <c r="C528" s="29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2:32" ht="15.75" customHeight="1" x14ac:dyDescent="0.2">
      <c r="B529" s="2"/>
      <c r="C529" s="29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2:32" ht="15.75" customHeight="1" x14ac:dyDescent="0.2">
      <c r="B530" s="2"/>
      <c r="C530" s="29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2:32" ht="15.75" customHeight="1" x14ac:dyDescent="0.2">
      <c r="B531" s="2"/>
      <c r="C531" s="29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2:32" ht="15.75" customHeight="1" x14ac:dyDescent="0.2">
      <c r="B532" s="2"/>
      <c r="C532" s="29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2:32" ht="15.75" customHeight="1" x14ac:dyDescent="0.2">
      <c r="B533" s="2"/>
      <c r="C533" s="29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2:32" ht="15.75" customHeight="1" x14ac:dyDescent="0.2">
      <c r="B534" s="2"/>
      <c r="C534" s="29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2:32" ht="15.75" customHeight="1" x14ac:dyDescent="0.2">
      <c r="B535" s="2"/>
      <c r="C535" s="29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2:32" ht="15.75" customHeight="1" x14ac:dyDescent="0.2">
      <c r="B536" s="2"/>
      <c r="C536" s="29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2:32" ht="15.75" customHeight="1" x14ac:dyDescent="0.2">
      <c r="B537" s="2"/>
      <c r="C537" s="29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2:32" ht="15.75" customHeight="1" x14ac:dyDescent="0.2">
      <c r="B538" s="2"/>
      <c r="C538" s="29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2:32" ht="15.75" customHeight="1" x14ac:dyDescent="0.2">
      <c r="B539" s="2"/>
      <c r="C539" s="29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2:32" ht="15.75" customHeight="1" x14ac:dyDescent="0.2">
      <c r="B540" s="2"/>
      <c r="C540" s="29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2:32" ht="15.75" customHeight="1" x14ac:dyDescent="0.2">
      <c r="B541" s="2"/>
      <c r="C541" s="29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2:32" ht="15.75" customHeight="1" x14ac:dyDescent="0.2">
      <c r="B542" s="2"/>
      <c r="C542" s="29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2:32" ht="15.75" customHeight="1" x14ac:dyDescent="0.2">
      <c r="B543" s="2"/>
      <c r="C543" s="29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2:32" ht="15.75" customHeight="1" x14ac:dyDescent="0.2">
      <c r="B544" s="2"/>
      <c r="C544" s="29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2:32" ht="15.75" customHeight="1" x14ac:dyDescent="0.2">
      <c r="B545" s="2"/>
      <c r="C545" s="29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2:32" ht="15.75" customHeight="1" x14ac:dyDescent="0.2">
      <c r="B546" s="2"/>
      <c r="C546" s="29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2:32" ht="15.75" customHeight="1" x14ac:dyDescent="0.2">
      <c r="B547" s="2"/>
      <c r="C547" s="29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2:32" ht="15.75" customHeight="1" x14ac:dyDescent="0.2">
      <c r="B548" s="2"/>
      <c r="C548" s="29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2:32" ht="15.75" customHeight="1" x14ac:dyDescent="0.2">
      <c r="B549" s="2"/>
      <c r="C549" s="29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2:32" ht="15.75" customHeight="1" x14ac:dyDescent="0.2">
      <c r="B550" s="2"/>
      <c r="C550" s="29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2:32" ht="15.75" customHeight="1" x14ac:dyDescent="0.2">
      <c r="B551" s="2"/>
      <c r="C551" s="29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2:32" ht="15.75" customHeight="1" x14ac:dyDescent="0.2">
      <c r="B552" s="2"/>
      <c r="C552" s="29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2:32" ht="15.75" customHeight="1" x14ac:dyDescent="0.2">
      <c r="B553" s="2"/>
      <c r="C553" s="29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2:32" ht="15.75" customHeight="1" x14ac:dyDescent="0.2">
      <c r="B554" s="2"/>
      <c r="C554" s="29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2:32" ht="15.75" customHeight="1" x14ac:dyDescent="0.2">
      <c r="B555" s="2"/>
      <c r="C555" s="29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2:32" ht="15.75" customHeight="1" x14ac:dyDescent="0.2">
      <c r="B556" s="2"/>
      <c r="C556" s="29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2:32" ht="15.75" customHeight="1" x14ac:dyDescent="0.2">
      <c r="B557" s="2"/>
      <c r="C557" s="29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2:32" ht="15.75" customHeight="1" x14ac:dyDescent="0.2">
      <c r="B558" s="2"/>
      <c r="C558" s="29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2:32" ht="15.75" customHeight="1" x14ac:dyDescent="0.2">
      <c r="B559" s="2"/>
      <c r="C559" s="29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2:32" ht="15.75" customHeight="1" x14ac:dyDescent="0.2">
      <c r="B560" s="2"/>
      <c r="C560" s="29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2:32" ht="15.75" customHeight="1" x14ac:dyDescent="0.2">
      <c r="B561" s="2"/>
      <c r="C561" s="29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2:32" ht="15.75" customHeight="1" x14ac:dyDescent="0.2">
      <c r="B562" s="2"/>
      <c r="C562" s="29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2:32" ht="15.75" customHeight="1" x14ac:dyDescent="0.2">
      <c r="B563" s="2"/>
      <c r="C563" s="29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2:32" ht="15.75" customHeight="1" x14ac:dyDescent="0.2">
      <c r="B564" s="2"/>
      <c r="C564" s="29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2:32" ht="15.75" customHeight="1" x14ac:dyDescent="0.2">
      <c r="B565" s="2"/>
      <c r="C565" s="29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2:32" ht="15.75" customHeight="1" x14ac:dyDescent="0.2">
      <c r="B566" s="2"/>
      <c r="C566" s="29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2:32" ht="15.75" customHeight="1" x14ac:dyDescent="0.2">
      <c r="B567" s="2"/>
      <c r="C567" s="29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2:32" ht="15.75" customHeight="1" x14ac:dyDescent="0.2">
      <c r="B568" s="2"/>
      <c r="C568" s="29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2:32" ht="15.75" customHeight="1" x14ac:dyDescent="0.2">
      <c r="B569" s="2"/>
      <c r="C569" s="29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2:32" ht="15.75" customHeight="1" x14ac:dyDescent="0.2">
      <c r="B570" s="2"/>
      <c r="C570" s="29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2:32" ht="15.75" customHeight="1" x14ac:dyDescent="0.2">
      <c r="B571" s="2"/>
      <c r="C571" s="29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2:32" ht="15.75" customHeight="1" x14ac:dyDescent="0.2">
      <c r="B572" s="2"/>
      <c r="C572" s="29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2:32" ht="15.75" customHeight="1" x14ac:dyDescent="0.2">
      <c r="B573" s="2"/>
      <c r="C573" s="29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2:32" ht="15.75" customHeight="1" x14ac:dyDescent="0.2">
      <c r="B574" s="2"/>
      <c r="C574" s="29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2:32" ht="15.75" customHeight="1" x14ac:dyDescent="0.2">
      <c r="B575" s="2"/>
      <c r="C575" s="29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2:32" ht="15.75" customHeight="1" x14ac:dyDescent="0.2">
      <c r="B576" s="2"/>
      <c r="C576" s="29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2:32" ht="15.75" customHeight="1" x14ac:dyDescent="0.2">
      <c r="B577" s="2"/>
      <c r="C577" s="29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2:32" ht="15.75" customHeight="1" x14ac:dyDescent="0.2">
      <c r="B578" s="2"/>
      <c r="C578" s="29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2:32" ht="15.75" customHeight="1" x14ac:dyDescent="0.2">
      <c r="B579" s="2"/>
      <c r="C579" s="29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2:32" ht="15.75" customHeight="1" x14ac:dyDescent="0.2">
      <c r="B580" s="2"/>
      <c r="C580" s="29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2:32" ht="15.75" customHeight="1" x14ac:dyDescent="0.2">
      <c r="B581" s="2"/>
      <c r="C581" s="29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2:32" ht="15.75" customHeight="1" x14ac:dyDescent="0.2">
      <c r="B582" s="2"/>
      <c r="C582" s="29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2:32" ht="15.75" customHeight="1" x14ac:dyDescent="0.2">
      <c r="B583" s="2"/>
      <c r="C583" s="29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2:32" ht="15.75" customHeight="1" x14ac:dyDescent="0.2">
      <c r="B584" s="2"/>
      <c r="C584" s="29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2:32" ht="15.75" customHeight="1" x14ac:dyDescent="0.2">
      <c r="B585" s="2"/>
      <c r="C585" s="29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2:32" ht="15.75" customHeight="1" x14ac:dyDescent="0.2">
      <c r="B586" s="2"/>
      <c r="C586" s="29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2:32" ht="15.75" customHeight="1" x14ac:dyDescent="0.2">
      <c r="B587" s="2"/>
      <c r="C587" s="29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2:32" ht="15.75" customHeight="1" x14ac:dyDescent="0.2">
      <c r="B588" s="2"/>
      <c r="C588" s="29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2:32" ht="15.75" customHeight="1" x14ac:dyDescent="0.2">
      <c r="B589" s="2"/>
      <c r="C589" s="29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2:32" ht="15.75" customHeight="1" x14ac:dyDescent="0.2">
      <c r="B590" s="2"/>
      <c r="C590" s="29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2:32" ht="15.75" customHeight="1" x14ac:dyDescent="0.2">
      <c r="B591" s="2"/>
      <c r="C591" s="29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2:32" ht="15.75" customHeight="1" x14ac:dyDescent="0.2">
      <c r="B592" s="2"/>
      <c r="C592" s="29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2:32" ht="15.75" customHeight="1" x14ac:dyDescent="0.2">
      <c r="B593" s="2"/>
      <c r="C593" s="29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2:32" ht="15.75" customHeight="1" x14ac:dyDescent="0.2">
      <c r="B594" s="2"/>
      <c r="C594" s="29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2:32" ht="15.75" customHeight="1" x14ac:dyDescent="0.2">
      <c r="B595" s="2"/>
      <c r="C595" s="29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2:32" ht="15.75" customHeight="1" x14ac:dyDescent="0.2">
      <c r="B596" s="2"/>
      <c r="C596" s="29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2:32" ht="15.75" customHeight="1" x14ac:dyDescent="0.2">
      <c r="B597" s="2"/>
      <c r="C597" s="29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2:32" ht="15.75" customHeight="1" x14ac:dyDescent="0.2">
      <c r="B598" s="2"/>
      <c r="C598" s="29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2:32" ht="15.75" customHeight="1" x14ac:dyDescent="0.2">
      <c r="B599" s="2"/>
      <c r="C599" s="29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2:32" ht="15.75" customHeight="1" x14ac:dyDescent="0.2">
      <c r="B600" s="2"/>
      <c r="C600" s="29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2:32" ht="15.75" customHeight="1" x14ac:dyDescent="0.2">
      <c r="B601" s="2"/>
      <c r="C601" s="29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2:32" ht="15.75" customHeight="1" x14ac:dyDescent="0.2">
      <c r="B602" s="2"/>
      <c r="C602" s="29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2:32" ht="15.75" customHeight="1" x14ac:dyDescent="0.2">
      <c r="B603" s="2"/>
      <c r="C603" s="29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2:32" ht="15.75" customHeight="1" x14ac:dyDescent="0.2">
      <c r="B604" s="2"/>
      <c r="C604" s="29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2:32" ht="15.75" customHeight="1" x14ac:dyDescent="0.2">
      <c r="B605" s="2"/>
      <c r="C605" s="29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2:32" ht="15.75" customHeight="1" x14ac:dyDescent="0.2">
      <c r="B606" s="2"/>
      <c r="C606" s="29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2:32" ht="15.75" customHeight="1" x14ac:dyDescent="0.2">
      <c r="B607" s="2"/>
      <c r="C607" s="29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2:32" ht="15.75" customHeight="1" x14ac:dyDescent="0.2">
      <c r="B608" s="2"/>
      <c r="C608" s="29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2:32" ht="15.75" customHeight="1" x14ac:dyDescent="0.2">
      <c r="B609" s="2"/>
      <c r="C609" s="29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2:32" ht="15.75" customHeight="1" x14ac:dyDescent="0.2">
      <c r="B610" s="2"/>
      <c r="C610" s="29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2:32" ht="15.75" customHeight="1" x14ac:dyDescent="0.2">
      <c r="B611" s="2"/>
      <c r="C611" s="29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2:32" ht="15.75" customHeight="1" x14ac:dyDescent="0.2">
      <c r="B612" s="2"/>
      <c r="C612" s="29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2:32" ht="15.75" customHeight="1" x14ac:dyDescent="0.2">
      <c r="B613" s="2"/>
      <c r="C613" s="29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2:32" ht="15.75" customHeight="1" x14ac:dyDescent="0.2">
      <c r="B614" s="2"/>
      <c r="C614" s="29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2:32" ht="15.75" customHeight="1" x14ac:dyDescent="0.2">
      <c r="B615" s="2"/>
      <c r="C615" s="29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2:32" ht="15.75" customHeight="1" x14ac:dyDescent="0.2">
      <c r="B616" s="2"/>
      <c r="C616" s="29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2:32" ht="15.75" customHeight="1" x14ac:dyDescent="0.2">
      <c r="B617" s="2"/>
      <c r="C617" s="29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2:32" ht="15.75" customHeight="1" x14ac:dyDescent="0.2">
      <c r="B618" s="2"/>
      <c r="C618" s="29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2:32" ht="15.75" customHeight="1" x14ac:dyDescent="0.2">
      <c r="B619" s="2"/>
      <c r="C619" s="29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2:32" ht="15.75" customHeight="1" x14ac:dyDescent="0.2">
      <c r="B620" s="2"/>
      <c r="C620" s="29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2:32" ht="15.75" customHeight="1" x14ac:dyDescent="0.2">
      <c r="B621" s="2"/>
      <c r="C621" s="29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2:32" ht="15.75" customHeight="1" x14ac:dyDescent="0.2">
      <c r="B622" s="2"/>
      <c r="C622" s="29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2:32" ht="15.75" customHeight="1" x14ac:dyDescent="0.2">
      <c r="B623" s="2"/>
      <c r="C623" s="29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2:32" ht="15.75" customHeight="1" x14ac:dyDescent="0.2">
      <c r="B624" s="2"/>
      <c r="C624" s="29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2:32" ht="15.75" customHeight="1" x14ac:dyDescent="0.2">
      <c r="B625" s="2"/>
      <c r="C625" s="29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2:32" ht="15.75" customHeight="1" x14ac:dyDescent="0.2">
      <c r="B626" s="2"/>
      <c r="C626" s="29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2:32" ht="15.75" customHeight="1" x14ac:dyDescent="0.2">
      <c r="B627" s="2"/>
      <c r="C627" s="29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2:32" ht="15.75" customHeight="1" x14ac:dyDescent="0.2">
      <c r="B628" s="2"/>
      <c r="C628" s="29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2:32" ht="15.75" customHeight="1" x14ac:dyDescent="0.2">
      <c r="B629" s="2"/>
      <c r="C629" s="29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2:32" ht="15.75" customHeight="1" x14ac:dyDescent="0.2">
      <c r="B630" s="2"/>
      <c r="C630" s="29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2:32" ht="15.75" customHeight="1" x14ac:dyDescent="0.2">
      <c r="B631" s="2"/>
      <c r="C631" s="29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2:32" ht="15.75" customHeight="1" x14ac:dyDescent="0.2">
      <c r="B632" s="2"/>
      <c r="C632" s="29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2:32" ht="15.75" customHeight="1" x14ac:dyDescent="0.2">
      <c r="B633" s="2"/>
      <c r="C633" s="29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2:32" ht="15.75" customHeight="1" x14ac:dyDescent="0.2">
      <c r="B634" s="2"/>
      <c r="C634" s="29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2:32" ht="15.75" customHeight="1" x14ac:dyDescent="0.2">
      <c r="B635" s="2"/>
      <c r="C635" s="29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2:32" ht="15.75" customHeight="1" x14ac:dyDescent="0.2">
      <c r="B636" s="2"/>
      <c r="C636" s="29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2:32" ht="15.75" customHeight="1" x14ac:dyDescent="0.2">
      <c r="B637" s="2"/>
      <c r="C637" s="29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2:32" ht="15.75" customHeight="1" x14ac:dyDescent="0.2">
      <c r="B638" s="2"/>
      <c r="C638" s="29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2:32" ht="15.75" customHeight="1" x14ac:dyDescent="0.2">
      <c r="B639" s="2"/>
      <c r="C639" s="29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2:32" ht="15.75" customHeight="1" x14ac:dyDescent="0.2">
      <c r="B640" s="2"/>
      <c r="C640" s="29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2:32" ht="15.75" customHeight="1" x14ac:dyDescent="0.2">
      <c r="B641" s="2"/>
      <c r="C641" s="29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2:32" ht="15.75" customHeight="1" x14ac:dyDescent="0.2">
      <c r="B642" s="2"/>
      <c r="C642" s="29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2:32" ht="15.75" customHeight="1" x14ac:dyDescent="0.2"/>
    <row r="644" spans="2:32" ht="15.75" customHeight="1" x14ac:dyDescent="0.2"/>
    <row r="645" spans="2:32" ht="15.75" customHeight="1" x14ac:dyDescent="0.2"/>
    <row r="646" spans="2:32" ht="15.75" customHeight="1" x14ac:dyDescent="0.2"/>
    <row r="647" spans="2:32" ht="15.75" customHeight="1" x14ac:dyDescent="0.2"/>
    <row r="648" spans="2:32" ht="15.75" customHeight="1" x14ac:dyDescent="0.2"/>
    <row r="649" spans="2:32" ht="15.75" customHeight="1" x14ac:dyDescent="0.2"/>
    <row r="650" spans="2:32" ht="15.75" customHeight="1" x14ac:dyDescent="0.2"/>
    <row r="651" spans="2:32" ht="15.75" customHeight="1" x14ac:dyDescent="0.2"/>
    <row r="652" spans="2:32" ht="15.75" customHeight="1" x14ac:dyDescent="0.2"/>
    <row r="653" spans="2:32" ht="15.75" customHeight="1" x14ac:dyDescent="0.2"/>
    <row r="654" spans="2:32" ht="15.75" customHeight="1" x14ac:dyDescent="0.2"/>
    <row r="655" spans="2:32" ht="15.75" customHeight="1" x14ac:dyDescent="0.2"/>
    <row r="656" spans="2:32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</sheetData>
  <mergeCells count="2">
    <mergeCell ref="A4:C4"/>
    <mergeCell ref="A5:C5"/>
  </mergeCells>
  <phoneticPr fontId="13" type="noConversion"/>
  <pageMargins left="0.72" right="0.15748031496062992" top="0.15748031496062992" bottom="0.15748031496062992" header="0.15748031496062992" footer="0.1574803149606299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95"/>
  <sheetViews>
    <sheetView topLeftCell="A89" zoomScaleNormal="100" zoomScaleSheetLayoutView="90" workbookViewId="0">
      <selection activeCell="E84" sqref="E84"/>
    </sheetView>
  </sheetViews>
  <sheetFormatPr defaultRowHeight="12.75" x14ac:dyDescent="0.2"/>
  <cols>
    <col min="1" max="1" width="6.28515625" style="2" customWidth="1"/>
    <col min="2" max="2" width="100.28515625" customWidth="1"/>
    <col min="3" max="3" width="16.5703125" style="37" customWidth="1"/>
    <col min="4" max="6" width="9.140625" customWidth="1"/>
  </cols>
  <sheetData>
    <row r="1" spans="1:3" ht="13.5" customHeight="1" x14ac:dyDescent="0.3">
      <c r="A1" s="55"/>
      <c r="B1" s="34"/>
      <c r="C1" s="181" t="s">
        <v>905</v>
      </c>
    </row>
    <row r="2" spans="1:3" ht="15.75" customHeight="1" x14ac:dyDescent="0.3">
      <c r="A2" s="55"/>
      <c r="B2" s="34"/>
      <c r="C2" s="181" t="str">
        <f>'1.Bev-kiad.'!C2</f>
        <v>a /2023.() önkormányzati rendelethez</v>
      </c>
    </row>
    <row r="3" spans="1:3" ht="13.5" customHeight="1" x14ac:dyDescent="0.3">
      <c r="A3" s="55"/>
      <c r="B3" s="34"/>
    </row>
    <row r="4" spans="1:3" ht="16.5" customHeight="1" x14ac:dyDescent="0.35">
      <c r="A4" s="742" t="s">
        <v>27</v>
      </c>
      <c r="B4" s="742"/>
      <c r="C4" s="742"/>
    </row>
    <row r="5" spans="1:3" ht="19.5" x14ac:dyDescent="0.35">
      <c r="A5" s="742" t="s">
        <v>1298</v>
      </c>
      <c r="B5" s="742"/>
      <c r="C5" s="742"/>
    </row>
    <row r="6" spans="1:3" ht="13.5" thickBot="1" x14ac:dyDescent="0.25">
      <c r="A6" s="55"/>
      <c r="B6" s="1"/>
      <c r="C6" s="181" t="s">
        <v>0</v>
      </c>
    </row>
    <row r="7" spans="1:3" ht="54.75" customHeight="1" thickBot="1" x14ac:dyDescent="0.25">
      <c r="A7" s="217" t="s">
        <v>118</v>
      </c>
      <c r="B7" s="45" t="s">
        <v>208</v>
      </c>
      <c r="C7" s="45" t="str">
        <f>'1.Bev-kiad.'!C7</f>
        <v>2023. évi eredeti előirányzat</v>
      </c>
    </row>
    <row r="8" spans="1:3" ht="17.25" customHeight="1" x14ac:dyDescent="0.2">
      <c r="A8" s="147" t="s">
        <v>354</v>
      </c>
      <c r="B8" s="226" t="s">
        <v>349</v>
      </c>
      <c r="C8" s="173">
        <f>SUM(C9+C68+C81+C93)</f>
        <v>1237179</v>
      </c>
    </row>
    <row r="9" spans="1:3" ht="18" customHeight="1" x14ac:dyDescent="0.25">
      <c r="A9" s="8" t="s">
        <v>120</v>
      </c>
      <c r="B9" s="23" t="s">
        <v>875</v>
      </c>
      <c r="C9" s="159">
        <f>C10+C57</f>
        <v>594154</v>
      </c>
    </row>
    <row r="10" spans="1:3" ht="13.5" customHeight="1" x14ac:dyDescent="0.2">
      <c r="A10" s="8" t="s">
        <v>121</v>
      </c>
      <c r="B10" s="14" t="s">
        <v>939</v>
      </c>
      <c r="C10" s="5">
        <f>C11+C24+C25+C35+C41+C44+C56</f>
        <v>536052</v>
      </c>
    </row>
    <row r="11" spans="1:3" ht="13.5" customHeight="1" x14ac:dyDescent="0.2">
      <c r="A11" s="8" t="s">
        <v>210</v>
      </c>
      <c r="B11" s="271" t="s">
        <v>940</v>
      </c>
      <c r="C11" s="5">
        <f>C12+C20+C21+C23+C22</f>
        <v>215938</v>
      </c>
    </row>
    <row r="12" spans="1:3" ht="13.5" customHeight="1" x14ac:dyDescent="0.2">
      <c r="A12" s="8"/>
      <c r="B12" s="151" t="s">
        <v>941</v>
      </c>
      <c r="C12" s="13">
        <f>SUM(C13:C19)</f>
        <v>183418</v>
      </c>
    </row>
    <row r="13" spans="1:3" ht="13.5" customHeight="1" x14ac:dyDescent="0.2">
      <c r="A13" s="8"/>
      <c r="B13" s="151" t="s">
        <v>942</v>
      </c>
      <c r="C13" s="72">
        <f>133919</f>
        <v>133919</v>
      </c>
    </row>
    <row r="14" spans="1:3" x14ac:dyDescent="0.2">
      <c r="A14" s="8"/>
      <c r="B14" s="151" t="s">
        <v>977</v>
      </c>
      <c r="C14" s="72">
        <f>8988</f>
        <v>8988</v>
      </c>
    </row>
    <row r="15" spans="1:3" ht="13.5" customHeight="1" x14ac:dyDescent="0.2">
      <c r="A15" s="8"/>
      <c r="B15" s="151" t="s">
        <v>943</v>
      </c>
      <c r="C15" s="72">
        <f>23852</f>
        <v>23852</v>
      </c>
    </row>
    <row r="16" spans="1:3" ht="13.5" customHeight="1" x14ac:dyDescent="0.2">
      <c r="A16" s="8"/>
      <c r="B16" s="151" t="s">
        <v>978</v>
      </c>
      <c r="C16" s="72">
        <f>100</f>
        <v>100</v>
      </c>
    </row>
    <row r="17" spans="1:3" ht="13.5" customHeight="1" x14ac:dyDescent="0.2">
      <c r="A17" s="8"/>
      <c r="B17" s="151" t="s">
        <v>979</v>
      </c>
      <c r="C17" s="72">
        <f>8059</f>
        <v>8059</v>
      </c>
    </row>
    <row r="18" spans="1:3" ht="12.75" customHeight="1" x14ac:dyDescent="0.2">
      <c r="A18" s="8"/>
      <c r="B18" s="151" t="s">
        <v>944</v>
      </c>
      <c r="C18" s="72">
        <f>8500</f>
        <v>8500</v>
      </c>
    </row>
    <row r="19" spans="1:3" ht="12.75" customHeight="1" x14ac:dyDescent="0.2">
      <c r="A19" s="8"/>
      <c r="B19" s="151" t="s">
        <v>945</v>
      </c>
      <c r="C19" s="13">
        <v>0</v>
      </c>
    </row>
    <row r="20" spans="1:3" x14ac:dyDescent="0.2">
      <c r="A20" s="8"/>
      <c r="B20" s="151" t="s">
        <v>946</v>
      </c>
      <c r="C20" s="13">
        <v>0</v>
      </c>
    </row>
    <row r="21" spans="1:3" x14ac:dyDescent="0.2">
      <c r="A21" s="8"/>
      <c r="B21" s="151" t="s">
        <v>947</v>
      </c>
      <c r="C21" s="13">
        <v>0</v>
      </c>
    </row>
    <row r="22" spans="1:3" x14ac:dyDescent="0.2">
      <c r="A22" s="8"/>
      <c r="B22" s="151" t="s">
        <v>1352</v>
      </c>
      <c r="C22" s="13">
        <v>3610</v>
      </c>
    </row>
    <row r="23" spans="1:3" x14ac:dyDescent="0.2">
      <c r="A23" s="8"/>
      <c r="B23" s="151" t="s">
        <v>1358</v>
      </c>
      <c r="C23" s="13">
        <v>28910</v>
      </c>
    </row>
    <row r="24" spans="1:3" ht="13.5" customHeight="1" x14ac:dyDescent="0.2">
      <c r="A24" s="8" t="s">
        <v>211</v>
      </c>
      <c r="B24" s="14" t="s">
        <v>948</v>
      </c>
      <c r="C24" s="5">
        <f>104531</f>
        <v>104531</v>
      </c>
    </row>
    <row r="25" spans="1:3" ht="13.5" customHeight="1" x14ac:dyDescent="0.2">
      <c r="A25" s="8" t="s">
        <v>212</v>
      </c>
      <c r="B25" s="14" t="s">
        <v>949</v>
      </c>
      <c r="C25" s="5">
        <f>C26+C27+C34</f>
        <v>100962</v>
      </c>
    </row>
    <row r="26" spans="1:3" ht="13.5" customHeight="1" x14ac:dyDescent="0.2">
      <c r="A26" s="8"/>
      <c r="B26" s="151" t="s">
        <v>950</v>
      </c>
      <c r="C26" s="13">
        <v>4402</v>
      </c>
    </row>
    <row r="27" spans="1:3" ht="13.5" customHeight="1" x14ac:dyDescent="0.2">
      <c r="A27" s="8"/>
      <c r="B27" s="151" t="s">
        <v>951</v>
      </c>
      <c r="C27" s="13">
        <f>C28+C29+C31+C33</f>
        <v>96560</v>
      </c>
    </row>
    <row r="28" spans="1:3" ht="13.5" customHeight="1" x14ac:dyDescent="0.2">
      <c r="A28" s="8"/>
      <c r="B28" s="151" t="s">
        <v>952</v>
      </c>
      <c r="C28" s="13">
        <f>18464</f>
        <v>18464</v>
      </c>
    </row>
    <row r="29" spans="1:3" ht="13.5" customHeight="1" x14ac:dyDescent="0.2">
      <c r="A29" s="8"/>
      <c r="B29" s="151" t="s">
        <v>953</v>
      </c>
      <c r="C29" s="13">
        <f>C30</f>
        <v>8857</v>
      </c>
    </row>
    <row r="30" spans="1:3" ht="13.5" customHeight="1" x14ac:dyDescent="0.2">
      <c r="A30" s="8"/>
      <c r="B30" s="151" t="s">
        <v>976</v>
      </c>
      <c r="C30" s="13">
        <f>8857</f>
        <v>8857</v>
      </c>
    </row>
    <row r="31" spans="1:3" ht="13.5" customHeight="1" x14ac:dyDescent="0.2">
      <c r="A31" s="8"/>
      <c r="B31" s="151" t="s">
        <v>954</v>
      </c>
      <c r="C31" s="13">
        <f>C32</f>
        <v>69239</v>
      </c>
    </row>
    <row r="32" spans="1:3" ht="13.5" customHeight="1" x14ac:dyDescent="0.2">
      <c r="A32" s="8"/>
      <c r="B32" s="151" t="s">
        <v>955</v>
      </c>
      <c r="C32" s="13">
        <f>69239</f>
        <v>69239</v>
      </c>
    </row>
    <row r="33" spans="1:3" ht="13.5" customHeight="1" x14ac:dyDescent="0.2">
      <c r="A33" s="8"/>
      <c r="B33" s="151" t="s">
        <v>956</v>
      </c>
      <c r="C33" s="13">
        <v>0</v>
      </c>
    </row>
    <row r="34" spans="1:3" ht="13.5" customHeight="1" x14ac:dyDescent="0.2">
      <c r="A34" s="8"/>
      <c r="B34" s="151" t="s">
        <v>1053</v>
      </c>
      <c r="C34" s="13">
        <v>0</v>
      </c>
    </row>
    <row r="35" spans="1:3" ht="13.5" customHeight="1" x14ac:dyDescent="0.2">
      <c r="A35" s="8"/>
      <c r="B35" s="271" t="s">
        <v>957</v>
      </c>
      <c r="C35" s="5">
        <f>C36+C39+C40</f>
        <v>69351</v>
      </c>
    </row>
    <row r="36" spans="1:3" ht="13.5" customHeight="1" x14ac:dyDescent="0.2">
      <c r="A36" s="8"/>
      <c r="B36" s="151" t="s">
        <v>958</v>
      </c>
      <c r="C36" s="13">
        <f>C37+C38</f>
        <v>69351</v>
      </c>
    </row>
    <row r="37" spans="1:3" ht="13.5" customHeight="1" x14ac:dyDescent="0.2">
      <c r="A37" s="8"/>
      <c r="B37" s="151" t="s">
        <v>959</v>
      </c>
      <c r="C37" s="13">
        <v>27543</v>
      </c>
    </row>
    <row r="38" spans="1:3" ht="13.5" customHeight="1" x14ac:dyDescent="0.2">
      <c r="A38" s="8"/>
      <c r="B38" s="151" t="s">
        <v>960</v>
      </c>
      <c r="C38" s="13">
        <v>41808</v>
      </c>
    </row>
    <row r="39" spans="1:3" ht="13.5" hidden="1" customHeight="1" x14ac:dyDescent="0.2">
      <c r="A39" s="8"/>
      <c r="B39" s="151" t="s">
        <v>961</v>
      </c>
      <c r="C39" s="13">
        <v>0</v>
      </c>
    </row>
    <row r="40" spans="1:3" ht="13.5" hidden="1" customHeight="1" x14ac:dyDescent="0.2">
      <c r="A40" s="8"/>
      <c r="B40" s="151" t="s">
        <v>1048</v>
      </c>
      <c r="C40" s="13"/>
    </row>
    <row r="41" spans="1:3" ht="13.5" customHeight="1" x14ac:dyDescent="0.2">
      <c r="A41" s="8" t="s">
        <v>213</v>
      </c>
      <c r="B41" s="14" t="s">
        <v>962</v>
      </c>
      <c r="C41" s="6">
        <f>SUM(C42:C43)</f>
        <v>28216</v>
      </c>
    </row>
    <row r="42" spans="1:3" ht="13.5" customHeight="1" x14ac:dyDescent="0.2">
      <c r="A42" s="8"/>
      <c r="B42" s="151" t="s">
        <v>982</v>
      </c>
      <c r="C42" s="72">
        <v>5216</v>
      </c>
    </row>
    <row r="43" spans="1:3" ht="13.5" customHeight="1" x14ac:dyDescent="0.2">
      <c r="A43" s="8"/>
      <c r="B43" s="151" t="s">
        <v>1049</v>
      </c>
      <c r="C43" s="72">
        <v>23000</v>
      </c>
    </row>
    <row r="44" spans="1:3" ht="16.5" customHeight="1" x14ac:dyDescent="0.2">
      <c r="A44" s="8" t="s">
        <v>214</v>
      </c>
      <c r="B44" s="14" t="s">
        <v>963</v>
      </c>
      <c r="C44" s="5">
        <f>C45+C50+C54</f>
        <v>17054</v>
      </c>
    </row>
    <row r="45" spans="1:3" ht="14.25" customHeight="1" x14ac:dyDescent="0.2">
      <c r="A45" s="8"/>
      <c r="B45" s="593" t="s">
        <v>964</v>
      </c>
      <c r="C45" s="5">
        <f>C46+C47+C48+C49</f>
        <v>0</v>
      </c>
    </row>
    <row r="46" spans="1:3" ht="11.25" customHeight="1" x14ac:dyDescent="0.2">
      <c r="A46" s="8"/>
      <c r="B46" s="593" t="s">
        <v>965</v>
      </c>
      <c r="C46" s="13">
        <v>0</v>
      </c>
    </row>
    <row r="47" spans="1:3" ht="11.25" customHeight="1" x14ac:dyDescent="0.2">
      <c r="A47" s="8"/>
      <c r="B47" s="594" t="s">
        <v>966</v>
      </c>
      <c r="C47" s="13">
        <v>0</v>
      </c>
    </row>
    <row r="48" spans="1:3" ht="11.25" customHeight="1" x14ac:dyDescent="0.2">
      <c r="A48" s="8"/>
      <c r="B48" s="593" t="s">
        <v>967</v>
      </c>
      <c r="C48" s="13">
        <v>0</v>
      </c>
    </row>
    <row r="49" spans="1:3" ht="11.25" customHeight="1" x14ac:dyDescent="0.2">
      <c r="A49" s="8"/>
      <c r="B49" s="593" t="s">
        <v>1071</v>
      </c>
      <c r="C49" s="13">
        <v>0</v>
      </c>
    </row>
    <row r="50" spans="1:3" ht="11.25" customHeight="1" x14ac:dyDescent="0.2">
      <c r="A50" s="8"/>
      <c r="B50" s="593" t="s">
        <v>972</v>
      </c>
      <c r="C50" s="5">
        <f>C51+C52+C53</f>
        <v>17054</v>
      </c>
    </row>
    <row r="51" spans="1:3" x14ac:dyDescent="0.2">
      <c r="A51" s="8"/>
      <c r="B51" s="593" t="s">
        <v>968</v>
      </c>
      <c r="C51" s="13">
        <v>0</v>
      </c>
    </row>
    <row r="52" spans="1:3" x14ac:dyDescent="0.2">
      <c r="A52" s="8"/>
      <c r="B52" s="593" t="s">
        <v>971</v>
      </c>
      <c r="C52" s="13">
        <v>17054</v>
      </c>
    </row>
    <row r="53" spans="1:3" x14ac:dyDescent="0.2">
      <c r="A53" s="8"/>
      <c r="B53" s="593" t="s">
        <v>969</v>
      </c>
      <c r="C53" s="13">
        <v>0</v>
      </c>
    </row>
    <row r="54" spans="1:3" x14ac:dyDescent="0.2">
      <c r="A54" s="8"/>
      <c r="B54" s="593" t="s">
        <v>973</v>
      </c>
      <c r="C54" s="5">
        <v>0</v>
      </c>
    </row>
    <row r="55" spans="1:3" hidden="1" x14ac:dyDescent="0.2">
      <c r="A55" s="8"/>
      <c r="B55" s="593" t="s">
        <v>997</v>
      </c>
      <c r="C55" s="13"/>
    </row>
    <row r="56" spans="1:3" ht="13.5" customHeight="1" x14ac:dyDescent="0.2">
      <c r="A56" s="8" t="s">
        <v>215</v>
      </c>
      <c r="B56" s="14" t="s">
        <v>1098</v>
      </c>
      <c r="C56" s="5">
        <v>0</v>
      </c>
    </row>
    <row r="57" spans="1:3" ht="15" x14ac:dyDescent="0.25">
      <c r="A57" s="8" t="s">
        <v>170</v>
      </c>
      <c r="B57" s="14" t="s">
        <v>970</v>
      </c>
      <c r="C57" s="38">
        <f>SUM(C58:C67)</f>
        <v>58102</v>
      </c>
    </row>
    <row r="58" spans="1:3" x14ac:dyDescent="0.2">
      <c r="A58" s="8" t="s">
        <v>125</v>
      </c>
      <c r="B58" s="8" t="s">
        <v>1155</v>
      </c>
      <c r="C58" s="78">
        <f>719*7</f>
        <v>5033</v>
      </c>
    </row>
    <row r="59" spans="1:3" x14ac:dyDescent="0.2">
      <c r="A59" s="8" t="s">
        <v>125</v>
      </c>
      <c r="B59" s="8" t="s">
        <v>1354</v>
      </c>
      <c r="C59" s="78">
        <f>(2500+2500+2500+13500+(2500+1500)+(2500+3355))+(1500+1500+1500+3000+1500+1500)+7014</f>
        <v>48369</v>
      </c>
    </row>
    <row r="60" spans="1:3" x14ac:dyDescent="0.2">
      <c r="A60" s="8" t="s">
        <v>125</v>
      </c>
      <c r="B60" s="8" t="s">
        <v>981</v>
      </c>
      <c r="C60" s="78">
        <v>4000</v>
      </c>
    </row>
    <row r="61" spans="1:3" x14ac:dyDescent="0.2">
      <c r="A61" s="8" t="s">
        <v>125</v>
      </c>
      <c r="B61" s="8" t="s">
        <v>1383</v>
      </c>
      <c r="C61" s="78">
        <v>700</v>
      </c>
    </row>
    <row r="62" spans="1:3" hidden="1" x14ac:dyDescent="0.2">
      <c r="A62" s="8" t="s">
        <v>125</v>
      </c>
      <c r="B62" s="8"/>
      <c r="C62" s="78"/>
    </row>
    <row r="63" spans="1:3" hidden="1" x14ac:dyDescent="0.2">
      <c r="A63" s="8" t="s">
        <v>125</v>
      </c>
      <c r="B63" s="8"/>
      <c r="C63" s="78"/>
    </row>
    <row r="64" spans="1:3" hidden="1" x14ac:dyDescent="0.2">
      <c r="A64" s="8" t="s">
        <v>125</v>
      </c>
      <c r="B64" s="8"/>
      <c r="C64" s="78"/>
    </row>
    <row r="65" spans="1:3" hidden="1" x14ac:dyDescent="0.2">
      <c r="A65" s="8" t="s">
        <v>125</v>
      </c>
      <c r="B65" s="8" t="s">
        <v>1102</v>
      </c>
      <c r="C65" s="78"/>
    </row>
    <row r="66" spans="1:3" hidden="1" x14ac:dyDescent="0.2">
      <c r="A66" s="8" t="s">
        <v>125</v>
      </c>
      <c r="B66" s="8" t="s">
        <v>1091</v>
      </c>
      <c r="C66" s="39"/>
    </row>
    <row r="67" spans="1:3" hidden="1" x14ac:dyDescent="0.2">
      <c r="A67" s="8" t="s">
        <v>125</v>
      </c>
      <c r="B67" s="8" t="s">
        <v>1156</v>
      </c>
      <c r="C67" s="39"/>
    </row>
    <row r="68" spans="1:3" ht="18" customHeight="1" x14ac:dyDescent="0.25">
      <c r="A68" s="14" t="s">
        <v>140</v>
      </c>
      <c r="B68" s="23" t="s">
        <v>228</v>
      </c>
      <c r="C68" s="159">
        <f>SUM(C72+C76+C80)</f>
        <v>468980</v>
      </c>
    </row>
    <row r="69" spans="1:3" ht="13.5" hidden="1" customHeight="1" x14ac:dyDescent="0.2">
      <c r="A69" s="8" t="s">
        <v>141</v>
      </c>
      <c r="B69" s="8" t="s">
        <v>147</v>
      </c>
      <c r="C69" s="11"/>
    </row>
    <row r="70" spans="1:3" ht="13.5" hidden="1" customHeight="1" x14ac:dyDescent="0.2">
      <c r="A70" s="8" t="s">
        <v>142</v>
      </c>
      <c r="B70" s="8" t="s">
        <v>148</v>
      </c>
      <c r="C70" s="11"/>
    </row>
    <row r="71" spans="1:3" ht="13.5" hidden="1" customHeight="1" x14ac:dyDescent="0.2">
      <c r="A71" s="8" t="s">
        <v>143</v>
      </c>
      <c r="B71" s="20" t="s">
        <v>149</v>
      </c>
      <c r="C71" s="11"/>
    </row>
    <row r="72" spans="1:3" ht="13.5" customHeight="1" x14ac:dyDescent="0.2">
      <c r="A72" s="8" t="s">
        <v>144</v>
      </c>
      <c r="B72" s="8" t="s">
        <v>445</v>
      </c>
      <c r="C72" s="158">
        <f>SUM(C73:C75)</f>
        <v>350500</v>
      </c>
    </row>
    <row r="73" spans="1:3" ht="13.5" customHeight="1" x14ac:dyDescent="0.2">
      <c r="A73" s="8"/>
      <c r="B73" s="151" t="s">
        <v>446</v>
      </c>
      <c r="C73" s="39">
        <v>330000</v>
      </c>
    </row>
    <row r="74" spans="1:3" ht="13.5" customHeight="1" x14ac:dyDescent="0.2">
      <c r="A74" s="8"/>
      <c r="B74" s="151" t="s">
        <v>767</v>
      </c>
      <c r="C74" s="39">
        <v>9500</v>
      </c>
    </row>
    <row r="75" spans="1:3" ht="13.5" customHeight="1" x14ac:dyDescent="0.2">
      <c r="A75" s="8"/>
      <c r="B75" s="151" t="s">
        <v>768</v>
      </c>
      <c r="C75" s="39">
        <v>11000</v>
      </c>
    </row>
    <row r="76" spans="1:3" s="50" customFormat="1" ht="13.5" customHeight="1" x14ac:dyDescent="0.2">
      <c r="A76" s="8" t="s">
        <v>145</v>
      </c>
      <c r="B76" s="8" t="s">
        <v>229</v>
      </c>
      <c r="C76" s="6">
        <f>SUM(C77:C79)</f>
        <v>115000</v>
      </c>
    </row>
    <row r="77" spans="1:3" s="50" customFormat="1" ht="13.5" customHeight="1" x14ac:dyDescent="0.2">
      <c r="A77" s="8"/>
      <c r="B77" s="151" t="s">
        <v>230</v>
      </c>
      <c r="C77" s="11">
        <v>65000</v>
      </c>
    </row>
    <row r="78" spans="1:3" s="50" customFormat="1" ht="13.5" hidden="1" customHeight="1" x14ac:dyDescent="0.2">
      <c r="A78" s="8"/>
      <c r="B78" s="151" t="s">
        <v>447</v>
      </c>
      <c r="C78" s="11"/>
    </row>
    <row r="79" spans="1:3" s="50" customFormat="1" ht="13.5" customHeight="1" x14ac:dyDescent="0.2">
      <c r="A79" s="8"/>
      <c r="B79" s="151" t="s">
        <v>998</v>
      </c>
      <c r="C79" s="11">
        <v>50000</v>
      </c>
    </row>
    <row r="80" spans="1:3" s="50" customFormat="1" ht="13.5" customHeight="1" x14ac:dyDescent="0.2">
      <c r="A80" s="14" t="s">
        <v>146</v>
      </c>
      <c r="B80" s="208" t="s">
        <v>1337</v>
      </c>
      <c r="C80" s="734">
        <f>2500+980</f>
        <v>3480</v>
      </c>
    </row>
    <row r="81" spans="1:3" s="50" customFormat="1" ht="18" customHeight="1" x14ac:dyDescent="0.25">
      <c r="A81" s="14" t="s">
        <v>151</v>
      </c>
      <c r="B81" s="23" t="s">
        <v>231</v>
      </c>
      <c r="C81" s="43">
        <f>SUM(C82:C92)</f>
        <v>134045</v>
      </c>
    </row>
    <row r="82" spans="1:3" x14ac:dyDescent="0.2">
      <c r="A82" s="8" t="s">
        <v>154</v>
      </c>
      <c r="B82" s="8" t="s">
        <v>232</v>
      </c>
      <c r="C82" s="13">
        <v>200</v>
      </c>
    </row>
    <row r="83" spans="1:3" s="50" customFormat="1" x14ac:dyDescent="0.2">
      <c r="A83" s="8" t="s">
        <v>155</v>
      </c>
      <c r="B83" s="8" t="s">
        <v>233</v>
      </c>
      <c r="C83" s="13">
        <v>2200</v>
      </c>
    </row>
    <row r="84" spans="1:3" s="50" customFormat="1" ht="13.5" customHeight="1" x14ac:dyDescent="0.2">
      <c r="A84" s="8" t="s">
        <v>156</v>
      </c>
      <c r="B84" s="8" t="s">
        <v>234</v>
      </c>
      <c r="C84" s="13">
        <v>13000</v>
      </c>
    </row>
    <row r="85" spans="1:3" ht="13.5" customHeight="1" x14ac:dyDescent="0.2">
      <c r="A85" s="8" t="s">
        <v>157</v>
      </c>
      <c r="B85" s="20" t="s">
        <v>235</v>
      </c>
      <c r="C85" s="13">
        <f>27000+4000+21000</f>
        <v>52000</v>
      </c>
    </row>
    <row r="86" spans="1:3" ht="13.5" customHeight="1" x14ac:dyDescent="0.2">
      <c r="A86" s="8" t="s">
        <v>158</v>
      </c>
      <c r="B86" s="20" t="s">
        <v>236</v>
      </c>
      <c r="C86" s="13">
        <v>18600</v>
      </c>
    </row>
    <row r="87" spans="1:3" x14ac:dyDescent="0.2">
      <c r="A87" s="8" t="s">
        <v>162</v>
      </c>
      <c r="B87" s="20" t="s">
        <v>237</v>
      </c>
      <c r="C87" s="13">
        <f>3160+5040</f>
        <v>8200</v>
      </c>
    </row>
    <row r="88" spans="1:3" hidden="1" x14ac:dyDescent="0.2">
      <c r="A88" s="8" t="s">
        <v>164</v>
      </c>
      <c r="B88" s="20" t="s">
        <v>238</v>
      </c>
      <c r="C88" s="13"/>
    </row>
    <row r="89" spans="1:3" x14ac:dyDescent="0.2">
      <c r="A89" s="208" t="s">
        <v>166</v>
      </c>
      <c r="B89" s="735" t="s">
        <v>1338</v>
      </c>
      <c r="C89" s="736">
        <f>25+1</f>
        <v>26</v>
      </c>
    </row>
    <row r="90" spans="1:3" hidden="1" x14ac:dyDescent="0.2">
      <c r="A90" s="8" t="s">
        <v>168</v>
      </c>
      <c r="B90" s="20" t="s">
        <v>239</v>
      </c>
      <c r="C90" s="13"/>
    </row>
    <row r="91" spans="1:3" x14ac:dyDescent="0.2">
      <c r="A91" s="8" t="s">
        <v>174</v>
      </c>
      <c r="B91" s="20" t="s">
        <v>391</v>
      </c>
      <c r="C91" s="13">
        <v>0</v>
      </c>
    </row>
    <row r="92" spans="1:3" x14ac:dyDescent="0.2">
      <c r="A92" s="208" t="s">
        <v>385</v>
      </c>
      <c r="B92" s="735" t="s">
        <v>1339</v>
      </c>
      <c r="C92" s="13">
        <f>(37800+2000)+19</f>
        <v>39819</v>
      </c>
    </row>
    <row r="93" spans="1:3" ht="15.75" x14ac:dyDescent="0.25">
      <c r="A93" s="14" t="s">
        <v>189</v>
      </c>
      <c r="B93" s="23" t="s">
        <v>240</v>
      </c>
      <c r="C93" s="43">
        <f t="shared" ref="C93" si="0">SUM(C97)+C99+C98</f>
        <v>40000</v>
      </c>
    </row>
    <row r="94" spans="1:3" hidden="1" x14ac:dyDescent="0.2">
      <c r="A94" s="8" t="s">
        <v>195</v>
      </c>
      <c r="B94" s="20" t="s">
        <v>241</v>
      </c>
      <c r="C94" s="11"/>
    </row>
    <row r="95" spans="1:3" hidden="1" x14ac:dyDescent="0.2">
      <c r="A95" s="8" t="s">
        <v>196</v>
      </c>
      <c r="B95" s="20" t="s">
        <v>242</v>
      </c>
      <c r="C95" s="11"/>
    </row>
    <row r="96" spans="1:3" hidden="1" x14ac:dyDescent="0.2">
      <c r="A96" s="8" t="s">
        <v>197</v>
      </c>
      <c r="B96" s="20" t="s">
        <v>243</v>
      </c>
      <c r="C96" s="5"/>
    </row>
    <row r="97" spans="1:3" x14ac:dyDescent="0.2">
      <c r="A97" s="8" t="s">
        <v>392</v>
      </c>
      <c r="B97" s="8" t="s">
        <v>1300</v>
      </c>
      <c r="C97" s="736">
        <v>40000</v>
      </c>
    </row>
    <row r="98" spans="1:3" x14ac:dyDescent="0.2">
      <c r="A98" s="8" t="s">
        <v>392</v>
      </c>
      <c r="B98" s="8" t="s">
        <v>1299</v>
      </c>
      <c r="C98" s="13">
        <v>0</v>
      </c>
    </row>
    <row r="99" spans="1:3" hidden="1" x14ac:dyDescent="0.2">
      <c r="A99" s="8" t="s">
        <v>392</v>
      </c>
      <c r="B99" s="8" t="s">
        <v>1236</v>
      </c>
      <c r="C99" s="13">
        <v>0</v>
      </c>
    </row>
    <row r="100" spans="1:3" ht="24" customHeight="1" x14ac:dyDescent="0.25">
      <c r="A100" s="25" t="s">
        <v>191</v>
      </c>
      <c r="B100" s="172" t="s">
        <v>340</v>
      </c>
      <c r="C100" s="43">
        <f>SUM(C101)</f>
        <v>197337</v>
      </c>
    </row>
    <row r="101" spans="1:3" ht="13.5" customHeight="1" x14ac:dyDescent="0.25">
      <c r="A101" s="25"/>
      <c r="B101" s="23" t="str">
        <f>'1.Bev-kiad.'!B55</f>
        <v xml:space="preserve">   1. Belföldi finanszírozás bevételei</v>
      </c>
      <c r="C101" s="160">
        <f>SUM(C102+C107)</f>
        <v>197337</v>
      </c>
    </row>
    <row r="102" spans="1:3" x14ac:dyDescent="0.2">
      <c r="A102" s="25"/>
      <c r="B102" s="31" t="str">
        <f>'1.Bev-kiad.'!B56</f>
        <v xml:space="preserve">        1.1. Előző év költségvetési maradványának igénybevétele</v>
      </c>
      <c r="C102" s="13">
        <f>(181270+16067)</f>
        <v>197337</v>
      </c>
    </row>
    <row r="103" spans="1:3" hidden="1" x14ac:dyDescent="0.2">
      <c r="A103" s="25"/>
      <c r="B103" s="146" t="s">
        <v>841</v>
      </c>
      <c r="C103" s="13">
        <f>(381956+18883+19378+10058+5652-'3.felh'!C39+4167-34702+40056)</f>
        <v>293336</v>
      </c>
    </row>
    <row r="104" spans="1:3" hidden="1" x14ac:dyDescent="0.2">
      <c r="A104" s="25"/>
      <c r="B104" s="146"/>
      <c r="C104" s="13"/>
    </row>
    <row r="105" spans="1:3" hidden="1" x14ac:dyDescent="0.2">
      <c r="A105" s="25"/>
      <c r="B105" s="146" t="s">
        <v>838</v>
      </c>
      <c r="C105" s="13"/>
    </row>
    <row r="106" spans="1:3" hidden="1" x14ac:dyDescent="0.2">
      <c r="A106" s="25"/>
      <c r="B106" s="146" t="s">
        <v>836</v>
      </c>
      <c r="C106" s="13">
        <f>(32623-4167)</f>
        <v>28456</v>
      </c>
    </row>
    <row r="107" spans="1:3" ht="13.5" customHeight="1" x14ac:dyDescent="0.2">
      <c r="A107" s="25"/>
      <c r="B107" s="146" t="s">
        <v>487</v>
      </c>
      <c r="C107" s="13">
        <v>0</v>
      </c>
    </row>
    <row r="108" spans="1:3" ht="13.5" customHeight="1" x14ac:dyDescent="0.25">
      <c r="A108" s="25"/>
      <c r="B108" s="23" t="s">
        <v>429</v>
      </c>
      <c r="C108" s="160">
        <v>0</v>
      </c>
    </row>
    <row r="109" spans="1:3" ht="13.5" customHeight="1" thickBot="1" x14ac:dyDescent="0.25">
      <c r="A109" s="693"/>
      <c r="B109" s="12" t="s">
        <v>247</v>
      </c>
      <c r="C109" s="13">
        <v>0</v>
      </c>
    </row>
    <row r="110" spans="1:3" ht="19.5" customHeight="1" thickBot="1" x14ac:dyDescent="0.4">
      <c r="A110" s="215"/>
      <c r="B110" s="216" t="s">
        <v>377</v>
      </c>
      <c r="C110" s="179">
        <f>SUM(C8+C100)</f>
        <v>1434516</v>
      </c>
    </row>
    <row r="111" spans="1:3" ht="18" customHeight="1" x14ac:dyDescent="0.25">
      <c r="A111" s="147" t="s">
        <v>353</v>
      </c>
      <c r="B111" s="225" t="s">
        <v>350</v>
      </c>
      <c r="C111" s="174">
        <f>SUM(C112+C115+C118+C121+C122)</f>
        <v>1375491</v>
      </c>
    </row>
    <row r="112" spans="1:3" ht="18" customHeight="1" x14ac:dyDescent="0.25">
      <c r="A112" s="14" t="s">
        <v>216</v>
      </c>
      <c r="B112" s="23" t="s">
        <v>244</v>
      </c>
      <c r="C112" s="148">
        <f>SUM(C113:C114)</f>
        <v>238993</v>
      </c>
    </row>
    <row r="113" spans="1:3" ht="13.5" customHeight="1" x14ac:dyDescent="0.2">
      <c r="A113" s="14"/>
      <c r="B113" s="228" t="s">
        <v>407</v>
      </c>
      <c r="C113" s="196">
        <f>SUM('8.Önk.'!U28)</f>
        <v>45999</v>
      </c>
    </row>
    <row r="114" spans="1:3" ht="13.5" customHeight="1" x14ac:dyDescent="0.2">
      <c r="A114" s="14"/>
      <c r="B114" s="228" t="s">
        <v>449</v>
      </c>
      <c r="C114" s="196">
        <f>SUM('9.Hivatal'!J23)</f>
        <v>192994</v>
      </c>
    </row>
    <row r="115" spans="1:3" ht="18" customHeight="1" x14ac:dyDescent="0.25">
      <c r="A115" s="14" t="s">
        <v>217</v>
      </c>
      <c r="B115" s="23" t="s">
        <v>245</v>
      </c>
      <c r="C115" s="148">
        <f>SUM(C116:C117)</f>
        <v>31621</v>
      </c>
    </row>
    <row r="116" spans="1:3" ht="13.5" customHeight="1" x14ac:dyDescent="0.2">
      <c r="A116" s="14"/>
      <c r="B116" s="228" t="s">
        <v>408</v>
      </c>
      <c r="C116" s="196">
        <f>SUM('8.Önk.'!U32)</f>
        <v>6321</v>
      </c>
    </row>
    <row r="117" spans="1:3" ht="13.5" customHeight="1" x14ac:dyDescent="0.2">
      <c r="A117" s="14"/>
      <c r="B117" s="228" t="s">
        <v>448</v>
      </c>
      <c r="C117" s="196">
        <f>SUM('9.Hivatal'!J26)</f>
        <v>25300</v>
      </c>
    </row>
    <row r="118" spans="1:3" ht="18" customHeight="1" x14ac:dyDescent="0.25">
      <c r="A118" s="14" t="s">
        <v>218</v>
      </c>
      <c r="B118" s="23" t="s">
        <v>246</v>
      </c>
      <c r="C118" s="36">
        <f>SUM(C119:C120)</f>
        <v>477787</v>
      </c>
    </row>
    <row r="119" spans="1:3" ht="13.5" customHeight="1" x14ac:dyDescent="0.2">
      <c r="A119" s="8"/>
      <c r="B119" s="228" t="s">
        <v>408</v>
      </c>
      <c r="C119" s="176">
        <f>SUM('8.Önk.'!U92)</f>
        <v>441542</v>
      </c>
    </row>
    <row r="120" spans="1:3" ht="13.5" customHeight="1" x14ac:dyDescent="0.2">
      <c r="A120" s="8"/>
      <c r="B120" s="228" t="s">
        <v>448</v>
      </c>
      <c r="C120" s="176">
        <f>SUM('9.Hivatal'!J73)</f>
        <v>36245</v>
      </c>
    </row>
    <row r="121" spans="1:3" ht="18" customHeight="1" x14ac:dyDescent="0.25">
      <c r="A121" s="14" t="s">
        <v>219</v>
      </c>
      <c r="B121" s="23" t="s">
        <v>438</v>
      </c>
      <c r="C121" s="36">
        <f>SUM('8.Önk.'!U93)</f>
        <v>11500</v>
      </c>
    </row>
    <row r="122" spans="1:3" ht="18" customHeight="1" x14ac:dyDescent="0.25">
      <c r="A122" s="14" t="s">
        <v>220</v>
      </c>
      <c r="B122" s="23" t="s">
        <v>332</v>
      </c>
      <c r="C122" s="36">
        <f>SUM(C123:C124)</f>
        <v>615590</v>
      </c>
    </row>
    <row r="123" spans="1:3" ht="15" customHeight="1" thickBot="1" x14ac:dyDescent="0.25">
      <c r="A123" s="14"/>
      <c r="B123" s="8" t="s">
        <v>1357</v>
      </c>
      <c r="C123" s="32">
        <f>SUM('4. Átadott p.eszk.'!B66)+'9.Hivatal'!J75</f>
        <v>480069</v>
      </c>
    </row>
    <row r="124" spans="1:3" ht="15" customHeight="1" thickBot="1" x14ac:dyDescent="0.25">
      <c r="A124" s="14"/>
      <c r="B124" s="8" t="s">
        <v>333</v>
      </c>
      <c r="C124" s="738">
        <f>50000+85521</f>
        <v>135521</v>
      </c>
    </row>
    <row r="125" spans="1:3" hidden="1" x14ac:dyDescent="0.2">
      <c r="A125" s="14"/>
      <c r="B125" s="151" t="s">
        <v>827</v>
      </c>
      <c r="C125" s="116"/>
    </row>
    <row r="126" spans="1:3" ht="17.25" customHeight="1" x14ac:dyDescent="0.25">
      <c r="A126" s="14" t="s">
        <v>206</v>
      </c>
      <c r="B126" s="172" t="s">
        <v>344</v>
      </c>
      <c r="C126" s="43">
        <f t="shared" ref="C126:C127" si="1">SUM(C127)</f>
        <v>19840</v>
      </c>
    </row>
    <row r="127" spans="1:3" ht="15" customHeight="1" x14ac:dyDescent="0.25">
      <c r="A127" s="14"/>
      <c r="B127" s="189" t="s">
        <v>379</v>
      </c>
      <c r="C127" s="43">
        <f t="shared" si="1"/>
        <v>19840</v>
      </c>
    </row>
    <row r="128" spans="1:3" ht="13.5" customHeight="1" thickBot="1" x14ac:dyDescent="0.25">
      <c r="A128" s="14" t="s">
        <v>386</v>
      </c>
      <c r="B128" s="8" t="s">
        <v>390</v>
      </c>
      <c r="C128" s="13">
        <v>19840</v>
      </c>
    </row>
    <row r="129" spans="1:3" ht="15" hidden="1" customHeight="1" thickBot="1" x14ac:dyDescent="0.3">
      <c r="A129" s="14"/>
      <c r="B129" s="189" t="s">
        <v>381</v>
      </c>
      <c r="C129" s="43"/>
    </row>
    <row r="130" spans="1:3" ht="15" hidden="1" customHeight="1" thickBot="1" x14ac:dyDescent="0.3">
      <c r="A130" s="22"/>
      <c r="B130" s="186" t="s">
        <v>382</v>
      </c>
      <c r="C130" s="171"/>
    </row>
    <row r="131" spans="1:3" ht="21.75" customHeight="1" thickBot="1" x14ac:dyDescent="0.4">
      <c r="A131" s="215"/>
      <c r="B131" s="216" t="s">
        <v>32</v>
      </c>
      <c r="C131" s="179">
        <f>SUM(C111+C126)</f>
        <v>1395331</v>
      </c>
    </row>
    <row r="132" spans="1:3" ht="15.75" hidden="1" customHeight="1" x14ac:dyDescent="0.2">
      <c r="B132" s="89" t="s">
        <v>886</v>
      </c>
      <c r="C132" s="7">
        <f>SUM(C8-C112-C115-C118-C123-C121-C128+C124)</f>
        <v>112890</v>
      </c>
    </row>
    <row r="133" spans="1:3" ht="15.75" hidden="1" customHeight="1" x14ac:dyDescent="0.2">
      <c r="B133" s="89" t="s">
        <v>994</v>
      </c>
      <c r="C133" s="7">
        <f>SUM('8.Önk.'!E138)</f>
        <v>66670</v>
      </c>
    </row>
    <row r="134" spans="1:3" ht="15.75" hidden="1" customHeight="1" x14ac:dyDescent="0.2">
      <c r="B134" s="89" t="s">
        <v>995</v>
      </c>
      <c r="C134" s="7" t="e">
        <f>SUM('8.Önk.'!#REF!+'8.Önk.'!#REF!)</f>
        <v>#REF!</v>
      </c>
    </row>
    <row r="135" spans="1:3" ht="15.75" hidden="1" customHeight="1" x14ac:dyDescent="0.2">
      <c r="B135" s="89" t="s">
        <v>1000</v>
      </c>
      <c r="C135" s="540" t="e">
        <f>SUM(C132+C133+C134)</f>
        <v>#REF!</v>
      </c>
    </row>
    <row r="136" spans="1:3" ht="15.75" customHeight="1" x14ac:dyDescent="0.2">
      <c r="C136" s="7"/>
    </row>
    <row r="137" spans="1:3" ht="15.75" customHeight="1" x14ac:dyDescent="0.2">
      <c r="C137" s="2"/>
    </row>
    <row r="138" spans="1:3" ht="15.75" customHeight="1" x14ac:dyDescent="0.2">
      <c r="C138" s="2"/>
    </row>
    <row r="139" spans="1:3" ht="15.75" customHeight="1" x14ac:dyDescent="0.2">
      <c r="C139" s="2"/>
    </row>
    <row r="140" spans="1:3" ht="15.75" customHeight="1" x14ac:dyDescent="0.2">
      <c r="B140" s="2"/>
      <c r="C140" s="2"/>
    </row>
    <row r="141" spans="1:3" ht="15.75" customHeight="1" x14ac:dyDescent="0.2">
      <c r="B141" s="2"/>
      <c r="C141" s="2"/>
    </row>
    <row r="142" spans="1:3" ht="15.75" customHeight="1" x14ac:dyDescent="0.2">
      <c r="B142" s="2"/>
      <c r="C142" s="2"/>
    </row>
    <row r="143" spans="1:3" ht="15.75" customHeight="1" x14ac:dyDescent="0.2">
      <c r="B143" s="2"/>
      <c r="C143" s="2"/>
    </row>
    <row r="144" spans="1:3" ht="15.75" customHeight="1" x14ac:dyDescent="0.2">
      <c r="B144" s="2"/>
      <c r="C144" s="2"/>
    </row>
    <row r="145" spans="2:3" ht="15.75" customHeight="1" x14ac:dyDescent="0.2">
      <c r="B145" s="2"/>
      <c r="C145" s="2"/>
    </row>
    <row r="146" spans="2:3" ht="15.75" customHeight="1" x14ac:dyDescent="0.2">
      <c r="B146" s="2"/>
      <c r="C146" s="2"/>
    </row>
    <row r="147" spans="2:3" ht="15.75" customHeight="1" x14ac:dyDescent="0.2">
      <c r="B147" s="2"/>
      <c r="C147" s="2"/>
    </row>
    <row r="148" spans="2:3" ht="15.75" customHeight="1" x14ac:dyDescent="0.2">
      <c r="B148" s="2"/>
      <c r="C148" s="2"/>
    </row>
    <row r="149" spans="2:3" ht="15.75" customHeight="1" x14ac:dyDescent="0.2">
      <c r="B149" s="2"/>
      <c r="C149" s="2"/>
    </row>
    <row r="150" spans="2:3" ht="15.75" customHeight="1" x14ac:dyDescent="0.2">
      <c r="B150" s="2"/>
      <c r="C150" s="2"/>
    </row>
    <row r="151" spans="2:3" ht="15.75" customHeight="1" x14ac:dyDescent="0.2">
      <c r="B151" s="2"/>
      <c r="C151" s="2"/>
    </row>
    <row r="152" spans="2:3" ht="15.75" customHeight="1" x14ac:dyDescent="0.2">
      <c r="B152" s="2"/>
      <c r="C152" s="2"/>
    </row>
    <row r="153" spans="2:3" ht="15.75" customHeight="1" x14ac:dyDescent="0.2">
      <c r="B153" s="2"/>
      <c r="C153" s="2"/>
    </row>
    <row r="154" spans="2:3" ht="15.75" customHeight="1" x14ac:dyDescent="0.2">
      <c r="B154" s="2"/>
      <c r="C154" s="2"/>
    </row>
    <row r="155" spans="2:3" ht="15.75" customHeight="1" x14ac:dyDescent="0.2">
      <c r="B155" s="2"/>
      <c r="C155" s="2"/>
    </row>
    <row r="156" spans="2:3" ht="15.75" customHeight="1" x14ac:dyDescent="0.2">
      <c r="B156" s="2"/>
      <c r="C156" s="2"/>
    </row>
    <row r="157" spans="2:3" ht="15.75" customHeight="1" x14ac:dyDescent="0.2">
      <c r="B157" s="2"/>
      <c r="C157" s="2"/>
    </row>
    <row r="158" spans="2:3" ht="15.75" customHeight="1" x14ac:dyDescent="0.2">
      <c r="B158" s="2"/>
      <c r="C158" s="2"/>
    </row>
    <row r="159" spans="2:3" ht="15.75" customHeight="1" x14ac:dyDescent="0.2">
      <c r="B159" s="2"/>
      <c r="C159" s="2"/>
    </row>
    <row r="160" spans="2:3" ht="15.75" customHeight="1" x14ac:dyDescent="0.2">
      <c r="B160" s="2"/>
      <c r="C160" s="2"/>
    </row>
    <row r="161" spans="2:3" ht="15.75" customHeight="1" x14ac:dyDescent="0.2">
      <c r="B161" s="2"/>
      <c r="C161" s="2"/>
    </row>
    <row r="162" spans="2:3" ht="15.75" customHeight="1" x14ac:dyDescent="0.2">
      <c r="B162" s="2"/>
      <c r="C162" s="2"/>
    </row>
    <row r="163" spans="2:3" ht="15.75" customHeight="1" x14ac:dyDescent="0.2">
      <c r="B163" s="2"/>
      <c r="C163" s="2"/>
    </row>
    <row r="164" spans="2:3" ht="15.75" customHeight="1" x14ac:dyDescent="0.2">
      <c r="B164" s="2"/>
      <c r="C164" s="2"/>
    </row>
    <row r="165" spans="2:3" ht="15.75" customHeight="1" x14ac:dyDescent="0.2">
      <c r="B165" s="2"/>
      <c r="C165" s="2"/>
    </row>
    <row r="166" spans="2:3" ht="15.75" customHeight="1" x14ac:dyDescent="0.2">
      <c r="B166" s="2"/>
      <c r="C166" s="2"/>
    </row>
    <row r="167" spans="2:3" ht="15.75" customHeight="1" x14ac:dyDescent="0.2">
      <c r="B167" s="2"/>
      <c r="C167" s="2"/>
    </row>
    <row r="168" spans="2:3" ht="15.75" customHeight="1" x14ac:dyDescent="0.2">
      <c r="B168" s="2"/>
      <c r="C168" s="2"/>
    </row>
    <row r="169" spans="2:3" ht="15.75" customHeight="1" x14ac:dyDescent="0.2">
      <c r="B169" s="2"/>
      <c r="C169" s="2"/>
    </row>
    <row r="170" spans="2:3" ht="15.75" customHeight="1" x14ac:dyDescent="0.2">
      <c r="B170" s="2"/>
      <c r="C170" s="2"/>
    </row>
    <row r="171" spans="2:3" ht="15.75" customHeight="1" x14ac:dyDescent="0.2">
      <c r="B171" s="2"/>
      <c r="C171" s="2"/>
    </row>
    <row r="172" spans="2:3" ht="15.75" customHeight="1" x14ac:dyDescent="0.2">
      <c r="B172" s="2"/>
      <c r="C172" s="2"/>
    </row>
    <row r="173" spans="2:3" ht="15.75" customHeight="1" x14ac:dyDescent="0.2">
      <c r="B173" s="2"/>
      <c r="C173" s="2"/>
    </row>
    <row r="174" spans="2:3" ht="15.75" customHeight="1" x14ac:dyDescent="0.2">
      <c r="B174" s="2"/>
      <c r="C174" s="2"/>
    </row>
    <row r="175" spans="2:3" ht="15.75" customHeight="1" x14ac:dyDescent="0.2">
      <c r="B175" s="2"/>
      <c r="C175" s="2"/>
    </row>
    <row r="176" spans="2:3" ht="15.75" customHeight="1" x14ac:dyDescent="0.2">
      <c r="B176" s="2"/>
      <c r="C176" s="2"/>
    </row>
    <row r="177" spans="2:3" ht="15.75" customHeight="1" x14ac:dyDescent="0.2">
      <c r="B177" s="2"/>
      <c r="C177" s="2"/>
    </row>
    <row r="178" spans="2:3" ht="15.75" customHeight="1" x14ac:dyDescent="0.2">
      <c r="B178" s="2"/>
      <c r="C178" s="2"/>
    </row>
    <row r="179" spans="2:3" ht="15.75" customHeight="1" x14ac:dyDescent="0.2">
      <c r="B179" s="2"/>
      <c r="C179" s="2"/>
    </row>
    <row r="180" spans="2:3" ht="15.75" customHeight="1" x14ac:dyDescent="0.2">
      <c r="B180" s="2"/>
      <c r="C180" s="2"/>
    </row>
    <row r="181" spans="2:3" ht="15.75" customHeight="1" x14ac:dyDescent="0.2">
      <c r="B181" s="2"/>
      <c r="C181" s="2"/>
    </row>
    <row r="182" spans="2:3" ht="15.75" customHeight="1" x14ac:dyDescent="0.2">
      <c r="B182" s="2"/>
      <c r="C182" s="2"/>
    </row>
    <row r="183" spans="2:3" ht="15.75" customHeight="1" x14ac:dyDescent="0.2">
      <c r="B183" s="2"/>
      <c r="C183" s="2"/>
    </row>
    <row r="184" spans="2:3" ht="15.75" customHeight="1" x14ac:dyDescent="0.2">
      <c r="B184" s="2"/>
      <c r="C184" s="2"/>
    </row>
    <row r="185" spans="2:3" ht="15.75" customHeight="1" x14ac:dyDescent="0.2">
      <c r="B185" s="2"/>
      <c r="C185" s="2"/>
    </row>
    <row r="186" spans="2:3" ht="15.75" customHeight="1" x14ac:dyDescent="0.2">
      <c r="B186" s="2"/>
      <c r="C186" s="2"/>
    </row>
    <row r="187" spans="2:3" ht="15.75" customHeight="1" x14ac:dyDescent="0.2">
      <c r="B187" s="2"/>
      <c r="C187" s="2"/>
    </row>
    <row r="188" spans="2:3" ht="15.75" customHeight="1" x14ac:dyDescent="0.2">
      <c r="B188" s="2"/>
      <c r="C188" s="2"/>
    </row>
    <row r="189" spans="2:3" ht="15.75" customHeight="1" x14ac:dyDescent="0.2">
      <c r="B189" s="2"/>
      <c r="C189" s="2"/>
    </row>
    <row r="190" spans="2:3" ht="15.75" customHeight="1" x14ac:dyDescent="0.2">
      <c r="B190" s="2"/>
      <c r="C190" s="2"/>
    </row>
    <row r="191" spans="2:3" ht="15.75" customHeight="1" x14ac:dyDescent="0.2">
      <c r="B191" s="2"/>
      <c r="C191" s="2"/>
    </row>
    <row r="192" spans="2:3" ht="15.75" customHeight="1" x14ac:dyDescent="0.2">
      <c r="B192" s="2"/>
      <c r="C192" s="2"/>
    </row>
    <row r="193" spans="2:3" ht="15.75" customHeight="1" x14ac:dyDescent="0.2">
      <c r="B193" s="2"/>
      <c r="C193" s="2"/>
    </row>
    <row r="194" spans="2:3" ht="15.75" customHeight="1" x14ac:dyDescent="0.2">
      <c r="B194" s="2"/>
      <c r="C194" s="2"/>
    </row>
    <row r="195" spans="2:3" ht="15.75" customHeight="1" x14ac:dyDescent="0.2">
      <c r="B195" s="2"/>
      <c r="C195" s="2"/>
    </row>
    <row r="196" spans="2:3" ht="15.75" customHeight="1" x14ac:dyDescent="0.2">
      <c r="B196" s="2"/>
      <c r="C196" s="2"/>
    </row>
    <row r="197" spans="2:3" ht="15.75" customHeight="1" x14ac:dyDescent="0.2">
      <c r="B197" s="2"/>
      <c r="C197" s="2"/>
    </row>
    <row r="198" spans="2:3" ht="15.75" customHeight="1" x14ac:dyDescent="0.2">
      <c r="B198" s="2"/>
      <c r="C198" s="2"/>
    </row>
    <row r="199" spans="2:3" ht="15.75" customHeight="1" x14ac:dyDescent="0.2">
      <c r="B199" s="2"/>
      <c r="C199" s="2"/>
    </row>
    <row r="200" spans="2:3" ht="15.75" customHeight="1" x14ac:dyDescent="0.2">
      <c r="B200" s="2"/>
      <c r="C200" s="2"/>
    </row>
    <row r="201" spans="2:3" ht="15.75" customHeight="1" x14ac:dyDescent="0.2">
      <c r="B201" s="2"/>
      <c r="C201" s="2"/>
    </row>
    <row r="202" spans="2:3" ht="15.75" customHeight="1" x14ac:dyDescent="0.2">
      <c r="B202" s="2"/>
      <c r="C202" s="2"/>
    </row>
    <row r="203" spans="2:3" ht="15.75" customHeight="1" x14ac:dyDescent="0.2">
      <c r="B203" s="2"/>
      <c r="C203" s="2"/>
    </row>
    <row r="204" spans="2:3" ht="15.75" customHeight="1" x14ac:dyDescent="0.2">
      <c r="B204" s="2"/>
      <c r="C204" s="2"/>
    </row>
    <row r="205" spans="2:3" ht="15.75" customHeight="1" x14ac:dyDescent="0.2">
      <c r="B205" s="2"/>
      <c r="C205" s="2"/>
    </row>
    <row r="206" spans="2:3" ht="15.75" customHeight="1" x14ac:dyDescent="0.2">
      <c r="B206" s="2"/>
      <c r="C206" s="2"/>
    </row>
    <row r="207" spans="2:3" ht="15.75" customHeight="1" x14ac:dyDescent="0.2">
      <c r="B207" s="2"/>
      <c r="C207" s="2"/>
    </row>
    <row r="208" spans="2:3" ht="15.75" customHeight="1" x14ac:dyDescent="0.2">
      <c r="B208" s="2"/>
      <c r="C208" s="2"/>
    </row>
    <row r="209" spans="2:3" ht="15.75" customHeight="1" x14ac:dyDescent="0.2">
      <c r="B209" s="2"/>
      <c r="C209" s="2"/>
    </row>
    <row r="210" spans="2:3" ht="15.75" customHeight="1" x14ac:dyDescent="0.2">
      <c r="B210" s="2"/>
      <c r="C210" s="2"/>
    </row>
    <row r="211" spans="2:3" ht="15.75" customHeight="1" x14ac:dyDescent="0.2">
      <c r="B211" s="2"/>
      <c r="C211" s="2"/>
    </row>
    <row r="212" spans="2:3" ht="15.75" customHeight="1" x14ac:dyDescent="0.2">
      <c r="B212" s="2"/>
      <c r="C212" s="2"/>
    </row>
    <row r="213" spans="2:3" ht="15.75" customHeight="1" x14ac:dyDescent="0.2">
      <c r="B213" s="2"/>
      <c r="C213" s="2"/>
    </row>
    <row r="214" spans="2:3" ht="15.75" customHeight="1" x14ac:dyDescent="0.2">
      <c r="B214" s="2"/>
      <c r="C214" s="2"/>
    </row>
    <row r="215" spans="2:3" ht="15.75" customHeight="1" x14ac:dyDescent="0.2">
      <c r="B215" s="2"/>
      <c r="C215" s="2"/>
    </row>
    <row r="216" spans="2:3" ht="15.75" customHeight="1" x14ac:dyDescent="0.2">
      <c r="B216" s="2"/>
      <c r="C216" s="2"/>
    </row>
    <row r="217" spans="2:3" ht="15.75" customHeight="1" x14ac:dyDescent="0.2">
      <c r="B217" s="2"/>
      <c r="C217" s="2"/>
    </row>
    <row r="218" spans="2:3" ht="15.75" customHeight="1" x14ac:dyDescent="0.2">
      <c r="B218" s="2"/>
      <c r="C218" s="2"/>
    </row>
    <row r="219" spans="2:3" ht="15.75" customHeight="1" x14ac:dyDescent="0.2">
      <c r="B219" s="2"/>
      <c r="C219" s="29"/>
    </row>
    <row r="220" spans="2:3" ht="15.75" customHeight="1" x14ac:dyDescent="0.2">
      <c r="B220" s="2"/>
      <c r="C220" s="29"/>
    </row>
    <row r="221" spans="2:3" ht="15.75" customHeight="1" x14ac:dyDescent="0.2">
      <c r="B221" s="2"/>
      <c r="C221" s="29"/>
    </row>
    <row r="222" spans="2:3" ht="15.75" customHeight="1" x14ac:dyDescent="0.2">
      <c r="B222" s="2"/>
      <c r="C222" s="29"/>
    </row>
    <row r="223" spans="2:3" ht="15.75" customHeight="1" x14ac:dyDescent="0.2">
      <c r="B223" s="2"/>
      <c r="C223" s="29"/>
    </row>
    <row r="224" spans="2:3" ht="15.75" customHeight="1" x14ac:dyDescent="0.2">
      <c r="B224" s="2"/>
      <c r="C224" s="29"/>
    </row>
    <row r="225" spans="2:3" ht="15.75" customHeight="1" x14ac:dyDescent="0.2">
      <c r="B225" s="2"/>
      <c r="C225" s="29"/>
    </row>
    <row r="226" spans="2:3" ht="15.75" customHeight="1" x14ac:dyDescent="0.2">
      <c r="B226" s="2"/>
      <c r="C226" s="29"/>
    </row>
    <row r="227" spans="2:3" ht="15.75" customHeight="1" x14ac:dyDescent="0.2">
      <c r="B227" s="2"/>
      <c r="C227" s="29"/>
    </row>
    <row r="228" spans="2:3" ht="15.75" customHeight="1" x14ac:dyDescent="0.2">
      <c r="B228" s="2"/>
      <c r="C228" s="29"/>
    </row>
    <row r="229" spans="2:3" ht="15.75" customHeight="1" x14ac:dyDescent="0.2">
      <c r="B229" s="2"/>
      <c r="C229" s="29"/>
    </row>
    <row r="230" spans="2:3" ht="15.75" customHeight="1" x14ac:dyDescent="0.2">
      <c r="B230" s="2"/>
      <c r="C230" s="29"/>
    </row>
    <row r="231" spans="2:3" ht="15.75" customHeight="1" x14ac:dyDescent="0.2">
      <c r="B231" s="2"/>
      <c r="C231" s="29"/>
    </row>
    <row r="232" spans="2:3" ht="15.75" customHeight="1" x14ac:dyDescent="0.2">
      <c r="B232" s="2"/>
      <c r="C232" s="29"/>
    </row>
    <row r="233" spans="2:3" ht="15.75" customHeight="1" x14ac:dyDescent="0.2">
      <c r="B233" s="2"/>
      <c r="C233" s="29"/>
    </row>
    <row r="234" spans="2:3" ht="15.75" customHeight="1" x14ac:dyDescent="0.2">
      <c r="B234" s="2"/>
      <c r="C234" s="29"/>
    </row>
    <row r="235" spans="2:3" ht="15.75" customHeight="1" x14ac:dyDescent="0.2">
      <c r="B235" s="2"/>
      <c r="C235" s="29"/>
    </row>
    <row r="236" spans="2:3" ht="15.75" customHeight="1" x14ac:dyDescent="0.2">
      <c r="B236" s="2"/>
      <c r="C236" s="29"/>
    </row>
    <row r="237" spans="2:3" ht="15.75" customHeight="1" x14ac:dyDescent="0.2">
      <c r="B237" s="2"/>
      <c r="C237" s="29"/>
    </row>
    <row r="238" spans="2:3" ht="15.75" customHeight="1" x14ac:dyDescent="0.2">
      <c r="B238" s="2"/>
      <c r="C238" s="29"/>
    </row>
    <row r="239" spans="2:3" ht="15.75" customHeight="1" x14ac:dyDescent="0.2">
      <c r="B239" s="2"/>
      <c r="C239" s="29"/>
    </row>
    <row r="240" spans="2:3" ht="15.75" customHeight="1" x14ac:dyDescent="0.2">
      <c r="B240" s="2"/>
      <c r="C240" s="29"/>
    </row>
    <row r="241" spans="2:3" ht="15.75" customHeight="1" x14ac:dyDescent="0.2">
      <c r="B241" s="2"/>
      <c r="C241" s="29"/>
    </row>
    <row r="242" spans="2:3" ht="15.75" customHeight="1" x14ac:dyDescent="0.2">
      <c r="B242" s="2"/>
      <c r="C242" s="29"/>
    </row>
    <row r="243" spans="2:3" ht="15.75" customHeight="1" x14ac:dyDescent="0.2">
      <c r="B243" s="2"/>
      <c r="C243" s="29"/>
    </row>
    <row r="244" spans="2:3" ht="15.75" customHeight="1" x14ac:dyDescent="0.2">
      <c r="B244" s="2"/>
      <c r="C244" s="29"/>
    </row>
    <row r="245" spans="2:3" ht="15.75" customHeight="1" x14ac:dyDescent="0.2">
      <c r="B245" s="2"/>
      <c r="C245" s="29"/>
    </row>
    <row r="246" spans="2:3" ht="15.75" customHeight="1" x14ac:dyDescent="0.2">
      <c r="B246" s="2"/>
      <c r="C246" s="29"/>
    </row>
    <row r="247" spans="2:3" ht="15.75" customHeight="1" x14ac:dyDescent="0.2">
      <c r="B247" s="2"/>
      <c r="C247" s="29"/>
    </row>
    <row r="248" spans="2:3" ht="15.75" customHeight="1" x14ac:dyDescent="0.2">
      <c r="B248" s="2"/>
      <c r="C248" s="29"/>
    </row>
    <row r="249" spans="2:3" ht="15.75" customHeight="1" x14ac:dyDescent="0.2">
      <c r="B249" s="2"/>
      <c r="C249" s="29"/>
    </row>
    <row r="250" spans="2:3" ht="15.75" customHeight="1" x14ac:dyDescent="0.2">
      <c r="B250" s="2"/>
      <c r="C250" s="29"/>
    </row>
    <row r="251" spans="2:3" ht="15.75" customHeight="1" x14ac:dyDescent="0.2">
      <c r="B251" s="2"/>
      <c r="C251" s="29"/>
    </row>
    <row r="252" spans="2:3" ht="15.75" customHeight="1" x14ac:dyDescent="0.2">
      <c r="B252" s="2"/>
      <c r="C252" s="29"/>
    </row>
    <row r="253" spans="2:3" ht="15.75" customHeight="1" x14ac:dyDescent="0.2">
      <c r="B253" s="2"/>
      <c r="C253" s="29"/>
    </row>
    <row r="254" spans="2:3" ht="15.75" customHeight="1" x14ac:dyDescent="0.2">
      <c r="B254" s="2"/>
      <c r="C254" s="29"/>
    </row>
    <row r="255" spans="2:3" ht="15.75" customHeight="1" x14ac:dyDescent="0.2">
      <c r="B255" s="2"/>
      <c r="C255" s="29"/>
    </row>
    <row r="256" spans="2:3" ht="15.75" customHeight="1" x14ac:dyDescent="0.2">
      <c r="B256" s="2"/>
      <c r="C256" s="29"/>
    </row>
    <row r="257" spans="2:3" ht="15.75" customHeight="1" x14ac:dyDescent="0.2">
      <c r="B257" s="2"/>
      <c r="C257" s="29"/>
    </row>
    <row r="258" spans="2:3" ht="15.75" customHeight="1" x14ac:dyDescent="0.2">
      <c r="B258" s="2"/>
      <c r="C258" s="29"/>
    </row>
    <row r="259" spans="2:3" ht="15.75" customHeight="1" x14ac:dyDescent="0.2">
      <c r="B259" s="2"/>
      <c r="C259" s="29"/>
    </row>
    <row r="260" spans="2:3" ht="15.75" customHeight="1" x14ac:dyDescent="0.2">
      <c r="B260" s="2"/>
      <c r="C260" s="29"/>
    </row>
    <row r="261" spans="2:3" ht="15.75" customHeight="1" x14ac:dyDescent="0.2">
      <c r="B261" s="2"/>
      <c r="C261" s="29"/>
    </row>
    <row r="262" spans="2:3" ht="15.75" customHeight="1" x14ac:dyDescent="0.2">
      <c r="B262" s="2"/>
      <c r="C262" s="29"/>
    </row>
    <row r="263" spans="2:3" ht="15.75" customHeight="1" x14ac:dyDescent="0.2">
      <c r="B263" s="2"/>
      <c r="C263" s="29"/>
    </row>
    <row r="264" spans="2:3" ht="15.75" customHeight="1" x14ac:dyDescent="0.2">
      <c r="B264" s="2"/>
      <c r="C264" s="29"/>
    </row>
    <row r="265" spans="2:3" ht="15.75" customHeight="1" x14ac:dyDescent="0.2">
      <c r="B265" s="2"/>
      <c r="C265" s="29"/>
    </row>
    <row r="266" spans="2:3" ht="15.75" customHeight="1" x14ac:dyDescent="0.2">
      <c r="B266" s="2"/>
      <c r="C266" s="29"/>
    </row>
    <row r="267" spans="2:3" ht="15.75" customHeight="1" x14ac:dyDescent="0.2">
      <c r="B267" s="2"/>
      <c r="C267" s="29"/>
    </row>
    <row r="268" spans="2:3" ht="15.75" customHeight="1" x14ac:dyDescent="0.2">
      <c r="B268" s="2"/>
      <c r="C268" s="29"/>
    </row>
    <row r="269" spans="2:3" ht="15.75" customHeight="1" x14ac:dyDescent="0.2">
      <c r="B269" s="2"/>
      <c r="C269" s="29"/>
    </row>
    <row r="270" spans="2:3" ht="15.75" customHeight="1" x14ac:dyDescent="0.2">
      <c r="B270" s="2"/>
      <c r="C270" s="29"/>
    </row>
    <row r="271" spans="2:3" ht="15.75" customHeight="1" x14ac:dyDescent="0.2">
      <c r="B271" s="2"/>
      <c r="C271" s="29"/>
    </row>
    <row r="272" spans="2:3" ht="15.75" customHeight="1" x14ac:dyDescent="0.2">
      <c r="B272" s="2"/>
      <c r="C272" s="29"/>
    </row>
    <row r="273" spans="2:3" ht="15.75" customHeight="1" x14ac:dyDescent="0.2">
      <c r="B273" s="2"/>
      <c r="C273" s="29"/>
    </row>
    <row r="274" spans="2:3" ht="15.75" customHeight="1" x14ac:dyDescent="0.2">
      <c r="B274" s="2"/>
      <c r="C274" s="29"/>
    </row>
    <row r="275" spans="2:3" ht="15.75" customHeight="1" x14ac:dyDescent="0.2">
      <c r="B275" s="2"/>
      <c r="C275" s="29"/>
    </row>
    <row r="276" spans="2:3" ht="15.75" customHeight="1" x14ac:dyDescent="0.2">
      <c r="B276" s="2"/>
      <c r="C276" s="29"/>
    </row>
    <row r="277" spans="2:3" ht="15.75" customHeight="1" x14ac:dyDescent="0.2">
      <c r="B277" s="2"/>
      <c r="C277" s="29"/>
    </row>
    <row r="278" spans="2:3" ht="15.75" customHeight="1" x14ac:dyDescent="0.2">
      <c r="B278" s="2"/>
      <c r="C278" s="29"/>
    </row>
    <row r="279" spans="2:3" ht="15.75" customHeight="1" x14ac:dyDescent="0.2">
      <c r="B279" s="2"/>
      <c r="C279" s="29"/>
    </row>
    <row r="280" spans="2:3" ht="15.75" customHeight="1" x14ac:dyDescent="0.2">
      <c r="B280" s="2"/>
      <c r="C280" s="29"/>
    </row>
    <row r="281" spans="2:3" ht="15.75" customHeight="1" x14ac:dyDescent="0.2">
      <c r="B281" s="2"/>
      <c r="C281" s="29"/>
    </row>
    <row r="282" spans="2:3" ht="15.75" customHeight="1" x14ac:dyDescent="0.2">
      <c r="B282" s="2"/>
      <c r="C282" s="29"/>
    </row>
    <row r="283" spans="2:3" ht="15.75" customHeight="1" x14ac:dyDescent="0.2">
      <c r="B283" s="2"/>
      <c r="C283" s="29"/>
    </row>
    <row r="284" spans="2:3" ht="15.75" customHeight="1" x14ac:dyDescent="0.2">
      <c r="B284" s="2"/>
      <c r="C284" s="29"/>
    </row>
    <row r="285" spans="2:3" ht="15.75" customHeight="1" x14ac:dyDescent="0.2">
      <c r="B285" s="2"/>
      <c r="C285" s="29"/>
    </row>
    <row r="286" spans="2:3" ht="15.75" customHeight="1" x14ac:dyDescent="0.2">
      <c r="B286" s="2"/>
      <c r="C286" s="29"/>
    </row>
    <row r="287" spans="2:3" ht="15.75" customHeight="1" x14ac:dyDescent="0.2">
      <c r="B287" s="2"/>
      <c r="C287" s="29"/>
    </row>
    <row r="288" spans="2:3" ht="15.75" customHeight="1" x14ac:dyDescent="0.2">
      <c r="B288" s="2"/>
      <c r="C288" s="29"/>
    </row>
    <row r="289" spans="2:3" ht="15.75" customHeight="1" x14ac:dyDescent="0.2">
      <c r="B289" s="2"/>
      <c r="C289" s="29"/>
    </row>
    <row r="290" spans="2:3" ht="15.75" customHeight="1" x14ac:dyDescent="0.2">
      <c r="B290" s="2"/>
      <c r="C290" s="29"/>
    </row>
    <row r="291" spans="2:3" ht="15.75" customHeight="1" x14ac:dyDescent="0.2">
      <c r="B291" s="2"/>
      <c r="C291" s="29"/>
    </row>
    <row r="292" spans="2:3" ht="15.75" customHeight="1" x14ac:dyDescent="0.2">
      <c r="B292" s="2"/>
      <c r="C292" s="29"/>
    </row>
    <row r="293" spans="2:3" ht="15.75" customHeight="1" x14ac:dyDescent="0.2">
      <c r="B293" s="2"/>
      <c r="C293" s="29"/>
    </row>
    <row r="294" spans="2:3" ht="15.75" customHeight="1" x14ac:dyDescent="0.2">
      <c r="B294" s="2"/>
      <c r="C294" s="29"/>
    </row>
    <row r="295" spans="2:3" ht="15.75" customHeight="1" x14ac:dyDescent="0.2">
      <c r="B295" s="2"/>
      <c r="C295" s="29"/>
    </row>
    <row r="296" spans="2:3" ht="15.75" customHeight="1" x14ac:dyDescent="0.2">
      <c r="B296" s="2"/>
      <c r="C296" s="29"/>
    </row>
    <row r="297" spans="2:3" ht="15.75" customHeight="1" x14ac:dyDescent="0.2">
      <c r="B297" s="2"/>
      <c r="C297" s="29"/>
    </row>
    <row r="298" spans="2:3" ht="15.75" customHeight="1" x14ac:dyDescent="0.2">
      <c r="B298" s="2"/>
      <c r="C298" s="29"/>
    </row>
    <row r="299" spans="2:3" ht="15.75" customHeight="1" x14ac:dyDescent="0.2">
      <c r="B299" s="2"/>
      <c r="C299" s="29"/>
    </row>
    <row r="300" spans="2:3" ht="15.75" customHeight="1" x14ac:dyDescent="0.2">
      <c r="B300" s="2"/>
      <c r="C300" s="29"/>
    </row>
    <row r="301" spans="2:3" ht="15.75" customHeight="1" x14ac:dyDescent="0.2">
      <c r="B301" s="2"/>
      <c r="C301" s="29"/>
    </row>
    <row r="302" spans="2:3" ht="15.75" customHeight="1" x14ac:dyDescent="0.2">
      <c r="B302" s="2"/>
      <c r="C302" s="29"/>
    </row>
    <row r="303" spans="2:3" ht="15.75" customHeight="1" x14ac:dyDescent="0.2">
      <c r="B303" s="2"/>
      <c r="C303" s="29"/>
    </row>
    <row r="304" spans="2:3" ht="15.75" customHeight="1" x14ac:dyDescent="0.2">
      <c r="B304" s="2"/>
      <c r="C304" s="29"/>
    </row>
    <row r="305" spans="2:3" ht="15.75" customHeight="1" x14ac:dyDescent="0.2">
      <c r="B305" s="2"/>
      <c r="C305" s="29"/>
    </row>
    <row r="306" spans="2:3" ht="15.75" customHeight="1" x14ac:dyDescent="0.2">
      <c r="B306" s="2"/>
      <c r="C306" s="29"/>
    </row>
    <row r="307" spans="2:3" ht="15.75" customHeight="1" x14ac:dyDescent="0.2">
      <c r="B307" s="2"/>
      <c r="C307" s="29"/>
    </row>
    <row r="308" spans="2:3" ht="15.75" customHeight="1" x14ac:dyDescent="0.2">
      <c r="B308" s="2"/>
      <c r="C308" s="29"/>
    </row>
    <row r="309" spans="2:3" ht="15.75" customHeight="1" x14ac:dyDescent="0.2">
      <c r="B309" s="2"/>
      <c r="C309" s="29"/>
    </row>
    <row r="310" spans="2:3" ht="15.75" customHeight="1" x14ac:dyDescent="0.2">
      <c r="B310" s="2"/>
      <c r="C310" s="29"/>
    </row>
    <row r="311" spans="2:3" ht="15.75" customHeight="1" x14ac:dyDescent="0.2">
      <c r="B311" s="2"/>
      <c r="C311" s="29"/>
    </row>
    <row r="312" spans="2:3" ht="15.75" customHeight="1" x14ac:dyDescent="0.2">
      <c r="B312" s="2"/>
      <c r="C312" s="29"/>
    </row>
    <row r="313" spans="2:3" ht="15.75" customHeight="1" x14ac:dyDescent="0.2">
      <c r="B313" s="2"/>
      <c r="C313" s="29"/>
    </row>
    <row r="314" spans="2:3" ht="15.75" customHeight="1" x14ac:dyDescent="0.2">
      <c r="B314" s="2"/>
      <c r="C314" s="29"/>
    </row>
    <row r="315" spans="2:3" ht="15.75" customHeight="1" x14ac:dyDescent="0.2">
      <c r="B315" s="2"/>
      <c r="C315" s="29"/>
    </row>
    <row r="316" spans="2:3" ht="15.75" customHeight="1" x14ac:dyDescent="0.2">
      <c r="B316" s="2"/>
      <c r="C316" s="29"/>
    </row>
    <row r="317" spans="2:3" ht="15.75" customHeight="1" x14ac:dyDescent="0.2">
      <c r="B317" s="2"/>
      <c r="C317" s="29"/>
    </row>
    <row r="318" spans="2:3" ht="15.75" customHeight="1" x14ac:dyDescent="0.2">
      <c r="B318" s="2"/>
      <c r="C318" s="29"/>
    </row>
    <row r="319" spans="2:3" ht="15.75" customHeight="1" x14ac:dyDescent="0.2">
      <c r="B319" s="2"/>
      <c r="C319" s="29"/>
    </row>
    <row r="320" spans="2:3" ht="15.75" customHeight="1" x14ac:dyDescent="0.2">
      <c r="B320" s="2"/>
      <c r="C320" s="29"/>
    </row>
    <row r="321" spans="2:3" ht="15.75" customHeight="1" x14ac:dyDescent="0.2">
      <c r="B321" s="2"/>
      <c r="C321" s="29"/>
    </row>
    <row r="322" spans="2:3" ht="15.75" customHeight="1" x14ac:dyDescent="0.2">
      <c r="B322" s="2"/>
      <c r="C322" s="29"/>
    </row>
    <row r="323" spans="2:3" ht="15.75" customHeight="1" x14ac:dyDescent="0.2">
      <c r="B323" s="2"/>
      <c r="C323" s="29"/>
    </row>
    <row r="324" spans="2:3" ht="15.75" customHeight="1" x14ac:dyDescent="0.2">
      <c r="B324" s="2"/>
      <c r="C324" s="29"/>
    </row>
    <row r="325" spans="2:3" ht="15.75" customHeight="1" x14ac:dyDescent="0.2">
      <c r="B325" s="2"/>
      <c r="C325" s="29"/>
    </row>
    <row r="326" spans="2:3" ht="15.75" customHeight="1" x14ac:dyDescent="0.2">
      <c r="B326" s="2"/>
      <c r="C326" s="29"/>
    </row>
    <row r="327" spans="2:3" ht="15.75" customHeight="1" x14ac:dyDescent="0.2">
      <c r="B327" s="2"/>
      <c r="C327" s="29"/>
    </row>
    <row r="328" spans="2:3" ht="15.75" customHeight="1" x14ac:dyDescent="0.2">
      <c r="B328" s="2"/>
      <c r="C328" s="29"/>
    </row>
    <row r="329" spans="2:3" ht="15.75" customHeight="1" x14ac:dyDescent="0.2">
      <c r="B329" s="2"/>
      <c r="C329" s="29"/>
    </row>
    <row r="330" spans="2:3" ht="15.75" customHeight="1" x14ac:dyDescent="0.2">
      <c r="B330" s="2"/>
      <c r="C330" s="29"/>
    </row>
    <row r="331" spans="2:3" ht="15.75" customHeight="1" x14ac:dyDescent="0.2">
      <c r="B331" s="2"/>
      <c r="C331" s="29"/>
    </row>
    <row r="332" spans="2:3" ht="15.75" customHeight="1" x14ac:dyDescent="0.2">
      <c r="B332" s="2"/>
      <c r="C332" s="29"/>
    </row>
    <row r="333" spans="2:3" ht="15.75" customHeight="1" x14ac:dyDescent="0.2">
      <c r="B333" s="2"/>
      <c r="C333" s="29"/>
    </row>
    <row r="334" spans="2:3" ht="15.75" customHeight="1" x14ac:dyDescent="0.2">
      <c r="B334" s="2"/>
      <c r="C334" s="29"/>
    </row>
    <row r="335" spans="2:3" ht="15.75" customHeight="1" x14ac:dyDescent="0.2">
      <c r="B335" s="2"/>
      <c r="C335" s="29"/>
    </row>
    <row r="336" spans="2:3" ht="15.75" customHeight="1" x14ac:dyDescent="0.2">
      <c r="B336" s="2"/>
      <c r="C336" s="29"/>
    </row>
    <row r="337" spans="2:3" ht="15.75" customHeight="1" x14ac:dyDescent="0.2">
      <c r="B337" s="2"/>
      <c r="C337" s="29"/>
    </row>
    <row r="338" spans="2:3" ht="15.75" customHeight="1" x14ac:dyDescent="0.2">
      <c r="B338" s="2"/>
      <c r="C338" s="29"/>
    </row>
    <row r="339" spans="2:3" ht="15.75" customHeight="1" x14ac:dyDescent="0.2">
      <c r="B339" s="2"/>
      <c r="C339" s="29"/>
    </row>
    <row r="340" spans="2:3" ht="15.75" customHeight="1" x14ac:dyDescent="0.2">
      <c r="B340" s="2"/>
      <c r="C340" s="29"/>
    </row>
    <row r="341" spans="2:3" ht="15.75" customHeight="1" x14ac:dyDescent="0.2">
      <c r="B341" s="2"/>
      <c r="C341" s="29"/>
    </row>
    <row r="342" spans="2:3" ht="15.75" customHeight="1" x14ac:dyDescent="0.2">
      <c r="B342" s="2"/>
      <c r="C342" s="29"/>
    </row>
    <row r="343" spans="2:3" ht="15.75" customHeight="1" x14ac:dyDescent="0.2">
      <c r="B343" s="2"/>
      <c r="C343" s="29"/>
    </row>
    <row r="344" spans="2:3" ht="15.75" customHeight="1" x14ac:dyDescent="0.2">
      <c r="B344" s="2"/>
      <c r="C344" s="29"/>
    </row>
    <row r="345" spans="2:3" ht="15.75" customHeight="1" x14ac:dyDescent="0.2">
      <c r="B345" s="2"/>
      <c r="C345" s="29"/>
    </row>
    <row r="346" spans="2:3" ht="15.75" customHeight="1" x14ac:dyDescent="0.2">
      <c r="B346" s="2"/>
      <c r="C346" s="29"/>
    </row>
    <row r="347" spans="2:3" ht="15.75" customHeight="1" x14ac:dyDescent="0.2">
      <c r="B347" s="2"/>
      <c r="C347" s="29"/>
    </row>
    <row r="348" spans="2:3" ht="15.75" customHeight="1" x14ac:dyDescent="0.2">
      <c r="B348" s="2"/>
      <c r="C348" s="29"/>
    </row>
    <row r="349" spans="2:3" ht="15.75" customHeight="1" x14ac:dyDescent="0.2">
      <c r="B349" s="2"/>
      <c r="C349" s="29"/>
    </row>
    <row r="350" spans="2:3" ht="15.75" customHeight="1" x14ac:dyDescent="0.2">
      <c r="B350" s="2"/>
      <c r="C350" s="29"/>
    </row>
    <row r="351" spans="2:3" ht="15.75" customHeight="1" x14ac:dyDescent="0.2">
      <c r="B351" s="2"/>
      <c r="C351" s="29"/>
    </row>
    <row r="352" spans="2:3" ht="15.75" customHeight="1" x14ac:dyDescent="0.2">
      <c r="B352" s="2"/>
      <c r="C352" s="29"/>
    </row>
    <row r="353" spans="2:3" ht="15.75" customHeight="1" x14ac:dyDescent="0.2">
      <c r="B353" s="2"/>
      <c r="C353" s="29"/>
    </row>
    <row r="354" spans="2:3" ht="15.75" customHeight="1" x14ac:dyDescent="0.2">
      <c r="B354" s="2"/>
      <c r="C354" s="29"/>
    </row>
    <row r="355" spans="2:3" ht="15.75" customHeight="1" x14ac:dyDescent="0.2">
      <c r="B355" s="2"/>
      <c r="C355" s="29"/>
    </row>
    <row r="356" spans="2:3" ht="15.75" customHeight="1" x14ac:dyDescent="0.2">
      <c r="B356" s="2"/>
      <c r="C356" s="29"/>
    </row>
    <row r="357" spans="2:3" ht="15.75" customHeight="1" x14ac:dyDescent="0.2">
      <c r="B357" s="2"/>
      <c r="C357" s="29"/>
    </row>
    <row r="358" spans="2:3" ht="15.75" customHeight="1" x14ac:dyDescent="0.2">
      <c r="B358" s="2"/>
      <c r="C358" s="29"/>
    </row>
    <row r="359" spans="2:3" ht="15.75" customHeight="1" x14ac:dyDescent="0.2">
      <c r="B359" s="2"/>
      <c r="C359" s="29"/>
    </row>
    <row r="360" spans="2:3" ht="15.75" customHeight="1" x14ac:dyDescent="0.2">
      <c r="B360" s="2"/>
      <c r="C360" s="29"/>
    </row>
    <row r="361" spans="2:3" ht="15.75" customHeight="1" x14ac:dyDescent="0.2">
      <c r="B361" s="2"/>
      <c r="C361" s="29"/>
    </row>
    <row r="362" spans="2:3" ht="15.75" customHeight="1" x14ac:dyDescent="0.2">
      <c r="B362" s="2"/>
      <c r="C362" s="29"/>
    </row>
    <row r="363" spans="2:3" ht="15.75" customHeight="1" x14ac:dyDescent="0.2">
      <c r="B363" s="2"/>
      <c r="C363" s="29"/>
    </row>
    <row r="364" spans="2:3" ht="15.75" customHeight="1" x14ac:dyDescent="0.2">
      <c r="B364" s="2"/>
      <c r="C364" s="29"/>
    </row>
    <row r="365" spans="2:3" ht="15.75" customHeight="1" x14ac:dyDescent="0.2">
      <c r="B365" s="2"/>
      <c r="C365" s="29"/>
    </row>
    <row r="366" spans="2:3" ht="15.75" customHeight="1" x14ac:dyDescent="0.2">
      <c r="B366" s="2"/>
      <c r="C366" s="29"/>
    </row>
    <row r="367" spans="2:3" ht="15.75" customHeight="1" x14ac:dyDescent="0.2">
      <c r="B367" s="2"/>
      <c r="C367" s="29"/>
    </row>
    <row r="368" spans="2:3" ht="15.75" customHeight="1" x14ac:dyDescent="0.2">
      <c r="B368" s="2"/>
      <c r="C368" s="29"/>
    </row>
    <row r="369" spans="2:3" ht="15.75" customHeight="1" x14ac:dyDescent="0.2">
      <c r="B369" s="2"/>
      <c r="C369" s="29"/>
    </row>
    <row r="370" spans="2:3" ht="15.75" customHeight="1" x14ac:dyDescent="0.2">
      <c r="B370" s="2"/>
      <c r="C370" s="29"/>
    </row>
    <row r="371" spans="2:3" ht="15.75" customHeight="1" x14ac:dyDescent="0.2">
      <c r="B371" s="2"/>
      <c r="C371" s="29"/>
    </row>
    <row r="372" spans="2:3" ht="15.75" customHeight="1" x14ac:dyDescent="0.2">
      <c r="B372" s="2"/>
      <c r="C372" s="29"/>
    </row>
    <row r="373" spans="2:3" ht="15.75" customHeight="1" x14ac:dyDescent="0.2">
      <c r="B373" s="2"/>
      <c r="C373" s="29"/>
    </row>
    <row r="374" spans="2:3" ht="15.75" customHeight="1" x14ac:dyDescent="0.2">
      <c r="B374" s="2"/>
      <c r="C374" s="29"/>
    </row>
    <row r="375" spans="2:3" ht="15.75" customHeight="1" x14ac:dyDescent="0.2">
      <c r="B375" s="2"/>
      <c r="C375" s="29"/>
    </row>
    <row r="376" spans="2:3" ht="15.75" customHeight="1" x14ac:dyDescent="0.2">
      <c r="B376" s="2"/>
      <c r="C376" s="29"/>
    </row>
    <row r="377" spans="2:3" ht="15.75" customHeight="1" x14ac:dyDescent="0.2">
      <c r="B377" s="2"/>
      <c r="C377" s="29"/>
    </row>
    <row r="378" spans="2:3" ht="15.75" customHeight="1" x14ac:dyDescent="0.2">
      <c r="B378" s="2"/>
      <c r="C378" s="29"/>
    </row>
    <row r="379" spans="2:3" ht="15.75" customHeight="1" x14ac:dyDescent="0.2">
      <c r="B379" s="2"/>
      <c r="C379" s="29"/>
    </row>
    <row r="380" spans="2:3" ht="15.75" customHeight="1" x14ac:dyDescent="0.2">
      <c r="B380" s="2"/>
      <c r="C380" s="29"/>
    </row>
    <row r="381" spans="2:3" ht="15.75" customHeight="1" x14ac:dyDescent="0.2">
      <c r="B381" s="2"/>
      <c r="C381" s="29"/>
    </row>
    <row r="382" spans="2:3" ht="15.75" customHeight="1" x14ac:dyDescent="0.2">
      <c r="B382" s="2"/>
      <c r="C382" s="29"/>
    </row>
    <row r="383" spans="2:3" ht="15.75" customHeight="1" x14ac:dyDescent="0.2">
      <c r="B383" s="2"/>
      <c r="C383" s="29"/>
    </row>
    <row r="384" spans="2:3" ht="15.75" customHeight="1" x14ac:dyDescent="0.2">
      <c r="B384" s="2"/>
      <c r="C384" s="29"/>
    </row>
    <row r="385" spans="2:3" ht="15.75" customHeight="1" x14ac:dyDescent="0.2">
      <c r="B385" s="2"/>
      <c r="C385" s="29"/>
    </row>
    <row r="386" spans="2:3" ht="15.75" customHeight="1" x14ac:dyDescent="0.2">
      <c r="B386" s="2"/>
      <c r="C386" s="29"/>
    </row>
    <row r="387" spans="2:3" ht="15.75" customHeight="1" x14ac:dyDescent="0.2">
      <c r="B387" s="2"/>
      <c r="C387" s="29"/>
    </row>
    <row r="388" spans="2:3" ht="15.75" customHeight="1" x14ac:dyDescent="0.2">
      <c r="B388" s="2"/>
      <c r="C388" s="29"/>
    </row>
    <row r="389" spans="2:3" ht="15.75" customHeight="1" x14ac:dyDescent="0.2">
      <c r="B389" s="2"/>
      <c r="C389" s="29"/>
    </row>
    <row r="390" spans="2:3" ht="15.75" customHeight="1" x14ac:dyDescent="0.2">
      <c r="B390" s="2"/>
      <c r="C390" s="29"/>
    </row>
    <row r="391" spans="2:3" ht="15.75" customHeight="1" x14ac:dyDescent="0.2">
      <c r="B391" s="2"/>
      <c r="C391" s="29"/>
    </row>
    <row r="392" spans="2:3" ht="15.75" customHeight="1" x14ac:dyDescent="0.2">
      <c r="B392" s="2"/>
      <c r="C392" s="29"/>
    </row>
    <row r="393" spans="2:3" ht="15.75" customHeight="1" x14ac:dyDescent="0.2">
      <c r="B393" s="2"/>
      <c r="C393" s="29"/>
    </row>
    <row r="394" spans="2:3" ht="15.75" customHeight="1" x14ac:dyDescent="0.2">
      <c r="B394" s="2"/>
      <c r="C394" s="29"/>
    </row>
    <row r="395" spans="2:3" ht="15.75" customHeight="1" x14ac:dyDescent="0.2">
      <c r="B395" s="2"/>
      <c r="C395" s="29"/>
    </row>
    <row r="396" spans="2:3" ht="15.75" customHeight="1" x14ac:dyDescent="0.2">
      <c r="B396" s="2"/>
      <c r="C396" s="29"/>
    </row>
    <row r="397" spans="2:3" ht="15.75" customHeight="1" x14ac:dyDescent="0.2">
      <c r="B397" s="2"/>
      <c r="C397" s="29"/>
    </row>
    <row r="398" spans="2:3" ht="15.75" customHeight="1" x14ac:dyDescent="0.2">
      <c r="B398" s="2"/>
      <c r="C398" s="29"/>
    </row>
    <row r="399" spans="2:3" ht="15.75" customHeight="1" x14ac:dyDescent="0.2">
      <c r="B399" s="2"/>
      <c r="C399" s="29"/>
    </row>
    <row r="400" spans="2:3" ht="15.75" customHeight="1" x14ac:dyDescent="0.2">
      <c r="B400" s="2"/>
      <c r="C400" s="29"/>
    </row>
    <row r="401" spans="2:3" ht="15.75" customHeight="1" x14ac:dyDescent="0.2">
      <c r="B401" s="2"/>
      <c r="C401" s="29"/>
    </row>
    <row r="402" spans="2:3" ht="15.75" customHeight="1" x14ac:dyDescent="0.2">
      <c r="B402" s="2"/>
      <c r="C402" s="29"/>
    </row>
    <row r="403" spans="2:3" ht="15.75" customHeight="1" x14ac:dyDescent="0.2">
      <c r="B403" s="2"/>
      <c r="C403" s="29"/>
    </row>
    <row r="404" spans="2:3" ht="15.75" customHeight="1" x14ac:dyDescent="0.2">
      <c r="B404" s="2"/>
      <c r="C404" s="29"/>
    </row>
    <row r="405" spans="2:3" ht="15.75" customHeight="1" x14ac:dyDescent="0.2">
      <c r="B405" s="2"/>
      <c r="C405" s="29"/>
    </row>
    <row r="406" spans="2:3" ht="15.75" customHeight="1" x14ac:dyDescent="0.2">
      <c r="B406" s="2"/>
      <c r="C406" s="29"/>
    </row>
    <row r="407" spans="2:3" ht="15.75" customHeight="1" x14ac:dyDescent="0.2">
      <c r="B407" s="2"/>
      <c r="C407" s="29"/>
    </row>
    <row r="408" spans="2:3" ht="15.75" customHeight="1" x14ac:dyDescent="0.2">
      <c r="B408" s="2"/>
      <c r="C408" s="29"/>
    </row>
    <row r="409" spans="2:3" ht="15.75" customHeight="1" x14ac:dyDescent="0.2">
      <c r="B409" s="2"/>
      <c r="C409" s="29"/>
    </row>
    <row r="410" spans="2:3" ht="15.75" customHeight="1" x14ac:dyDescent="0.2">
      <c r="B410" s="2"/>
      <c r="C410" s="29"/>
    </row>
    <row r="411" spans="2:3" ht="15.75" customHeight="1" x14ac:dyDescent="0.2">
      <c r="B411" s="2"/>
      <c r="C411" s="29"/>
    </row>
    <row r="412" spans="2:3" ht="15.75" customHeight="1" x14ac:dyDescent="0.2">
      <c r="B412" s="2"/>
      <c r="C412" s="29"/>
    </row>
    <row r="413" spans="2:3" ht="15.75" customHeight="1" x14ac:dyDescent="0.2">
      <c r="B413" s="2"/>
      <c r="C413" s="29"/>
    </row>
    <row r="414" spans="2:3" ht="15.75" customHeight="1" x14ac:dyDescent="0.2">
      <c r="B414" s="2"/>
      <c r="C414" s="29"/>
    </row>
    <row r="415" spans="2:3" ht="15.75" customHeight="1" x14ac:dyDescent="0.2">
      <c r="B415" s="2"/>
      <c r="C415" s="29"/>
    </row>
    <row r="416" spans="2:3" ht="15.75" customHeight="1" x14ac:dyDescent="0.2">
      <c r="B416" s="2"/>
      <c r="C416" s="29"/>
    </row>
    <row r="417" spans="2:3" ht="15.75" customHeight="1" x14ac:dyDescent="0.2">
      <c r="B417" s="2"/>
      <c r="C417" s="29"/>
    </row>
    <row r="418" spans="2:3" ht="15.75" customHeight="1" x14ac:dyDescent="0.2">
      <c r="B418" s="2"/>
      <c r="C418" s="29"/>
    </row>
    <row r="419" spans="2:3" ht="15.75" customHeight="1" x14ac:dyDescent="0.2">
      <c r="B419" s="2"/>
      <c r="C419" s="29"/>
    </row>
    <row r="420" spans="2:3" ht="15.75" customHeight="1" x14ac:dyDescent="0.2">
      <c r="B420" s="2"/>
      <c r="C420" s="29"/>
    </row>
    <row r="421" spans="2:3" ht="15.75" customHeight="1" x14ac:dyDescent="0.2">
      <c r="B421" s="2"/>
      <c r="C421" s="29"/>
    </row>
    <row r="422" spans="2:3" ht="15.75" customHeight="1" x14ac:dyDescent="0.2">
      <c r="B422" s="2"/>
      <c r="C422" s="29"/>
    </row>
    <row r="423" spans="2:3" ht="15.75" customHeight="1" x14ac:dyDescent="0.2">
      <c r="B423" s="2"/>
      <c r="C423" s="29"/>
    </row>
    <row r="424" spans="2:3" ht="15.75" customHeight="1" x14ac:dyDescent="0.2">
      <c r="B424" s="2"/>
      <c r="C424" s="29"/>
    </row>
    <row r="425" spans="2:3" ht="15.75" customHeight="1" x14ac:dyDescent="0.2">
      <c r="B425" s="2"/>
      <c r="C425" s="29"/>
    </row>
    <row r="426" spans="2:3" ht="15.75" customHeight="1" x14ac:dyDescent="0.2">
      <c r="B426" s="2"/>
      <c r="C426" s="29"/>
    </row>
    <row r="427" spans="2:3" ht="15.75" customHeight="1" x14ac:dyDescent="0.2">
      <c r="B427" s="2"/>
      <c r="C427" s="29"/>
    </row>
    <row r="428" spans="2:3" ht="15.75" customHeight="1" x14ac:dyDescent="0.2">
      <c r="B428" s="2"/>
      <c r="C428" s="29"/>
    </row>
    <row r="429" spans="2:3" ht="15.75" customHeight="1" x14ac:dyDescent="0.2">
      <c r="B429" s="2"/>
      <c r="C429" s="29"/>
    </row>
    <row r="430" spans="2:3" ht="15.75" customHeight="1" x14ac:dyDescent="0.2">
      <c r="B430" s="2"/>
      <c r="C430" s="29"/>
    </row>
    <row r="431" spans="2:3" ht="15.75" customHeight="1" x14ac:dyDescent="0.2">
      <c r="B431" s="2"/>
      <c r="C431" s="29"/>
    </row>
    <row r="432" spans="2:3" ht="15.75" customHeight="1" x14ac:dyDescent="0.2">
      <c r="B432" s="2"/>
      <c r="C432" s="29"/>
    </row>
    <row r="433" spans="2:3" ht="15.75" customHeight="1" x14ac:dyDescent="0.2">
      <c r="B433" s="2"/>
      <c r="C433" s="29"/>
    </row>
    <row r="434" spans="2:3" ht="15.75" customHeight="1" x14ac:dyDescent="0.2">
      <c r="B434" s="2"/>
      <c r="C434" s="29"/>
    </row>
    <row r="435" spans="2:3" ht="15.75" customHeight="1" x14ac:dyDescent="0.2">
      <c r="B435" s="2"/>
      <c r="C435" s="29"/>
    </row>
    <row r="436" spans="2:3" ht="15.75" customHeight="1" x14ac:dyDescent="0.2">
      <c r="B436" s="2"/>
      <c r="C436" s="29"/>
    </row>
    <row r="437" spans="2:3" ht="15.75" customHeight="1" x14ac:dyDescent="0.2">
      <c r="B437" s="2"/>
      <c r="C437" s="29"/>
    </row>
    <row r="438" spans="2:3" ht="15.75" customHeight="1" x14ac:dyDescent="0.2">
      <c r="B438" s="2"/>
      <c r="C438" s="29"/>
    </row>
    <row r="439" spans="2:3" ht="15.75" customHeight="1" x14ac:dyDescent="0.2">
      <c r="B439" s="2"/>
      <c r="C439" s="29"/>
    </row>
    <row r="440" spans="2:3" ht="15.75" customHeight="1" x14ac:dyDescent="0.2">
      <c r="B440" s="2"/>
      <c r="C440" s="29"/>
    </row>
    <row r="441" spans="2:3" ht="15.75" customHeight="1" x14ac:dyDescent="0.2">
      <c r="B441" s="2"/>
      <c r="C441" s="29"/>
    </row>
    <row r="442" spans="2:3" ht="15.75" customHeight="1" x14ac:dyDescent="0.2">
      <c r="B442" s="2"/>
      <c r="C442" s="29"/>
    </row>
    <row r="443" spans="2:3" ht="15.75" customHeight="1" x14ac:dyDescent="0.2">
      <c r="B443" s="2"/>
      <c r="C443" s="29"/>
    </row>
    <row r="444" spans="2:3" ht="15.75" customHeight="1" x14ac:dyDescent="0.2">
      <c r="B444" s="2"/>
      <c r="C444" s="29"/>
    </row>
    <row r="445" spans="2:3" ht="15.75" customHeight="1" x14ac:dyDescent="0.2">
      <c r="B445" s="2"/>
      <c r="C445" s="29"/>
    </row>
    <row r="446" spans="2:3" ht="15.75" customHeight="1" x14ac:dyDescent="0.2">
      <c r="B446" s="2"/>
      <c r="C446" s="29"/>
    </row>
    <row r="447" spans="2:3" ht="15.75" customHeight="1" x14ac:dyDescent="0.2">
      <c r="B447" s="2"/>
      <c r="C447" s="29"/>
    </row>
    <row r="448" spans="2:3" ht="15.75" customHeight="1" x14ac:dyDescent="0.2">
      <c r="B448" s="2"/>
      <c r="C448" s="29"/>
    </row>
    <row r="449" spans="2:3" ht="15.75" customHeight="1" x14ac:dyDescent="0.2">
      <c r="B449" s="2"/>
      <c r="C449" s="29"/>
    </row>
    <row r="450" spans="2:3" ht="15.75" customHeight="1" x14ac:dyDescent="0.2">
      <c r="B450" s="2"/>
      <c r="C450" s="29"/>
    </row>
    <row r="451" spans="2:3" ht="15.75" customHeight="1" x14ac:dyDescent="0.2">
      <c r="B451" s="2"/>
      <c r="C451" s="29"/>
    </row>
    <row r="452" spans="2:3" ht="15.75" customHeight="1" x14ac:dyDescent="0.2">
      <c r="B452" s="2"/>
      <c r="C452" s="29"/>
    </row>
    <row r="453" spans="2:3" ht="15.75" customHeight="1" x14ac:dyDescent="0.2">
      <c r="B453" s="2"/>
      <c r="C453" s="29"/>
    </row>
    <row r="454" spans="2:3" ht="15.75" customHeight="1" x14ac:dyDescent="0.2">
      <c r="B454" s="2"/>
      <c r="C454" s="29"/>
    </row>
    <row r="455" spans="2:3" ht="15.75" customHeight="1" x14ac:dyDescent="0.2">
      <c r="B455" s="2"/>
      <c r="C455" s="29"/>
    </row>
    <row r="456" spans="2:3" ht="15.75" customHeight="1" x14ac:dyDescent="0.2">
      <c r="B456" s="2"/>
      <c r="C456" s="29"/>
    </row>
    <row r="457" spans="2:3" ht="15.75" customHeight="1" x14ac:dyDescent="0.2">
      <c r="B457" s="2"/>
      <c r="C457" s="29"/>
    </row>
    <row r="458" spans="2:3" ht="15.75" customHeight="1" x14ac:dyDescent="0.2">
      <c r="B458" s="2"/>
      <c r="C458" s="29"/>
    </row>
    <row r="459" spans="2:3" ht="15.75" customHeight="1" x14ac:dyDescent="0.2">
      <c r="B459" s="2"/>
      <c r="C459" s="29"/>
    </row>
    <row r="460" spans="2:3" ht="15.75" customHeight="1" x14ac:dyDescent="0.2">
      <c r="B460" s="2"/>
      <c r="C460" s="29"/>
    </row>
    <row r="461" spans="2:3" ht="15.75" customHeight="1" x14ac:dyDescent="0.2">
      <c r="B461" s="2"/>
      <c r="C461" s="29"/>
    </row>
    <row r="462" spans="2:3" ht="15.75" customHeight="1" x14ac:dyDescent="0.2">
      <c r="B462" s="2"/>
      <c r="C462" s="29"/>
    </row>
    <row r="463" spans="2:3" ht="15.75" customHeight="1" x14ac:dyDescent="0.2">
      <c r="B463" s="2"/>
      <c r="C463" s="29"/>
    </row>
    <row r="464" spans="2:3" ht="15.75" customHeight="1" x14ac:dyDescent="0.2">
      <c r="B464" s="2"/>
      <c r="C464" s="29"/>
    </row>
    <row r="465" spans="2:3" ht="15.75" customHeight="1" x14ac:dyDescent="0.2">
      <c r="B465" s="2"/>
      <c r="C465" s="29"/>
    </row>
    <row r="466" spans="2:3" ht="15.75" customHeight="1" x14ac:dyDescent="0.2">
      <c r="B466" s="2"/>
      <c r="C466" s="29"/>
    </row>
    <row r="467" spans="2:3" ht="15.75" customHeight="1" x14ac:dyDescent="0.2">
      <c r="B467" s="2"/>
      <c r="C467" s="29"/>
    </row>
    <row r="468" spans="2:3" ht="15.75" customHeight="1" x14ac:dyDescent="0.2">
      <c r="B468" s="2"/>
      <c r="C468" s="29"/>
    </row>
    <row r="469" spans="2:3" ht="15.75" customHeight="1" x14ac:dyDescent="0.2">
      <c r="B469" s="2"/>
      <c r="C469" s="29"/>
    </row>
    <row r="470" spans="2:3" ht="15.75" customHeight="1" x14ac:dyDescent="0.2">
      <c r="B470" s="2"/>
      <c r="C470" s="29"/>
    </row>
    <row r="471" spans="2:3" ht="15.75" customHeight="1" x14ac:dyDescent="0.2">
      <c r="B471" s="2"/>
      <c r="C471" s="29"/>
    </row>
    <row r="472" spans="2:3" ht="15.75" customHeight="1" x14ac:dyDescent="0.2">
      <c r="B472" s="2"/>
      <c r="C472" s="29"/>
    </row>
    <row r="473" spans="2:3" ht="15.75" customHeight="1" x14ac:dyDescent="0.2">
      <c r="B473" s="2"/>
      <c r="C473" s="29"/>
    </row>
    <row r="474" spans="2:3" ht="15.75" customHeight="1" x14ac:dyDescent="0.2">
      <c r="B474" s="2"/>
      <c r="C474" s="29"/>
    </row>
    <row r="475" spans="2:3" ht="15.75" customHeight="1" x14ac:dyDescent="0.2">
      <c r="B475" s="2"/>
      <c r="C475" s="29"/>
    </row>
    <row r="476" spans="2:3" ht="15.75" customHeight="1" x14ac:dyDescent="0.2">
      <c r="B476" s="2"/>
      <c r="C476" s="29"/>
    </row>
    <row r="477" spans="2:3" ht="15.75" customHeight="1" x14ac:dyDescent="0.2">
      <c r="B477" s="2"/>
      <c r="C477" s="29"/>
    </row>
    <row r="478" spans="2:3" ht="15.75" customHeight="1" x14ac:dyDescent="0.2">
      <c r="B478" s="2"/>
      <c r="C478" s="29"/>
    </row>
    <row r="479" spans="2:3" ht="15.75" customHeight="1" x14ac:dyDescent="0.2">
      <c r="B479" s="2"/>
      <c r="C479" s="29"/>
    </row>
    <row r="480" spans="2:3" ht="15.75" customHeight="1" x14ac:dyDescent="0.2">
      <c r="B480" s="2"/>
      <c r="C480" s="29"/>
    </row>
    <row r="481" spans="2:3" ht="15.75" customHeight="1" x14ac:dyDescent="0.2">
      <c r="B481" s="2"/>
      <c r="C481" s="29"/>
    </row>
    <row r="482" spans="2:3" ht="15.75" customHeight="1" x14ac:dyDescent="0.2">
      <c r="B482" s="2"/>
      <c r="C482" s="29"/>
    </row>
    <row r="483" spans="2:3" ht="15.75" customHeight="1" x14ac:dyDescent="0.2">
      <c r="B483" s="2"/>
      <c r="C483" s="29"/>
    </row>
    <row r="484" spans="2:3" ht="15.75" customHeight="1" x14ac:dyDescent="0.2">
      <c r="B484" s="2"/>
      <c r="C484" s="29"/>
    </row>
    <row r="485" spans="2:3" ht="15.75" customHeight="1" x14ac:dyDescent="0.2">
      <c r="B485" s="2"/>
      <c r="C485" s="29"/>
    </row>
    <row r="486" spans="2:3" ht="15.75" customHeight="1" x14ac:dyDescent="0.2">
      <c r="B486" s="2"/>
      <c r="C486" s="29"/>
    </row>
    <row r="487" spans="2:3" ht="15.75" customHeight="1" x14ac:dyDescent="0.2">
      <c r="B487" s="2"/>
      <c r="C487" s="29"/>
    </row>
    <row r="488" spans="2:3" ht="15.75" customHeight="1" x14ac:dyDescent="0.2">
      <c r="B488" s="2"/>
      <c r="C488" s="29"/>
    </row>
    <row r="489" spans="2:3" ht="15.75" customHeight="1" x14ac:dyDescent="0.2">
      <c r="B489" s="2"/>
      <c r="C489" s="29"/>
    </row>
    <row r="490" spans="2:3" ht="15.75" customHeight="1" x14ac:dyDescent="0.2">
      <c r="B490" s="2"/>
      <c r="C490" s="29"/>
    </row>
    <row r="491" spans="2:3" ht="15.75" customHeight="1" x14ac:dyDescent="0.2">
      <c r="B491" s="2"/>
      <c r="C491" s="29"/>
    </row>
    <row r="492" spans="2:3" ht="15.75" customHeight="1" x14ac:dyDescent="0.2">
      <c r="B492" s="2"/>
      <c r="C492" s="29"/>
    </row>
    <row r="493" spans="2:3" ht="15.75" customHeight="1" x14ac:dyDescent="0.2">
      <c r="B493" s="2"/>
      <c r="C493" s="29"/>
    </row>
    <row r="494" spans="2:3" ht="15.75" customHeight="1" x14ac:dyDescent="0.2">
      <c r="B494" s="2"/>
      <c r="C494" s="29"/>
    </row>
    <row r="495" spans="2:3" ht="15.75" customHeight="1" x14ac:dyDescent="0.2">
      <c r="B495" s="2"/>
      <c r="C495" s="29"/>
    </row>
    <row r="496" spans="2:3" ht="15.75" customHeight="1" x14ac:dyDescent="0.2">
      <c r="B496" s="2"/>
      <c r="C496" s="29"/>
    </row>
    <row r="497" spans="2:3" ht="15.75" customHeight="1" x14ac:dyDescent="0.2">
      <c r="B497" s="2"/>
      <c r="C497" s="29"/>
    </row>
    <row r="498" spans="2:3" ht="15.75" customHeight="1" x14ac:dyDescent="0.2">
      <c r="B498" s="2"/>
      <c r="C498" s="29"/>
    </row>
    <row r="499" spans="2:3" ht="15.75" customHeight="1" x14ac:dyDescent="0.2">
      <c r="B499" s="2"/>
      <c r="C499" s="29"/>
    </row>
    <row r="500" spans="2:3" ht="15.75" customHeight="1" x14ac:dyDescent="0.2">
      <c r="B500" s="2"/>
      <c r="C500" s="29"/>
    </row>
    <row r="501" spans="2:3" ht="15.75" customHeight="1" x14ac:dyDescent="0.2">
      <c r="B501" s="2"/>
      <c r="C501" s="29"/>
    </row>
    <row r="502" spans="2:3" ht="15.75" customHeight="1" x14ac:dyDescent="0.2">
      <c r="B502" s="2"/>
      <c r="C502" s="29"/>
    </row>
    <row r="503" spans="2:3" ht="15.75" customHeight="1" x14ac:dyDescent="0.2">
      <c r="B503" s="2"/>
      <c r="C503" s="29"/>
    </row>
    <row r="504" spans="2:3" ht="15.75" customHeight="1" x14ac:dyDescent="0.2">
      <c r="B504" s="2"/>
      <c r="C504" s="29"/>
    </row>
    <row r="505" spans="2:3" ht="15.75" customHeight="1" x14ac:dyDescent="0.2">
      <c r="B505" s="2"/>
      <c r="C505" s="29"/>
    </row>
    <row r="506" spans="2:3" ht="15.75" customHeight="1" x14ac:dyDescent="0.2">
      <c r="B506" s="2"/>
      <c r="C506" s="29"/>
    </row>
    <row r="507" spans="2:3" ht="15.75" customHeight="1" x14ac:dyDescent="0.2">
      <c r="B507" s="2"/>
      <c r="C507" s="29"/>
    </row>
    <row r="508" spans="2:3" ht="15.75" customHeight="1" x14ac:dyDescent="0.2">
      <c r="B508" s="2"/>
      <c r="C508" s="29"/>
    </row>
    <row r="509" spans="2:3" ht="15.75" customHeight="1" x14ac:dyDescent="0.2">
      <c r="B509" s="2"/>
      <c r="C509" s="29"/>
    </row>
    <row r="510" spans="2:3" ht="15.75" customHeight="1" x14ac:dyDescent="0.2">
      <c r="B510" s="2"/>
      <c r="C510" s="29"/>
    </row>
    <row r="511" spans="2:3" ht="15.75" customHeight="1" x14ac:dyDescent="0.2">
      <c r="B511" s="2"/>
      <c r="C511" s="29"/>
    </row>
    <row r="512" spans="2:3" ht="15.75" customHeight="1" x14ac:dyDescent="0.2">
      <c r="B512" s="2"/>
      <c r="C512" s="29"/>
    </row>
    <row r="513" spans="2:3" ht="15.75" customHeight="1" x14ac:dyDescent="0.2">
      <c r="B513" s="2"/>
      <c r="C513" s="29"/>
    </row>
    <row r="514" spans="2:3" ht="15.75" customHeight="1" x14ac:dyDescent="0.2">
      <c r="B514" s="2"/>
      <c r="C514" s="29"/>
    </row>
    <row r="515" spans="2:3" ht="15.75" customHeight="1" x14ac:dyDescent="0.2">
      <c r="B515" s="2"/>
      <c r="C515" s="29"/>
    </row>
    <row r="516" spans="2:3" ht="15.75" customHeight="1" x14ac:dyDescent="0.2">
      <c r="B516" s="2"/>
      <c r="C516" s="29"/>
    </row>
    <row r="517" spans="2:3" ht="15.75" customHeight="1" x14ac:dyDescent="0.2">
      <c r="B517" s="2"/>
      <c r="C517" s="29"/>
    </row>
    <row r="518" spans="2:3" ht="15.75" customHeight="1" x14ac:dyDescent="0.2">
      <c r="B518" s="2"/>
      <c r="C518" s="29"/>
    </row>
    <row r="519" spans="2:3" ht="15.75" customHeight="1" x14ac:dyDescent="0.2">
      <c r="B519" s="2"/>
      <c r="C519" s="29"/>
    </row>
    <row r="520" spans="2:3" ht="15.75" customHeight="1" x14ac:dyDescent="0.2">
      <c r="B520" s="2"/>
      <c r="C520" s="29"/>
    </row>
    <row r="521" spans="2:3" ht="15.75" customHeight="1" x14ac:dyDescent="0.2">
      <c r="B521" s="2"/>
      <c r="C521" s="29"/>
    </row>
    <row r="522" spans="2:3" ht="15.75" customHeight="1" x14ac:dyDescent="0.2">
      <c r="B522" s="2"/>
      <c r="C522" s="29"/>
    </row>
    <row r="523" spans="2:3" ht="15.75" customHeight="1" x14ac:dyDescent="0.2">
      <c r="B523" s="2"/>
      <c r="C523" s="29"/>
    </row>
    <row r="524" spans="2:3" ht="15.75" customHeight="1" x14ac:dyDescent="0.2">
      <c r="B524" s="2"/>
      <c r="C524" s="29"/>
    </row>
    <row r="525" spans="2:3" ht="15.75" customHeight="1" x14ac:dyDescent="0.2">
      <c r="B525" s="2"/>
      <c r="C525" s="29"/>
    </row>
    <row r="526" spans="2:3" ht="15.75" customHeight="1" x14ac:dyDescent="0.2">
      <c r="B526" s="2"/>
      <c r="C526" s="29"/>
    </row>
    <row r="527" spans="2:3" ht="15.75" customHeight="1" x14ac:dyDescent="0.2">
      <c r="B527" s="2"/>
      <c r="C527" s="29"/>
    </row>
    <row r="528" spans="2:3" ht="15.75" customHeight="1" x14ac:dyDescent="0.2">
      <c r="B528" s="2"/>
      <c r="C528" s="29"/>
    </row>
    <row r="529" spans="2:3" ht="15.75" customHeight="1" x14ac:dyDescent="0.2">
      <c r="B529" s="2"/>
      <c r="C529" s="29"/>
    </row>
    <row r="530" spans="2:3" ht="15.75" customHeight="1" x14ac:dyDescent="0.2">
      <c r="B530" s="2"/>
      <c r="C530" s="29"/>
    </row>
    <row r="531" spans="2:3" ht="15.75" customHeight="1" x14ac:dyDescent="0.2">
      <c r="B531" s="2"/>
      <c r="C531" s="29"/>
    </row>
    <row r="532" spans="2:3" ht="15.75" customHeight="1" x14ac:dyDescent="0.2">
      <c r="B532" s="2"/>
      <c r="C532" s="29"/>
    </row>
    <row r="533" spans="2:3" ht="15.75" customHeight="1" x14ac:dyDescent="0.2">
      <c r="B533" s="2"/>
      <c r="C533" s="29"/>
    </row>
    <row r="534" spans="2:3" ht="15.75" customHeight="1" x14ac:dyDescent="0.2">
      <c r="B534" s="2"/>
      <c r="C534" s="29"/>
    </row>
    <row r="535" spans="2:3" ht="15.75" customHeight="1" x14ac:dyDescent="0.2">
      <c r="B535" s="2"/>
      <c r="C535" s="29"/>
    </row>
    <row r="536" spans="2:3" ht="15.75" customHeight="1" x14ac:dyDescent="0.2">
      <c r="B536" s="2"/>
      <c r="C536" s="29"/>
    </row>
    <row r="537" spans="2:3" ht="15.75" customHeight="1" x14ac:dyDescent="0.2">
      <c r="B537" s="2"/>
      <c r="C537" s="29"/>
    </row>
    <row r="538" spans="2:3" ht="15.75" customHeight="1" x14ac:dyDescent="0.2">
      <c r="B538" s="2"/>
      <c r="C538" s="29"/>
    </row>
    <row r="539" spans="2:3" ht="15.75" customHeight="1" x14ac:dyDescent="0.2">
      <c r="B539" s="2"/>
      <c r="C539" s="29"/>
    </row>
    <row r="540" spans="2:3" ht="15.75" customHeight="1" x14ac:dyDescent="0.2">
      <c r="B540" s="2"/>
      <c r="C540" s="29"/>
    </row>
    <row r="541" spans="2:3" ht="15.75" customHeight="1" x14ac:dyDescent="0.2">
      <c r="B541" s="2"/>
      <c r="C541" s="29"/>
    </row>
    <row r="542" spans="2:3" ht="15.75" customHeight="1" x14ac:dyDescent="0.2">
      <c r="B542" s="2"/>
      <c r="C542" s="29"/>
    </row>
    <row r="543" spans="2:3" ht="15.75" customHeight="1" x14ac:dyDescent="0.2">
      <c r="B543" s="2"/>
      <c r="C543" s="29"/>
    </row>
    <row r="544" spans="2:3" ht="15.75" customHeight="1" x14ac:dyDescent="0.2">
      <c r="B544" s="2"/>
      <c r="C544" s="29"/>
    </row>
    <row r="545" spans="2:3" ht="15.75" customHeight="1" x14ac:dyDescent="0.2">
      <c r="B545" s="2"/>
      <c r="C545" s="29"/>
    </row>
    <row r="546" spans="2:3" ht="15.75" customHeight="1" x14ac:dyDescent="0.2">
      <c r="B546" s="2"/>
      <c r="C546" s="29"/>
    </row>
    <row r="547" spans="2:3" ht="15.75" customHeight="1" x14ac:dyDescent="0.2">
      <c r="B547" s="2"/>
      <c r="C547" s="29"/>
    </row>
    <row r="548" spans="2:3" ht="15.75" customHeight="1" x14ac:dyDescent="0.2">
      <c r="B548" s="2"/>
      <c r="C548" s="29"/>
    </row>
    <row r="549" spans="2:3" ht="15.75" customHeight="1" x14ac:dyDescent="0.2">
      <c r="B549" s="2"/>
      <c r="C549" s="29"/>
    </row>
    <row r="550" spans="2:3" ht="15.75" customHeight="1" x14ac:dyDescent="0.2">
      <c r="B550" s="2"/>
      <c r="C550" s="29"/>
    </row>
    <row r="551" spans="2:3" ht="15.75" customHeight="1" x14ac:dyDescent="0.2">
      <c r="B551" s="2"/>
      <c r="C551" s="29"/>
    </row>
    <row r="552" spans="2:3" ht="15.75" customHeight="1" x14ac:dyDescent="0.2">
      <c r="B552" s="2"/>
      <c r="C552" s="29"/>
    </row>
    <row r="553" spans="2:3" ht="15.75" customHeight="1" x14ac:dyDescent="0.2">
      <c r="B553" s="2"/>
      <c r="C553" s="29"/>
    </row>
    <row r="554" spans="2:3" ht="15.75" customHeight="1" x14ac:dyDescent="0.2">
      <c r="B554" s="2"/>
      <c r="C554" s="29"/>
    </row>
    <row r="555" spans="2:3" ht="15.75" customHeight="1" x14ac:dyDescent="0.2">
      <c r="B555" s="2"/>
      <c r="C555" s="29"/>
    </row>
    <row r="556" spans="2:3" ht="15.75" customHeight="1" x14ac:dyDescent="0.2">
      <c r="B556" s="2"/>
      <c r="C556" s="29"/>
    </row>
    <row r="557" spans="2:3" ht="15.75" customHeight="1" x14ac:dyDescent="0.2">
      <c r="B557" s="2"/>
      <c r="C557" s="29"/>
    </row>
    <row r="558" spans="2:3" ht="15.75" customHeight="1" x14ac:dyDescent="0.2">
      <c r="B558" s="2"/>
      <c r="C558" s="29"/>
    </row>
    <row r="559" spans="2:3" ht="15.75" customHeight="1" x14ac:dyDescent="0.2">
      <c r="B559" s="2"/>
      <c r="C559" s="29"/>
    </row>
    <row r="560" spans="2:3" ht="15.75" customHeight="1" x14ac:dyDescent="0.2">
      <c r="B560" s="2"/>
      <c r="C560" s="29"/>
    </row>
    <row r="561" spans="2:3" ht="15.75" customHeight="1" x14ac:dyDescent="0.2">
      <c r="B561" s="2"/>
      <c r="C561" s="29"/>
    </row>
    <row r="562" spans="2:3" ht="15.75" customHeight="1" x14ac:dyDescent="0.2">
      <c r="B562" s="2"/>
      <c r="C562" s="29"/>
    </row>
    <row r="563" spans="2:3" ht="15.75" customHeight="1" x14ac:dyDescent="0.2">
      <c r="B563" s="2"/>
      <c r="C563" s="29"/>
    </row>
    <row r="564" spans="2:3" ht="15.75" customHeight="1" x14ac:dyDescent="0.2">
      <c r="B564" s="2"/>
      <c r="C564" s="29"/>
    </row>
    <row r="565" spans="2:3" ht="15.75" customHeight="1" x14ac:dyDescent="0.2">
      <c r="B565" s="2"/>
      <c r="C565" s="29"/>
    </row>
    <row r="566" spans="2:3" ht="15.75" customHeight="1" x14ac:dyDescent="0.2">
      <c r="B566" s="2"/>
      <c r="C566" s="29"/>
    </row>
    <row r="567" spans="2:3" ht="15.75" customHeight="1" x14ac:dyDescent="0.2">
      <c r="B567" s="2"/>
      <c r="C567" s="29"/>
    </row>
    <row r="568" spans="2:3" ht="15.75" customHeight="1" x14ac:dyDescent="0.2">
      <c r="B568" s="2"/>
      <c r="C568" s="29"/>
    </row>
    <row r="569" spans="2:3" ht="15.75" customHeight="1" x14ac:dyDescent="0.2">
      <c r="B569" s="2"/>
      <c r="C569" s="29"/>
    </row>
    <row r="570" spans="2:3" ht="15.75" customHeight="1" x14ac:dyDescent="0.2">
      <c r="B570" s="2"/>
      <c r="C570" s="29"/>
    </row>
    <row r="571" spans="2:3" ht="15.75" customHeight="1" x14ac:dyDescent="0.2">
      <c r="B571" s="2"/>
      <c r="C571" s="29"/>
    </row>
    <row r="572" spans="2:3" ht="15.75" customHeight="1" x14ac:dyDescent="0.2">
      <c r="B572" s="2"/>
      <c r="C572" s="29"/>
    </row>
    <row r="573" spans="2:3" ht="15.75" customHeight="1" x14ac:dyDescent="0.2">
      <c r="B573" s="2"/>
      <c r="C573" s="29"/>
    </row>
    <row r="574" spans="2:3" ht="15.75" customHeight="1" x14ac:dyDescent="0.2">
      <c r="B574" s="2"/>
      <c r="C574" s="29"/>
    </row>
    <row r="575" spans="2:3" ht="15.75" customHeight="1" x14ac:dyDescent="0.2">
      <c r="B575" s="2"/>
      <c r="C575" s="29"/>
    </row>
    <row r="576" spans="2:3" ht="15.75" customHeight="1" x14ac:dyDescent="0.2">
      <c r="B576" s="2"/>
      <c r="C576" s="29"/>
    </row>
    <row r="577" spans="2:3" ht="15.75" customHeight="1" x14ac:dyDescent="0.2">
      <c r="B577" s="2"/>
      <c r="C577" s="29"/>
    </row>
    <row r="578" spans="2:3" ht="15.75" customHeight="1" x14ac:dyDescent="0.2">
      <c r="B578" s="2"/>
      <c r="C578" s="29"/>
    </row>
    <row r="579" spans="2:3" ht="15.75" customHeight="1" x14ac:dyDescent="0.2">
      <c r="B579" s="2"/>
      <c r="C579" s="29"/>
    </row>
    <row r="580" spans="2:3" ht="15.75" customHeight="1" x14ac:dyDescent="0.2">
      <c r="B580" s="2"/>
      <c r="C580" s="29"/>
    </row>
    <row r="581" spans="2:3" ht="15.75" customHeight="1" x14ac:dyDescent="0.2">
      <c r="B581" s="2"/>
      <c r="C581" s="29"/>
    </row>
    <row r="582" spans="2:3" ht="15.75" customHeight="1" x14ac:dyDescent="0.2">
      <c r="B582" s="2"/>
      <c r="C582" s="29"/>
    </row>
    <row r="583" spans="2:3" ht="15.75" customHeight="1" x14ac:dyDescent="0.2">
      <c r="B583" s="2"/>
      <c r="C583" s="29"/>
    </row>
    <row r="584" spans="2:3" ht="15.75" customHeight="1" x14ac:dyDescent="0.2">
      <c r="B584" s="2"/>
      <c r="C584" s="29"/>
    </row>
    <row r="585" spans="2:3" ht="15.75" customHeight="1" x14ac:dyDescent="0.2">
      <c r="B585" s="2"/>
      <c r="C585" s="29"/>
    </row>
    <row r="586" spans="2:3" ht="15.75" customHeight="1" x14ac:dyDescent="0.2">
      <c r="B586" s="2"/>
      <c r="C586" s="29"/>
    </row>
    <row r="587" spans="2:3" ht="15.75" customHeight="1" x14ac:dyDescent="0.2">
      <c r="B587" s="2"/>
      <c r="C587" s="29"/>
    </row>
    <row r="588" spans="2:3" ht="15.75" customHeight="1" x14ac:dyDescent="0.2">
      <c r="B588" s="2"/>
      <c r="C588" s="29"/>
    </row>
    <row r="589" spans="2:3" ht="15.75" customHeight="1" x14ac:dyDescent="0.2">
      <c r="B589" s="2"/>
      <c r="C589" s="29"/>
    </row>
    <row r="590" spans="2:3" ht="15.75" customHeight="1" x14ac:dyDescent="0.2">
      <c r="B590" s="2"/>
      <c r="C590" s="29"/>
    </row>
    <row r="591" spans="2:3" ht="15.75" customHeight="1" x14ac:dyDescent="0.2">
      <c r="B591" s="2"/>
      <c r="C591" s="29"/>
    </row>
    <row r="592" spans="2:3" ht="15.75" customHeight="1" x14ac:dyDescent="0.2">
      <c r="B592" s="2"/>
      <c r="C592" s="29"/>
    </row>
    <row r="593" spans="2:3" ht="15.75" customHeight="1" x14ac:dyDescent="0.2">
      <c r="B593" s="2"/>
      <c r="C593" s="29"/>
    </row>
    <row r="594" spans="2:3" ht="15.75" customHeight="1" x14ac:dyDescent="0.2">
      <c r="B594" s="2"/>
      <c r="C594" s="29"/>
    </row>
    <row r="595" spans="2:3" ht="15.75" customHeight="1" x14ac:dyDescent="0.2">
      <c r="B595" s="2"/>
      <c r="C595" s="29"/>
    </row>
    <row r="596" spans="2:3" ht="15.75" customHeight="1" x14ac:dyDescent="0.2">
      <c r="B596" s="2"/>
      <c r="C596" s="29"/>
    </row>
    <row r="597" spans="2:3" ht="15.75" customHeight="1" x14ac:dyDescent="0.2">
      <c r="B597" s="2"/>
      <c r="C597" s="29"/>
    </row>
    <row r="598" spans="2:3" ht="15.75" customHeight="1" x14ac:dyDescent="0.2">
      <c r="B598" s="2"/>
      <c r="C598" s="29"/>
    </row>
    <row r="599" spans="2:3" ht="15.75" customHeight="1" x14ac:dyDescent="0.2">
      <c r="B599" s="2"/>
      <c r="C599" s="29"/>
    </row>
    <row r="600" spans="2:3" ht="15.75" customHeight="1" x14ac:dyDescent="0.2">
      <c r="B600" s="2"/>
      <c r="C600" s="29"/>
    </row>
    <row r="601" spans="2:3" ht="15.75" customHeight="1" x14ac:dyDescent="0.2">
      <c r="B601" s="2"/>
      <c r="C601" s="29"/>
    </row>
    <row r="602" spans="2:3" ht="15.75" customHeight="1" x14ac:dyDescent="0.2">
      <c r="B602" s="2"/>
      <c r="C602" s="29"/>
    </row>
    <row r="603" spans="2:3" ht="15.75" customHeight="1" x14ac:dyDescent="0.2">
      <c r="B603" s="2"/>
      <c r="C603" s="29"/>
    </row>
    <row r="604" spans="2:3" ht="15.75" customHeight="1" x14ac:dyDescent="0.2">
      <c r="B604" s="2"/>
      <c r="C604" s="29"/>
    </row>
    <row r="605" spans="2:3" ht="15.75" customHeight="1" x14ac:dyDescent="0.2">
      <c r="B605" s="2"/>
      <c r="C605" s="29"/>
    </row>
    <row r="606" spans="2:3" ht="15.75" customHeight="1" x14ac:dyDescent="0.2">
      <c r="B606" s="2"/>
      <c r="C606" s="29"/>
    </row>
    <row r="607" spans="2:3" ht="15.75" customHeight="1" x14ac:dyDescent="0.2">
      <c r="B607" s="2"/>
      <c r="C607" s="29"/>
    </row>
    <row r="608" spans="2:3" ht="15.75" customHeight="1" x14ac:dyDescent="0.2">
      <c r="B608" s="2"/>
      <c r="C608" s="29"/>
    </row>
    <row r="609" spans="2:3" ht="15.75" customHeight="1" x14ac:dyDescent="0.2">
      <c r="B609" s="2"/>
      <c r="C609" s="29"/>
    </row>
    <row r="610" spans="2:3" ht="15.75" customHeight="1" x14ac:dyDescent="0.2">
      <c r="B610" s="2"/>
      <c r="C610" s="29"/>
    </row>
    <row r="611" spans="2:3" ht="15.75" customHeight="1" x14ac:dyDescent="0.2">
      <c r="B611" s="2"/>
      <c r="C611" s="29"/>
    </row>
    <row r="612" spans="2:3" ht="15.75" customHeight="1" x14ac:dyDescent="0.2">
      <c r="B612" s="2"/>
      <c r="C612" s="29"/>
    </row>
    <row r="613" spans="2:3" ht="15.75" customHeight="1" x14ac:dyDescent="0.2">
      <c r="B613" s="2"/>
      <c r="C613" s="29"/>
    </row>
    <row r="614" spans="2:3" ht="15.75" customHeight="1" x14ac:dyDescent="0.2">
      <c r="B614" s="2"/>
      <c r="C614" s="29"/>
    </row>
    <row r="615" spans="2:3" ht="15.75" customHeight="1" x14ac:dyDescent="0.2">
      <c r="B615" s="2"/>
      <c r="C615" s="29"/>
    </row>
    <row r="616" spans="2:3" ht="15.75" customHeight="1" x14ac:dyDescent="0.2">
      <c r="B616" s="2"/>
      <c r="C616" s="29"/>
    </row>
    <row r="617" spans="2:3" ht="15.75" customHeight="1" x14ac:dyDescent="0.2">
      <c r="B617" s="2"/>
      <c r="C617" s="29"/>
    </row>
    <row r="618" spans="2:3" ht="15.75" customHeight="1" x14ac:dyDescent="0.2">
      <c r="B618" s="2"/>
      <c r="C618" s="29"/>
    </row>
    <row r="619" spans="2:3" ht="15.75" customHeight="1" x14ac:dyDescent="0.2">
      <c r="B619" s="2"/>
      <c r="C619" s="29"/>
    </row>
    <row r="620" spans="2:3" ht="15.75" customHeight="1" x14ac:dyDescent="0.2">
      <c r="B620" s="2"/>
      <c r="C620" s="29"/>
    </row>
    <row r="621" spans="2:3" ht="15.75" customHeight="1" x14ac:dyDescent="0.2">
      <c r="B621" s="2"/>
      <c r="C621" s="29"/>
    </row>
    <row r="622" spans="2:3" ht="15.75" customHeight="1" x14ac:dyDescent="0.2">
      <c r="B622" s="2"/>
      <c r="C622" s="29"/>
    </row>
    <row r="623" spans="2:3" ht="15.75" customHeight="1" x14ac:dyDescent="0.2">
      <c r="B623" s="2"/>
      <c r="C623" s="29"/>
    </row>
    <row r="624" spans="2:3" ht="15.75" customHeight="1" x14ac:dyDescent="0.2">
      <c r="B624" s="2"/>
      <c r="C624" s="29"/>
    </row>
    <row r="625" spans="2:3" ht="15.75" customHeight="1" x14ac:dyDescent="0.2">
      <c r="B625" s="2"/>
      <c r="C625" s="29"/>
    </row>
    <row r="626" spans="2:3" ht="15.75" customHeight="1" x14ac:dyDescent="0.2">
      <c r="B626" s="2"/>
      <c r="C626" s="29"/>
    </row>
    <row r="627" spans="2:3" ht="15.75" customHeight="1" x14ac:dyDescent="0.2">
      <c r="B627" s="2"/>
      <c r="C627" s="29"/>
    </row>
    <row r="628" spans="2:3" ht="15.75" customHeight="1" x14ac:dyDescent="0.2">
      <c r="B628" s="2"/>
      <c r="C628" s="29"/>
    </row>
    <row r="629" spans="2:3" ht="15.75" customHeight="1" x14ac:dyDescent="0.2">
      <c r="B629" s="2"/>
      <c r="C629" s="29"/>
    </row>
    <row r="630" spans="2:3" ht="15.75" customHeight="1" x14ac:dyDescent="0.2">
      <c r="B630" s="2"/>
      <c r="C630" s="29"/>
    </row>
    <row r="631" spans="2:3" ht="15.75" customHeight="1" x14ac:dyDescent="0.2">
      <c r="B631" s="2"/>
      <c r="C631" s="29"/>
    </row>
    <row r="632" spans="2:3" ht="15.75" customHeight="1" x14ac:dyDescent="0.2">
      <c r="B632" s="2"/>
      <c r="C632" s="29"/>
    </row>
    <row r="633" spans="2:3" ht="15.75" customHeight="1" x14ac:dyDescent="0.2">
      <c r="B633" s="2"/>
      <c r="C633" s="29"/>
    </row>
    <row r="634" spans="2:3" ht="15.75" customHeight="1" x14ac:dyDescent="0.2">
      <c r="B634" s="2"/>
      <c r="C634" s="29"/>
    </row>
    <row r="635" spans="2:3" ht="15.75" customHeight="1" x14ac:dyDescent="0.2">
      <c r="B635" s="2"/>
      <c r="C635" s="29"/>
    </row>
    <row r="636" spans="2:3" ht="15.75" customHeight="1" x14ac:dyDescent="0.2">
      <c r="B636" s="2"/>
      <c r="C636" s="29"/>
    </row>
    <row r="637" spans="2:3" ht="15.75" customHeight="1" x14ac:dyDescent="0.2">
      <c r="B637" s="2"/>
      <c r="C637" s="29"/>
    </row>
    <row r="638" spans="2:3" ht="15.75" customHeight="1" x14ac:dyDescent="0.2">
      <c r="B638" s="2"/>
      <c r="C638" s="29"/>
    </row>
    <row r="639" spans="2:3" ht="15.75" customHeight="1" x14ac:dyDescent="0.2">
      <c r="B639" s="2"/>
      <c r="C639" s="29"/>
    </row>
    <row r="640" spans="2:3" ht="15.75" customHeight="1" x14ac:dyDescent="0.2">
      <c r="B640" s="2"/>
      <c r="C640" s="29"/>
    </row>
    <row r="641" spans="2:3" ht="15.75" customHeight="1" x14ac:dyDescent="0.2">
      <c r="B641" s="2"/>
      <c r="C641" s="29"/>
    </row>
    <row r="642" spans="2:3" ht="15.75" customHeight="1" x14ac:dyDescent="0.2">
      <c r="B642" s="2"/>
      <c r="C642" s="29"/>
    </row>
    <row r="643" spans="2:3" ht="15.75" customHeight="1" x14ac:dyDescent="0.2">
      <c r="B643" s="2"/>
      <c r="C643" s="29"/>
    </row>
    <row r="644" spans="2:3" ht="15.75" customHeight="1" x14ac:dyDescent="0.2">
      <c r="B644" s="2"/>
      <c r="C644" s="29"/>
    </row>
    <row r="645" spans="2:3" ht="15.75" customHeight="1" x14ac:dyDescent="0.2">
      <c r="B645" s="2"/>
      <c r="C645" s="29"/>
    </row>
    <row r="646" spans="2:3" ht="15.75" customHeight="1" x14ac:dyDescent="0.2">
      <c r="B646" s="2"/>
      <c r="C646" s="29"/>
    </row>
    <row r="647" spans="2:3" ht="15.75" customHeight="1" x14ac:dyDescent="0.2">
      <c r="B647" s="2"/>
      <c r="C647" s="29"/>
    </row>
    <row r="648" spans="2:3" ht="15.75" customHeight="1" x14ac:dyDescent="0.2">
      <c r="B648" s="2"/>
      <c r="C648" s="29"/>
    </row>
    <row r="649" spans="2:3" ht="15.75" customHeight="1" x14ac:dyDescent="0.2">
      <c r="B649" s="2"/>
      <c r="C649" s="29"/>
    </row>
    <row r="650" spans="2:3" ht="15.75" customHeight="1" x14ac:dyDescent="0.2">
      <c r="B650" s="2"/>
      <c r="C650" s="29"/>
    </row>
    <row r="651" spans="2:3" ht="15.75" customHeight="1" x14ac:dyDescent="0.2">
      <c r="B651" s="2"/>
      <c r="C651" s="29"/>
    </row>
    <row r="652" spans="2:3" ht="15.75" customHeight="1" x14ac:dyDescent="0.2">
      <c r="B652" s="2"/>
      <c r="C652" s="29"/>
    </row>
    <row r="653" spans="2:3" ht="15.75" customHeight="1" x14ac:dyDescent="0.2">
      <c r="B653" s="2"/>
      <c r="C653" s="29"/>
    </row>
    <row r="654" spans="2:3" ht="15.75" customHeight="1" x14ac:dyDescent="0.2">
      <c r="B654" s="2"/>
      <c r="C654" s="29"/>
    </row>
    <row r="655" spans="2:3" ht="15.75" customHeight="1" x14ac:dyDescent="0.2">
      <c r="B655" s="2"/>
      <c r="C655" s="29"/>
    </row>
    <row r="656" spans="2:3" ht="15.75" customHeight="1" x14ac:dyDescent="0.2">
      <c r="B656" s="2"/>
      <c r="C656" s="29"/>
    </row>
    <row r="657" spans="2:3" ht="15.75" customHeight="1" x14ac:dyDescent="0.2">
      <c r="B657" s="2"/>
      <c r="C657" s="29"/>
    </row>
    <row r="658" spans="2:3" ht="15.75" customHeight="1" x14ac:dyDescent="0.2">
      <c r="B658" s="2"/>
      <c r="C658" s="29"/>
    </row>
    <row r="659" spans="2:3" ht="15.75" customHeight="1" x14ac:dyDescent="0.2">
      <c r="B659" s="2"/>
      <c r="C659" s="29"/>
    </row>
    <row r="660" spans="2:3" ht="15.75" customHeight="1" x14ac:dyDescent="0.2">
      <c r="B660" s="2"/>
      <c r="C660" s="29"/>
    </row>
    <row r="661" spans="2:3" ht="15.75" customHeight="1" x14ac:dyDescent="0.2">
      <c r="B661" s="2"/>
      <c r="C661" s="29"/>
    </row>
    <row r="662" spans="2:3" ht="15.75" customHeight="1" x14ac:dyDescent="0.2">
      <c r="B662" s="2"/>
      <c r="C662" s="29"/>
    </row>
    <row r="663" spans="2:3" ht="15.75" customHeight="1" x14ac:dyDescent="0.2">
      <c r="B663" s="2"/>
      <c r="C663" s="29"/>
    </row>
    <row r="664" spans="2:3" ht="15.75" customHeight="1" x14ac:dyDescent="0.2">
      <c r="B664" s="2"/>
      <c r="C664" s="29"/>
    </row>
    <row r="665" spans="2:3" ht="15.75" customHeight="1" x14ac:dyDescent="0.2">
      <c r="B665" s="2"/>
      <c r="C665" s="29"/>
    </row>
    <row r="666" spans="2:3" ht="15.75" customHeight="1" x14ac:dyDescent="0.2">
      <c r="B666" s="2"/>
      <c r="C666" s="29"/>
    </row>
    <row r="667" spans="2:3" ht="15.75" customHeight="1" x14ac:dyDescent="0.2">
      <c r="B667" s="2"/>
      <c r="C667" s="29"/>
    </row>
    <row r="668" spans="2:3" ht="15.75" customHeight="1" x14ac:dyDescent="0.2">
      <c r="B668" s="2"/>
      <c r="C668" s="29"/>
    </row>
    <row r="669" spans="2:3" ht="15.75" customHeight="1" x14ac:dyDescent="0.2">
      <c r="B669" s="2"/>
      <c r="C669" s="29"/>
    </row>
    <row r="670" spans="2:3" ht="15.75" customHeight="1" x14ac:dyDescent="0.2">
      <c r="B670" s="2"/>
      <c r="C670" s="29"/>
    </row>
    <row r="671" spans="2:3" ht="15.75" customHeight="1" x14ac:dyDescent="0.2">
      <c r="B671" s="2"/>
      <c r="C671" s="29"/>
    </row>
    <row r="672" spans="2:3" ht="15.75" customHeight="1" x14ac:dyDescent="0.2">
      <c r="B672" s="2"/>
      <c r="C672" s="29"/>
    </row>
    <row r="673" spans="2:3" ht="15.75" customHeight="1" x14ac:dyDescent="0.2">
      <c r="B673" s="2"/>
      <c r="C673" s="29"/>
    </row>
    <row r="674" spans="2:3" ht="15.75" customHeight="1" x14ac:dyDescent="0.2">
      <c r="B674" s="2"/>
      <c r="C674" s="29"/>
    </row>
    <row r="675" spans="2:3" ht="15.75" customHeight="1" x14ac:dyDescent="0.2">
      <c r="B675" s="2"/>
      <c r="C675" s="29"/>
    </row>
    <row r="676" spans="2:3" ht="15.75" customHeight="1" x14ac:dyDescent="0.2">
      <c r="B676" s="2"/>
      <c r="C676" s="29"/>
    </row>
    <row r="677" spans="2:3" ht="15.75" customHeight="1" x14ac:dyDescent="0.2">
      <c r="B677" s="2"/>
      <c r="C677" s="29"/>
    </row>
    <row r="678" spans="2:3" ht="15.75" customHeight="1" x14ac:dyDescent="0.2">
      <c r="B678" s="2"/>
      <c r="C678" s="29"/>
    </row>
    <row r="679" spans="2:3" ht="15.75" customHeight="1" x14ac:dyDescent="0.2">
      <c r="B679" s="2"/>
      <c r="C679" s="29"/>
    </row>
    <row r="680" spans="2:3" ht="15.75" customHeight="1" x14ac:dyDescent="0.2">
      <c r="B680" s="2"/>
      <c r="C680" s="29"/>
    </row>
    <row r="681" spans="2:3" ht="15.75" customHeight="1" x14ac:dyDescent="0.2">
      <c r="B681" s="2"/>
      <c r="C681" s="29"/>
    </row>
    <row r="682" spans="2:3" ht="15.75" customHeight="1" x14ac:dyDescent="0.2">
      <c r="B682" s="2"/>
      <c r="C682" s="29"/>
    </row>
    <row r="683" spans="2:3" ht="15.75" customHeight="1" x14ac:dyDescent="0.2">
      <c r="B683" s="2"/>
      <c r="C683" s="29"/>
    </row>
    <row r="684" spans="2:3" ht="15.75" customHeight="1" x14ac:dyDescent="0.2">
      <c r="B684" s="2"/>
      <c r="C684" s="29"/>
    </row>
    <row r="685" spans="2:3" ht="15.75" customHeight="1" x14ac:dyDescent="0.2">
      <c r="B685" s="2"/>
      <c r="C685" s="29"/>
    </row>
    <row r="686" spans="2:3" ht="15.75" customHeight="1" x14ac:dyDescent="0.2">
      <c r="B686" s="2"/>
      <c r="C686" s="29"/>
    </row>
    <row r="687" spans="2:3" ht="15.75" customHeight="1" x14ac:dyDescent="0.2">
      <c r="B687" s="2"/>
      <c r="C687" s="29"/>
    </row>
    <row r="688" spans="2:3" ht="15.75" customHeight="1" x14ac:dyDescent="0.2">
      <c r="B688" s="2"/>
      <c r="C688" s="29"/>
    </row>
    <row r="689" spans="2:3" ht="15.75" customHeight="1" x14ac:dyDescent="0.2">
      <c r="B689" s="2"/>
      <c r="C689" s="29"/>
    </row>
    <row r="690" spans="2:3" ht="15.75" customHeight="1" x14ac:dyDescent="0.2">
      <c r="B690" s="2"/>
      <c r="C690" s="29"/>
    </row>
    <row r="691" spans="2:3" ht="15.75" customHeight="1" x14ac:dyDescent="0.2">
      <c r="B691" s="2"/>
      <c r="C691" s="29"/>
    </row>
    <row r="692" spans="2:3" ht="15.75" customHeight="1" x14ac:dyDescent="0.2"/>
    <row r="693" spans="2:3" ht="15.75" customHeight="1" x14ac:dyDescent="0.2"/>
    <row r="694" spans="2:3" ht="15.75" customHeight="1" x14ac:dyDescent="0.2"/>
    <row r="695" spans="2:3" ht="15.75" customHeight="1" x14ac:dyDescent="0.2"/>
    <row r="696" spans="2:3" ht="15.75" customHeight="1" x14ac:dyDescent="0.2"/>
    <row r="697" spans="2:3" ht="15.75" customHeight="1" x14ac:dyDescent="0.2"/>
    <row r="698" spans="2:3" ht="15.75" customHeight="1" x14ac:dyDescent="0.2"/>
    <row r="699" spans="2:3" ht="15.75" customHeight="1" x14ac:dyDescent="0.2"/>
    <row r="700" spans="2:3" ht="15.75" customHeight="1" x14ac:dyDescent="0.2"/>
    <row r="701" spans="2:3" ht="15.75" customHeight="1" x14ac:dyDescent="0.2"/>
    <row r="702" spans="2:3" s="2" customFormat="1" ht="15.75" customHeight="1" x14ac:dyDescent="0.2">
      <c r="B702"/>
      <c r="C702" s="37"/>
    </row>
    <row r="703" spans="2:3" s="2" customFormat="1" ht="15.75" customHeight="1" x14ac:dyDescent="0.2">
      <c r="B703"/>
      <c r="C703" s="37"/>
    </row>
    <row r="704" spans="2:3" s="2" customFormat="1" ht="15.75" customHeight="1" x14ac:dyDescent="0.2">
      <c r="B704"/>
      <c r="C704" s="37"/>
    </row>
    <row r="705" spans="2:3" s="2" customFormat="1" ht="15.75" customHeight="1" x14ac:dyDescent="0.2">
      <c r="B705"/>
      <c r="C705" s="37"/>
    </row>
    <row r="706" spans="2:3" s="2" customFormat="1" ht="15.75" customHeight="1" x14ac:dyDescent="0.2">
      <c r="B706"/>
      <c r="C706" s="37"/>
    </row>
    <row r="707" spans="2:3" s="2" customFormat="1" ht="15.75" customHeight="1" x14ac:dyDescent="0.2">
      <c r="B707"/>
      <c r="C707" s="37"/>
    </row>
    <row r="708" spans="2:3" s="2" customFormat="1" ht="15.75" customHeight="1" x14ac:dyDescent="0.2">
      <c r="B708"/>
      <c r="C708" s="37"/>
    </row>
    <row r="709" spans="2:3" s="2" customFormat="1" ht="15.75" customHeight="1" x14ac:dyDescent="0.2">
      <c r="B709"/>
      <c r="C709" s="37"/>
    </row>
    <row r="710" spans="2:3" s="2" customFormat="1" ht="15.75" customHeight="1" x14ac:dyDescent="0.2">
      <c r="B710"/>
      <c r="C710" s="37"/>
    </row>
    <row r="711" spans="2:3" s="2" customFormat="1" ht="15.75" customHeight="1" x14ac:dyDescent="0.2">
      <c r="B711"/>
      <c r="C711" s="37"/>
    </row>
    <row r="712" spans="2:3" s="2" customFormat="1" ht="15.75" customHeight="1" x14ac:dyDescent="0.2">
      <c r="B712"/>
      <c r="C712" s="37"/>
    </row>
    <row r="713" spans="2:3" s="2" customFormat="1" ht="15.75" customHeight="1" x14ac:dyDescent="0.2">
      <c r="B713"/>
      <c r="C713" s="37"/>
    </row>
    <row r="714" spans="2:3" s="2" customFormat="1" ht="15.75" customHeight="1" x14ac:dyDescent="0.2">
      <c r="B714"/>
      <c r="C714" s="37"/>
    </row>
    <row r="715" spans="2:3" s="2" customFormat="1" ht="15.75" customHeight="1" x14ac:dyDescent="0.2">
      <c r="B715"/>
      <c r="C715" s="37"/>
    </row>
    <row r="716" spans="2:3" s="2" customFormat="1" ht="15.75" customHeight="1" x14ac:dyDescent="0.2">
      <c r="B716"/>
      <c r="C716" s="37"/>
    </row>
    <row r="717" spans="2:3" s="2" customFormat="1" ht="15.75" customHeight="1" x14ac:dyDescent="0.2">
      <c r="B717"/>
      <c r="C717" s="37"/>
    </row>
    <row r="718" spans="2:3" s="2" customFormat="1" ht="15.75" customHeight="1" x14ac:dyDescent="0.2">
      <c r="B718"/>
      <c r="C718" s="37"/>
    </row>
    <row r="719" spans="2:3" s="2" customFormat="1" ht="15.75" customHeight="1" x14ac:dyDescent="0.2">
      <c r="B719"/>
      <c r="C719" s="37"/>
    </row>
    <row r="720" spans="2:3" s="2" customFormat="1" ht="15.75" customHeight="1" x14ac:dyDescent="0.2">
      <c r="B720"/>
      <c r="C720" s="37"/>
    </row>
    <row r="721" spans="2:3" s="2" customFormat="1" ht="15.75" customHeight="1" x14ac:dyDescent="0.2">
      <c r="B721"/>
      <c r="C721" s="37"/>
    </row>
    <row r="722" spans="2:3" s="2" customFormat="1" ht="15.75" customHeight="1" x14ac:dyDescent="0.2">
      <c r="B722"/>
      <c r="C722" s="37"/>
    </row>
    <row r="723" spans="2:3" s="2" customFormat="1" ht="15.75" customHeight="1" x14ac:dyDescent="0.2">
      <c r="B723"/>
      <c r="C723" s="37"/>
    </row>
    <row r="724" spans="2:3" s="2" customFormat="1" ht="15.75" customHeight="1" x14ac:dyDescent="0.2">
      <c r="B724"/>
      <c r="C724" s="37"/>
    </row>
    <row r="725" spans="2:3" s="2" customFormat="1" ht="15.75" customHeight="1" x14ac:dyDescent="0.2">
      <c r="B725"/>
      <c r="C725" s="37"/>
    </row>
    <row r="726" spans="2:3" s="2" customFormat="1" ht="15.75" customHeight="1" x14ac:dyDescent="0.2">
      <c r="B726"/>
      <c r="C726" s="37"/>
    </row>
    <row r="727" spans="2:3" s="2" customFormat="1" ht="15.75" customHeight="1" x14ac:dyDescent="0.2">
      <c r="B727"/>
      <c r="C727" s="37"/>
    </row>
    <row r="728" spans="2:3" s="2" customFormat="1" ht="15.75" customHeight="1" x14ac:dyDescent="0.2">
      <c r="B728"/>
      <c r="C728" s="37"/>
    </row>
    <row r="729" spans="2:3" s="2" customFormat="1" ht="15.75" customHeight="1" x14ac:dyDescent="0.2">
      <c r="B729"/>
      <c r="C729" s="37"/>
    </row>
    <row r="730" spans="2:3" s="2" customFormat="1" ht="15.75" customHeight="1" x14ac:dyDescent="0.2">
      <c r="B730"/>
      <c r="C730" s="37"/>
    </row>
    <row r="731" spans="2:3" s="2" customFormat="1" ht="15.75" customHeight="1" x14ac:dyDescent="0.2">
      <c r="B731"/>
      <c r="C731" s="37"/>
    </row>
    <row r="732" spans="2:3" s="2" customFormat="1" ht="15.75" customHeight="1" x14ac:dyDescent="0.2">
      <c r="B732"/>
      <c r="C732" s="37"/>
    </row>
    <row r="733" spans="2:3" s="2" customFormat="1" ht="15.75" customHeight="1" x14ac:dyDescent="0.2">
      <c r="B733"/>
      <c r="C733" s="37"/>
    </row>
    <row r="734" spans="2:3" s="2" customFormat="1" ht="15.75" customHeight="1" x14ac:dyDescent="0.2">
      <c r="B734"/>
      <c r="C734" s="37"/>
    </row>
    <row r="735" spans="2:3" s="2" customFormat="1" ht="15.75" customHeight="1" x14ac:dyDescent="0.2">
      <c r="B735"/>
      <c r="C735" s="37"/>
    </row>
    <row r="736" spans="2:3" s="2" customFormat="1" ht="15.75" customHeight="1" x14ac:dyDescent="0.2">
      <c r="B736"/>
      <c r="C736" s="37"/>
    </row>
    <row r="737" spans="2:3" s="2" customFormat="1" ht="15.75" customHeight="1" x14ac:dyDescent="0.2">
      <c r="B737"/>
      <c r="C737" s="37"/>
    </row>
    <row r="738" spans="2:3" s="2" customFormat="1" ht="15.75" customHeight="1" x14ac:dyDescent="0.2">
      <c r="B738"/>
      <c r="C738" s="37"/>
    </row>
    <row r="739" spans="2:3" s="2" customFormat="1" ht="15.75" customHeight="1" x14ac:dyDescent="0.2">
      <c r="B739"/>
      <c r="C739" s="37"/>
    </row>
    <row r="740" spans="2:3" s="2" customFormat="1" ht="15.75" customHeight="1" x14ac:dyDescent="0.2">
      <c r="B740"/>
      <c r="C740" s="37"/>
    </row>
    <row r="741" spans="2:3" s="2" customFormat="1" ht="15.75" customHeight="1" x14ac:dyDescent="0.2">
      <c r="B741"/>
      <c r="C741" s="37"/>
    </row>
    <row r="742" spans="2:3" s="2" customFormat="1" ht="15.75" customHeight="1" x14ac:dyDescent="0.2">
      <c r="B742"/>
      <c r="C742" s="37"/>
    </row>
    <row r="743" spans="2:3" s="2" customFormat="1" ht="15.75" customHeight="1" x14ac:dyDescent="0.2">
      <c r="B743"/>
      <c r="C743" s="37"/>
    </row>
    <row r="744" spans="2:3" s="2" customFormat="1" ht="15.75" customHeight="1" x14ac:dyDescent="0.2">
      <c r="B744"/>
      <c r="C744" s="37"/>
    </row>
    <row r="745" spans="2:3" s="2" customFormat="1" ht="15.75" customHeight="1" x14ac:dyDescent="0.2">
      <c r="B745"/>
      <c r="C745" s="37"/>
    </row>
    <row r="746" spans="2:3" s="2" customFormat="1" ht="15.75" customHeight="1" x14ac:dyDescent="0.2">
      <c r="B746"/>
      <c r="C746" s="37"/>
    </row>
    <row r="747" spans="2:3" s="2" customFormat="1" ht="15.75" customHeight="1" x14ac:dyDescent="0.2">
      <c r="B747"/>
      <c r="C747" s="37"/>
    </row>
    <row r="748" spans="2:3" s="2" customFormat="1" ht="15.75" customHeight="1" x14ac:dyDescent="0.2">
      <c r="B748"/>
      <c r="C748" s="37"/>
    </row>
    <row r="749" spans="2:3" s="2" customFormat="1" ht="15.75" customHeight="1" x14ac:dyDescent="0.2">
      <c r="B749"/>
      <c r="C749" s="37"/>
    </row>
    <row r="750" spans="2:3" s="2" customFormat="1" ht="15.75" customHeight="1" x14ac:dyDescent="0.2">
      <c r="B750"/>
      <c r="C750" s="37"/>
    </row>
    <row r="751" spans="2:3" s="2" customFormat="1" ht="15.75" customHeight="1" x14ac:dyDescent="0.2">
      <c r="B751"/>
      <c r="C751" s="37"/>
    </row>
    <row r="752" spans="2:3" s="2" customFormat="1" ht="15.75" customHeight="1" x14ac:dyDescent="0.2">
      <c r="B752"/>
      <c r="C752" s="37"/>
    </row>
    <row r="753" spans="2:3" s="2" customFormat="1" ht="15.75" customHeight="1" x14ac:dyDescent="0.2">
      <c r="B753"/>
      <c r="C753" s="37"/>
    </row>
    <row r="754" spans="2:3" s="2" customFormat="1" ht="15.75" customHeight="1" x14ac:dyDescent="0.2">
      <c r="B754"/>
      <c r="C754" s="37"/>
    </row>
    <row r="755" spans="2:3" s="2" customFormat="1" ht="15.75" customHeight="1" x14ac:dyDescent="0.2">
      <c r="B755"/>
      <c r="C755" s="37"/>
    </row>
    <row r="756" spans="2:3" s="2" customFormat="1" ht="15.75" customHeight="1" x14ac:dyDescent="0.2">
      <c r="B756"/>
      <c r="C756" s="37"/>
    </row>
    <row r="757" spans="2:3" s="2" customFormat="1" ht="15.75" customHeight="1" x14ac:dyDescent="0.2">
      <c r="B757"/>
      <c r="C757" s="37"/>
    </row>
    <row r="758" spans="2:3" s="2" customFormat="1" ht="15.75" customHeight="1" x14ac:dyDescent="0.2">
      <c r="B758"/>
      <c r="C758" s="37"/>
    </row>
    <row r="759" spans="2:3" s="2" customFormat="1" ht="15.75" customHeight="1" x14ac:dyDescent="0.2">
      <c r="B759"/>
      <c r="C759" s="37"/>
    </row>
    <row r="760" spans="2:3" s="2" customFormat="1" ht="15.75" customHeight="1" x14ac:dyDescent="0.2">
      <c r="B760"/>
      <c r="C760" s="37"/>
    </row>
    <row r="761" spans="2:3" s="2" customFormat="1" ht="15.75" customHeight="1" x14ac:dyDescent="0.2">
      <c r="B761"/>
      <c r="C761" s="37"/>
    </row>
    <row r="762" spans="2:3" s="2" customFormat="1" ht="15.75" customHeight="1" x14ac:dyDescent="0.2">
      <c r="B762"/>
      <c r="C762" s="37"/>
    </row>
    <row r="763" spans="2:3" s="2" customFormat="1" ht="15.75" customHeight="1" x14ac:dyDescent="0.2">
      <c r="B763"/>
      <c r="C763" s="37"/>
    </row>
    <row r="764" spans="2:3" s="2" customFormat="1" ht="15.75" customHeight="1" x14ac:dyDescent="0.2">
      <c r="B764"/>
      <c r="C764" s="37"/>
    </row>
    <row r="765" spans="2:3" s="2" customFormat="1" ht="15.75" customHeight="1" x14ac:dyDescent="0.2">
      <c r="B765"/>
      <c r="C765" s="37"/>
    </row>
    <row r="766" spans="2:3" s="2" customFormat="1" ht="15.75" customHeight="1" x14ac:dyDescent="0.2">
      <c r="B766"/>
      <c r="C766" s="37"/>
    </row>
    <row r="767" spans="2:3" s="2" customFormat="1" ht="15.75" customHeight="1" x14ac:dyDescent="0.2">
      <c r="B767"/>
      <c r="C767" s="37"/>
    </row>
    <row r="768" spans="2:3" s="2" customFormat="1" ht="15.75" customHeight="1" x14ac:dyDescent="0.2">
      <c r="B768"/>
      <c r="C768" s="37"/>
    </row>
    <row r="769" spans="2:3" s="2" customFormat="1" ht="15.75" customHeight="1" x14ac:dyDescent="0.2">
      <c r="B769"/>
      <c r="C769" s="37"/>
    </row>
    <row r="770" spans="2:3" s="2" customFormat="1" ht="15.75" customHeight="1" x14ac:dyDescent="0.2">
      <c r="B770"/>
      <c r="C770" s="37"/>
    </row>
    <row r="771" spans="2:3" s="2" customFormat="1" ht="15.75" customHeight="1" x14ac:dyDescent="0.2">
      <c r="B771"/>
      <c r="C771" s="37"/>
    </row>
    <row r="772" spans="2:3" s="2" customFormat="1" ht="15.75" customHeight="1" x14ac:dyDescent="0.2">
      <c r="B772"/>
      <c r="C772" s="37"/>
    </row>
    <row r="773" spans="2:3" s="2" customFormat="1" ht="15.75" customHeight="1" x14ac:dyDescent="0.2">
      <c r="B773"/>
      <c r="C773" s="37"/>
    </row>
    <row r="774" spans="2:3" s="2" customFormat="1" ht="15.75" customHeight="1" x14ac:dyDescent="0.2">
      <c r="B774"/>
      <c r="C774" s="37"/>
    </row>
    <row r="775" spans="2:3" s="2" customFormat="1" ht="15.75" customHeight="1" x14ac:dyDescent="0.2">
      <c r="B775"/>
      <c r="C775" s="37"/>
    </row>
    <row r="776" spans="2:3" s="2" customFormat="1" ht="15.75" customHeight="1" x14ac:dyDescent="0.2">
      <c r="B776"/>
      <c r="C776" s="37"/>
    </row>
    <row r="777" spans="2:3" s="2" customFormat="1" ht="15.75" customHeight="1" x14ac:dyDescent="0.2">
      <c r="B777"/>
      <c r="C777" s="37"/>
    </row>
    <row r="778" spans="2:3" s="2" customFormat="1" ht="15.75" customHeight="1" x14ac:dyDescent="0.2">
      <c r="B778"/>
      <c r="C778" s="37"/>
    </row>
    <row r="779" spans="2:3" s="2" customFormat="1" ht="15.75" customHeight="1" x14ac:dyDescent="0.2">
      <c r="B779"/>
      <c r="C779" s="37"/>
    </row>
    <row r="780" spans="2:3" s="2" customFormat="1" ht="15.75" customHeight="1" x14ac:dyDescent="0.2">
      <c r="B780"/>
      <c r="C780" s="37"/>
    </row>
    <row r="781" spans="2:3" s="2" customFormat="1" ht="15.75" customHeight="1" x14ac:dyDescent="0.2">
      <c r="B781"/>
      <c r="C781" s="37"/>
    </row>
    <row r="782" spans="2:3" s="2" customFormat="1" ht="15.75" customHeight="1" x14ac:dyDescent="0.2">
      <c r="B782"/>
      <c r="C782" s="37"/>
    </row>
    <row r="783" spans="2:3" s="2" customFormat="1" ht="15.75" customHeight="1" x14ac:dyDescent="0.2">
      <c r="B783"/>
      <c r="C783" s="37"/>
    </row>
    <row r="784" spans="2:3" s="2" customFormat="1" ht="15.75" customHeight="1" x14ac:dyDescent="0.2">
      <c r="B784"/>
      <c r="C784" s="37"/>
    </row>
    <row r="785" spans="2:3" s="2" customFormat="1" ht="15.75" customHeight="1" x14ac:dyDescent="0.2">
      <c r="B785"/>
      <c r="C785" s="37"/>
    </row>
    <row r="786" spans="2:3" s="2" customFormat="1" ht="15.75" customHeight="1" x14ac:dyDescent="0.2">
      <c r="B786"/>
      <c r="C786" s="37"/>
    </row>
    <row r="787" spans="2:3" s="2" customFormat="1" ht="15.75" customHeight="1" x14ac:dyDescent="0.2">
      <c r="B787"/>
      <c r="C787" s="37"/>
    </row>
    <row r="788" spans="2:3" s="2" customFormat="1" ht="15.75" customHeight="1" x14ac:dyDescent="0.2">
      <c r="B788"/>
      <c r="C788" s="37"/>
    </row>
    <row r="789" spans="2:3" s="2" customFormat="1" ht="15.75" customHeight="1" x14ac:dyDescent="0.2">
      <c r="B789"/>
      <c r="C789" s="37"/>
    </row>
    <row r="790" spans="2:3" s="2" customFormat="1" ht="15.75" customHeight="1" x14ac:dyDescent="0.2">
      <c r="B790"/>
      <c r="C790" s="37"/>
    </row>
    <row r="791" spans="2:3" s="2" customFormat="1" ht="15.75" customHeight="1" x14ac:dyDescent="0.2">
      <c r="B791"/>
      <c r="C791" s="37"/>
    </row>
    <row r="792" spans="2:3" s="2" customFormat="1" ht="15.75" customHeight="1" x14ac:dyDescent="0.2">
      <c r="B792"/>
      <c r="C792" s="37"/>
    </row>
    <row r="793" spans="2:3" s="2" customFormat="1" ht="15.75" customHeight="1" x14ac:dyDescent="0.2">
      <c r="B793"/>
      <c r="C793" s="37"/>
    </row>
    <row r="794" spans="2:3" s="2" customFormat="1" ht="15.75" customHeight="1" x14ac:dyDescent="0.2">
      <c r="B794"/>
      <c r="C794" s="37"/>
    </row>
    <row r="795" spans="2:3" s="2" customFormat="1" ht="15.75" customHeight="1" x14ac:dyDescent="0.2">
      <c r="B795"/>
      <c r="C795" s="37"/>
    </row>
  </sheetData>
  <mergeCells count="2">
    <mergeCell ref="A4:C4"/>
    <mergeCell ref="A5:C5"/>
  </mergeCells>
  <phoneticPr fontId="13" type="noConversion"/>
  <pageMargins left="0.74803149606299213" right="0.15748031496062992" top="0.55118110236220474" bottom="0.15748031496062992" header="0.15748031496062992" footer="0.15748031496062992"/>
  <pageSetup paperSize="9" scale="75" orientation="portrait" r:id="rId1"/>
  <headerFooter alignWithMargins="0"/>
  <rowBreaks count="1" manualBreakCount="1">
    <brk id="80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729"/>
  <sheetViews>
    <sheetView zoomScaleNormal="100" zoomScaleSheetLayoutView="80" workbookViewId="0">
      <selection activeCell="F25" sqref="F25"/>
    </sheetView>
  </sheetViews>
  <sheetFormatPr defaultRowHeight="12.75" x14ac:dyDescent="0.2"/>
  <cols>
    <col min="1" max="1" width="6.28515625" style="2" customWidth="1"/>
    <col min="2" max="2" width="98.28515625" customWidth="1"/>
    <col min="3" max="3" width="16.140625" style="37" customWidth="1"/>
    <col min="4" max="4" width="13" customWidth="1"/>
    <col min="5" max="13" width="9.140625" customWidth="1"/>
    <col min="14" max="14" width="6.5703125" bestFit="1" customWidth="1"/>
  </cols>
  <sheetData>
    <row r="1" spans="1:33" ht="15" customHeight="1" x14ac:dyDescent="0.3">
      <c r="A1" s="55"/>
      <c r="B1" s="34"/>
      <c r="C1" s="181" t="s">
        <v>906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8.75" x14ac:dyDescent="0.3">
      <c r="A2" s="55"/>
      <c r="B2" s="34"/>
      <c r="C2" s="181" t="str">
        <f>'1.Bev-kiad.'!C2</f>
        <v>a /2023.() önkormányzati rendelethez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15" customHeight="1" x14ac:dyDescent="0.3">
      <c r="A3" s="55"/>
      <c r="B3" s="3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9.5" x14ac:dyDescent="0.35">
      <c r="A4" s="742" t="s">
        <v>27</v>
      </c>
      <c r="B4" s="742"/>
      <c r="C4" s="74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9.5" x14ac:dyDescent="0.35">
      <c r="A5" s="742" t="s">
        <v>1301</v>
      </c>
      <c r="B5" s="742"/>
      <c r="C5" s="74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13.5" thickBot="1" x14ac:dyDescent="0.25">
      <c r="A6" s="55"/>
      <c r="B6" s="1"/>
      <c r="C6" s="56" t="s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54.75" customHeight="1" thickBot="1" x14ac:dyDescent="0.25">
      <c r="A7" s="217" t="s">
        <v>118</v>
      </c>
      <c r="B7" s="45" t="s">
        <v>209</v>
      </c>
      <c r="C7" s="45" t="str">
        <f>'1.Bev-kiad.'!C7</f>
        <v>2023. évi eredeti előirányzat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20.25" customHeight="1" x14ac:dyDescent="0.2">
      <c r="A8" s="147" t="s">
        <v>119</v>
      </c>
      <c r="B8" s="226" t="s">
        <v>339</v>
      </c>
      <c r="C8" s="173">
        <f>SUM(C13+C25+C31)</f>
        <v>50800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12.75" hidden="1" customHeight="1" x14ac:dyDescent="0.2">
      <c r="A9" s="8" t="s">
        <v>122</v>
      </c>
      <c r="B9" s="8" t="s">
        <v>126</v>
      </c>
      <c r="C9" s="6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12.75" hidden="1" customHeight="1" x14ac:dyDescent="0.2">
      <c r="A10" s="8" t="s">
        <v>123</v>
      </c>
      <c r="B10" s="8" t="s">
        <v>127</v>
      </c>
      <c r="C10" s="11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12.75" hidden="1" customHeight="1" x14ac:dyDescent="0.2">
      <c r="A11" s="8" t="s">
        <v>124</v>
      </c>
      <c r="B11" s="8" t="s">
        <v>128</v>
      </c>
      <c r="C11" s="1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2.75" hidden="1" customHeight="1" x14ac:dyDescent="0.2">
      <c r="A12" s="8" t="s">
        <v>125</v>
      </c>
      <c r="B12" s="8" t="s">
        <v>130</v>
      </c>
      <c r="C12" s="1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8" customHeight="1" x14ac:dyDescent="0.25">
      <c r="A13" s="14" t="s">
        <v>131</v>
      </c>
      <c r="B13" s="23" t="s">
        <v>249</v>
      </c>
      <c r="C13" s="38">
        <f>C14+C22</f>
        <v>40000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3.5" customHeight="1" x14ac:dyDescent="0.2">
      <c r="A14" s="8"/>
      <c r="B14" s="8" t="s">
        <v>326</v>
      </c>
      <c r="C14" s="6">
        <f>SUM(C15:C21)</f>
        <v>40000</v>
      </c>
      <c r="G14" s="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x14ac:dyDescent="0.2">
      <c r="A15" s="8"/>
      <c r="B15" s="8" t="s">
        <v>1391</v>
      </c>
      <c r="C15" s="13">
        <v>40000</v>
      </c>
      <c r="D15" s="501"/>
      <c r="E15" s="313"/>
      <c r="F15" s="31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x14ac:dyDescent="0.2">
      <c r="A16" s="8"/>
      <c r="B16" s="8"/>
      <c r="C16" s="13">
        <v>0</v>
      </c>
      <c r="D16" s="501"/>
      <c r="E16" s="313"/>
      <c r="F16" s="31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idden="1" x14ac:dyDescent="0.2">
      <c r="A17" s="8"/>
      <c r="B17" s="8"/>
      <c r="C17" s="13">
        <v>0</v>
      </c>
      <c r="D17" s="501"/>
      <c r="E17" s="313"/>
      <c r="F17" s="31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idden="1" x14ac:dyDescent="0.2">
      <c r="A18" s="8"/>
      <c r="B18" s="8"/>
      <c r="C18" s="13">
        <v>0</v>
      </c>
      <c r="D18" s="501"/>
      <c r="E18" s="313"/>
      <c r="F18" s="31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idden="1" x14ac:dyDescent="0.2">
      <c r="A19" s="8"/>
      <c r="B19" s="8"/>
      <c r="C19" s="13">
        <v>0</v>
      </c>
      <c r="D19" s="501"/>
      <c r="E19" s="313"/>
      <c r="F19" s="31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idden="1" x14ac:dyDescent="0.2">
      <c r="A20" s="8"/>
      <c r="B20" s="8"/>
      <c r="C20" s="13"/>
      <c r="D20" s="501"/>
      <c r="E20" s="313"/>
      <c r="F20" s="31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idden="1" x14ac:dyDescent="0.2">
      <c r="A21" s="8"/>
      <c r="B21" s="8"/>
      <c r="C21" s="13"/>
      <c r="D21" s="501"/>
      <c r="E21" s="313"/>
      <c r="F21" s="31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2">
      <c r="A22" s="8"/>
      <c r="B22" s="8" t="s">
        <v>327</v>
      </c>
      <c r="C22" s="6">
        <f>SUM(C24)+C23</f>
        <v>0</v>
      </c>
      <c r="D22" s="7"/>
      <c r="E22" s="7"/>
      <c r="F22" s="19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x14ac:dyDescent="0.2">
      <c r="A23" s="8"/>
      <c r="B23" s="20"/>
      <c r="C23" s="13">
        <v>0</v>
      </c>
      <c r="D23" s="7"/>
      <c r="E23" s="7"/>
      <c r="F23" s="19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idden="1" x14ac:dyDescent="0.2">
      <c r="A24" s="8"/>
      <c r="B24" s="8"/>
      <c r="C24" s="13">
        <v>0</v>
      </c>
      <c r="D24" s="7"/>
      <c r="E24" s="7"/>
      <c r="F24" s="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7.25" customHeight="1" x14ac:dyDescent="0.25">
      <c r="A25" s="14" t="s">
        <v>178</v>
      </c>
      <c r="B25" s="23" t="s">
        <v>250</v>
      </c>
      <c r="C25" s="38">
        <f>SUM(C26:C30)</f>
        <v>500</v>
      </c>
      <c r="D25" s="7"/>
      <c r="E25" s="7"/>
      <c r="F25" s="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3.5" customHeight="1" x14ac:dyDescent="0.2">
      <c r="A26" s="8" t="s">
        <v>179</v>
      </c>
      <c r="B26" s="20" t="s">
        <v>401</v>
      </c>
      <c r="C26" s="11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3.5" customHeight="1" x14ac:dyDescent="0.2">
      <c r="A27" s="8" t="s">
        <v>180</v>
      </c>
      <c r="B27" s="20" t="s">
        <v>1302</v>
      </c>
      <c r="C27" s="13">
        <f>(500)</f>
        <v>500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3.5" customHeight="1" x14ac:dyDescent="0.2">
      <c r="A28" s="8" t="s">
        <v>181</v>
      </c>
      <c r="B28" s="20" t="s">
        <v>450</v>
      </c>
      <c r="C28" s="11">
        <v>0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3.5" customHeight="1" x14ac:dyDescent="0.2">
      <c r="A29" s="8" t="s">
        <v>182</v>
      </c>
      <c r="B29" s="20" t="s">
        <v>251</v>
      </c>
      <c r="C29" s="11">
        <v>0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3.5" customHeight="1" x14ac:dyDescent="0.2">
      <c r="A30" s="8" t="s">
        <v>183</v>
      </c>
      <c r="B30" s="20" t="s">
        <v>252</v>
      </c>
      <c r="C30" s="11">
        <v>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8" customHeight="1" x14ac:dyDescent="0.25">
      <c r="A31" s="14" t="s">
        <v>190</v>
      </c>
      <c r="B31" s="23" t="s">
        <v>389</v>
      </c>
      <c r="C31" s="38">
        <f>C33</f>
        <v>10300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3.5" hidden="1" customHeight="1" x14ac:dyDescent="0.2">
      <c r="A32" s="8" t="s">
        <v>190</v>
      </c>
      <c r="B32" s="20" t="s">
        <v>395</v>
      </c>
      <c r="C32" s="49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3.5" customHeight="1" x14ac:dyDescent="0.2">
      <c r="A33" s="8" t="s">
        <v>483</v>
      </c>
      <c r="B33" s="20" t="s">
        <v>843</v>
      </c>
      <c r="C33" s="733">
        <v>10300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3.5" hidden="1" customHeight="1" x14ac:dyDescent="0.2">
      <c r="A34" s="8"/>
      <c r="B34" s="20"/>
      <c r="C34" s="16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20.25" customHeight="1" x14ac:dyDescent="0.25">
      <c r="A35" s="8"/>
      <c r="B35" s="172" t="s">
        <v>340</v>
      </c>
      <c r="C35" s="159">
        <f>SUM(C36+C40)</f>
        <v>518711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16.5" customHeight="1" x14ac:dyDescent="0.25">
      <c r="A36" s="8"/>
      <c r="B36" s="18" t="s">
        <v>254</v>
      </c>
      <c r="C36" s="191">
        <f>C37</f>
        <v>518711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13.5" customHeight="1" x14ac:dyDescent="0.2">
      <c r="A37" s="8"/>
      <c r="B37" s="31" t="s">
        <v>426</v>
      </c>
      <c r="C37" s="11">
        <f>(227589+275689+15433)</f>
        <v>518711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idden="1" x14ac:dyDescent="0.2">
      <c r="A38" s="8"/>
      <c r="B38" s="31" t="s">
        <v>853</v>
      </c>
      <c r="C38" s="13">
        <f>(632574-19378-10058-5652)</f>
        <v>597486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idden="1" x14ac:dyDescent="0.2">
      <c r="A39" s="8"/>
      <c r="B39" s="31" t="s">
        <v>854</v>
      </c>
      <c r="C39" s="13">
        <f>(226930-68956-3881-1049-246-686)</f>
        <v>152112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6.5" customHeight="1" x14ac:dyDescent="0.25">
      <c r="A40" s="8"/>
      <c r="B40" s="18" t="s">
        <v>255</v>
      </c>
      <c r="C40" s="38">
        <f>SUM(C41:C41)</f>
        <v>0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3.5" customHeight="1" thickBot="1" x14ac:dyDescent="0.25">
      <c r="A41" s="12"/>
      <c r="B41" s="8" t="s">
        <v>1303</v>
      </c>
      <c r="C41" s="11">
        <v>0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20.25" thickBot="1" x14ac:dyDescent="0.4">
      <c r="A42" s="217"/>
      <c r="B42" s="216" t="s">
        <v>376</v>
      </c>
      <c r="C42" s="227">
        <f>SUM(C8+C35)</f>
        <v>569511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5.75" x14ac:dyDescent="0.25">
      <c r="A43" s="147" t="s">
        <v>353</v>
      </c>
      <c r="B43" s="225" t="s">
        <v>341</v>
      </c>
      <c r="C43" s="174">
        <f>SUM(C44+C66+C80)</f>
        <v>550540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5.75" x14ac:dyDescent="0.25">
      <c r="A44" s="14" t="s">
        <v>253</v>
      </c>
      <c r="B44" s="550" t="s">
        <v>5</v>
      </c>
      <c r="C44" s="551">
        <f>SUM(C45+C63)</f>
        <v>5648</v>
      </c>
      <c r="D44" s="2"/>
      <c r="E44" s="2"/>
      <c r="F44" s="2"/>
      <c r="G44" s="2"/>
      <c r="H44" s="2"/>
      <c r="I44" s="2"/>
      <c r="J44" s="2"/>
      <c r="K44" s="2"/>
      <c r="L44" s="2"/>
      <c r="M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4.25" x14ac:dyDescent="0.2">
      <c r="A45" s="14"/>
      <c r="B45" s="24" t="s">
        <v>342</v>
      </c>
      <c r="C45" s="148">
        <f>SUM(C46+C50+C62)</f>
        <v>4648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4.25" x14ac:dyDescent="0.2">
      <c r="A46" s="14"/>
      <c r="B46" s="24" t="s">
        <v>346</v>
      </c>
      <c r="C46" s="148">
        <f>SUM(C47:C49)</f>
        <v>0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">
      <c r="A47" s="14"/>
      <c r="B47" s="8"/>
      <c r="C47" s="1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idden="1" x14ac:dyDescent="0.2">
      <c r="A48" s="14"/>
      <c r="B48" s="8"/>
      <c r="C48" s="1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idden="1" x14ac:dyDescent="0.2">
      <c r="A49" s="14"/>
      <c r="B49" s="8"/>
      <c r="C49" s="1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">
      <c r="A50" s="14"/>
      <c r="B50" s="14" t="s">
        <v>345</v>
      </c>
      <c r="C50" s="5">
        <f>SUM(C51:C61)</f>
        <v>4648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">
      <c r="A51" s="14"/>
      <c r="B51" s="8" t="s">
        <v>1384</v>
      </c>
      <c r="C51" s="13">
        <v>4648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">
      <c r="A52" s="14"/>
      <c r="B52" s="8"/>
      <c r="C52" s="1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idden="1" x14ac:dyDescent="0.2">
      <c r="A53" s="14"/>
      <c r="B53" s="8"/>
      <c r="C53" s="1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idden="1" x14ac:dyDescent="0.2">
      <c r="A54" s="14"/>
      <c r="B54" s="8"/>
      <c r="C54" s="1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idden="1" x14ac:dyDescent="0.2">
      <c r="A55" s="14"/>
      <c r="B55" s="8"/>
      <c r="C55" s="1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idden="1" x14ac:dyDescent="0.2">
      <c r="A56" s="14"/>
      <c r="B56" s="8"/>
      <c r="C56" s="1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idden="1" x14ac:dyDescent="0.2">
      <c r="A57" s="14"/>
      <c r="B57" s="20"/>
      <c r="C57" s="1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idden="1" x14ac:dyDescent="0.2">
      <c r="A58" s="14"/>
      <c r="B58" s="8"/>
      <c r="C58" s="1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idden="1" x14ac:dyDescent="0.2">
      <c r="A59" s="14"/>
      <c r="B59" s="8"/>
      <c r="C59" s="1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idden="1" x14ac:dyDescent="0.2">
      <c r="A60" s="14"/>
      <c r="B60" s="8"/>
      <c r="C60" s="1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idden="1" x14ac:dyDescent="0.2">
      <c r="A61" s="14"/>
      <c r="B61" s="8"/>
      <c r="C61" s="1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idden="1" x14ac:dyDescent="0.2">
      <c r="A62" s="14"/>
      <c r="B62" s="14" t="s">
        <v>874</v>
      </c>
      <c r="C62" s="5"/>
      <c r="D62" s="2"/>
      <c r="E62" s="2"/>
      <c r="F62" s="2"/>
      <c r="G62" s="7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3.5" customHeight="1" x14ac:dyDescent="0.2">
      <c r="A63" s="14"/>
      <c r="B63" s="14" t="s">
        <v>384</v>
      </c>
      <c r="C63" s="5">
        <f>SUM(C64)</f>
        <v>1000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3.5" customHeight="1" x14ac:dyDescent="0.2">
      <c r="A64" s="14"/>
      <c r="B64" s="8" t="s">
        <v>876</v>
      </c>
      <c r="C64" s="13">
        <v>1000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idden="1" x14ac:dyDescent="0.2">
      <c r="A65" s="14"/>
      <c r="B65" s="8"/>
      <c r="C65" s="1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8" customHeight="1" x14ac:dyDescent="0.25">
      <c r="A66" s="14" t="s">
        <v>356</v>
      </c>
      <c r="B66" s="23" t="s">
        <v>1</v>
      </c>
      <c r="C66" s="159">
        <f>SUM(C67+C70)</f>
        <v>544892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3.5" customHeight="1" x14ac:dyDescent="0.2">
      <c r="A67" s="14"/>
      <c r="B67" s="14" t="s">
        <v>2</v>
      </c>
      <c r="C67" s="148">
        <f>SUM(C68:C69)</f>
        <v>409658</v>
      </c>
      <c r="D67" s="7"/>
      <c r="E67" s="7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3.5" customHeight="1" x14ac:dyDescent="0.2">
      <c r="A68" s="14"/>
      <c r="B68" s="8" t="s">
        <v>1204</v>
      </c>
      <c r="C68" s="11">
        <v>188751</v>
      </c>
      <c r="D68" s="7"/>
      <c r="E68" s="7"/>
      <c r="F68" s="2"/>
      <c r="G68" s="2"/>
      <c r="H68" s="7"/>
      <c r="I68" s="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3.5" customHeight="1" x14ac:dyDescent="0.2">
      <c r="A69" s="14"/>
      <c r="B69" s="8" t="s">
        <v>1365</v>
      </c>
      <c r="C69" s="11">
        <v>220907</v>
      </c>
      <c r="D69" s="7"/>
      <c r="E69" s="7"/>
      <c r="F69" s="2"/>
      <c r="G69" s="2"/>
      <c r="H69" s="7"/>
      <c r="I69" s="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3.5" customHeight="1" x14ac:dyDescent="0.2">
      <c r="A70" s="14"/>
      <c r="B70" s="14" t="s">
        <v>343</v>
      </c>
      <c r="C70" s="148">
        <f>SUM(C71:C79)</f>
        <v>135234</v>
      </c>
      <c r="D70" s="7"/>
      <c r="E70" s="7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3.5" customHeight="1" x14ac:dyDescent="0.2">
      <c r="A71" s="14"/>
      <c r="B71" s="8" t="s">
        <v>1372</v>
      </c>
      <c r="C71" s="11">
        <v>30234</v>
      </c>
      <c r="D71" s="7"/>
      <c r="E71" s="7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3.5" customHeight="1" x14ac:dyDescent="0.2">
      <c r="A72" s="14"/>
      <c r="B72" s="8" t="s">
        <v>1373</v>
      </c>
      <c r="C72" s="11">
        <v>50000</v>
      </c>
      <c r="D72" s="7"/>
      <c r="E72" s="7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3.5" customHeight="1" x14ac:dyDescent="0.2">
      <c r="A73" s="14"/>
      <c r="B73" s="8" t="s">
        <v>1385</v>
      </c>
      <c r="C73" s="11">
        <v>50000</v>
      </c>
      <c r="D73" s="7"/>
      <c r="E73" s="7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3.5" customHeight="1" x14ac:dyDescent="0.2">
      <c r="A74" s="14"/>
      <c r="B74" s="8" t="s">
        <v>1386</v>
      </c>
      <c r="C74" s="13">
        <v>5000</v>
      </c>
      <c r="D74" s="7"/>
      <c r="E74" s="7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3.5" customHeight="1" x14ac:dyDescent="0.2">
      <c r="A75" s="14"/>
      <c r="B75" s="8"/>
      <c r="C75" s="11"/>
      <c r="D75" s="7"/>
      <c r="E75" s="7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3.5" hidden="1" customHeight="1" x14ac:dyDescent="0.2">
      <c r="A76" s="14"/>
      <c r="B76" s="8"/>
      <c r="C76" s="11"/>
      <c r="D76" s="7"/>
      <c r="E76" s="7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3.5" hidden="1" customHeight="1" x14ac:dyDescent="0.2">
      <c r="A77" s="14"/>
      <c r="B77" s="8"/>
      <c r="C77" s="11"/>
      <c r="D77" s="7"/>
      <c r="E77" s="7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3.5" hidden="1" customHeight="1" x14ac:dyDescent="0.2">
      <c r="A78" s="14"/>
      <c r="B78" s="8"/>
      <c r="C78" s="11"/>
      <c r="D78" s="7"/>
      <c r="E78" s="7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3.5" hidden="1" customHeight="1" x14ac:dyDescent="0.2">
      <c r="A79" s="14"/>
      <c r="B79" s="8"/>
      <c r="C79" s="11"/>
      <c r="D79" s="7"/>
      <c r="E79" s="7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5" x14ac:dyDescent="0.25">
      <c r="A80" s="14" t="s">
        <v>355</v>
      </c>
      <c r="B80" s="550" t="s">
        <v>13</v>
      </c>
      <c r="C80" s="552">
        <f>SUM(C81:C83)</f>
        <v>0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3.5" customHeight="1" x14ac:dyDescent="0.2">
      <c r="A81" s="8" t="s">
        <v>1065</v>
      </c>
      <c r="B81" s="20" t="s">
        <v>1103</v>
      </c>
      <c r="C81" s="13">
        <v>0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3.5" customHeight="1" x14ac:dyDescent="0.2">
      <c r="A82" s="8" t="s">
        <v>1076</v>
      </c>
      <c r="B82" s="20" t="s">
        <v>1104</v>
      </c>
      <c r="C82" s="13">
        <v>0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x14ac:dyDescent="0.2">
      <c r="A83" s="14"/>
      <c r="B83" s="8" t="s">
        <v>1381</v>
      </c>
      <c r="C83" s="13">
        <v>0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idden="1" x14ac:dyDescent="0.2">
      <c r="A84" s="14"/>
      <c r="B84" s="8" t="s">
        <v>996</v>
      </c>
      <c r="C84" s="13">
        <v>0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5.75" x14ac:dyDescent="0.2">
      <c r="A85" s="14" t="s">
        <v>206</v>
      </c>
      <c r="B85" s="187" t="s">
        <v>344</v>
      </c>
      <c r="C85" s="530">
        <f>SUM(C86+C89+C90)</f>
        <v>58156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5" customHeight="1" x14ac:dyDescent="0.2">
      <c r="A86" s="14"/>
      <c r="B86" s="189" t="s">
        <v>379</v>
      </c>
      <c r="C86" s="531">
        <f>SUM(C88)</f>
        <v>58156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3.5" hidden="1" customHeight="1" x14ac:dyDescent="0.2">
      <c r="A87" s="14"/>
      <c r="B87" s="224" t="s">
        <v>380</v>
      </c>
      <c r="C87" s="18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3.5" customHeight="1" x14ac:dyDescent="0.2">
      <c r="A88" s="14"/>
      <c r="B88" s="224" t="s">
        <v>1093</v>
      </c>
      <c r="C88" s="82">
        <v>58156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5" customHeight="1" x14ac:dyDescent="0.2">
      <c r="A89" s="14"/>
      <c r="B89" s="189" t="s">
        <v>381</v>
      </c>
      <c r="C89" s="188">
        <v>0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5" customHeight="1" thickBot="1" x14ac:dyDescent="0.25">
      <c r="A90" s="22"/>
      <c r="B90" s="186" t="s">
        <v>382</v>
      </c>
      <c r="C90" s="175">
        <v>0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24" customHeight="1" thickBot="1" x14ac:dyDescent="0.4">
      <c r="A91" s="217"/>
      <c r="B91" s="251" t="s">
        <v>378</v>
      </c>
      <c r="C91" s="227">
        <f>SUM(C43+C85)</f>
        <v>608696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15.75" hidden="1" customHeight="1" x14ac:dyDescent="0.2">
      <c r="B92" s="2"/>
      <c r="C92" s="7">
        <f>SUM(C42-C91)</f>
        <v>-39185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s="170" customFormat="1" ht="13.5" hidden="1" customHeight="1" x14ac:dyDescent="0.2">
      <c r="A93" s="89"/>
      <c r="B93" s="170" t="s">
        <v>334</v>
      </c>
      <c r="C93" s="37">
        <f>SUM(C42-C91)</f>
        <v>-39185</v>
      </c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</row>
    <row r="94" spans="1:33" s="170" customFormat="1" ht="13.5" hidden="1" customHeight="1" x14ac:dyDescent="0.2">
      <c r="A94" s="89"/>
      <c r="B94" s="263" t="s">
        <v>1094</v>
      </c>
      <c r="C94" s="37" t="e">
        <f>-SUM('8.Önk.'!#REF!)</f>
        <v>#REF!</v>
      </c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</row>
    <row r="95" spans="1:33" s="170" customFormat="1" ht="13.5" hidden="1" customHeight="1" x14ac:dyDescent="0.2">
      <c r="A95" s="89"/>
      <c r="B95" s="170" t="s">
        <v>1095</v>
      </c>
      <c r="C95" s="37">
        <f>-SUM('8.Önk.'!E138)</f>
        <v>-66670</v>
      </c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</row>
    <row r="96" spans="1:33" s="170" customFormat="1" ht="13.5" customHeight="1" x14ac:dyDescent="0.2">
      <c r="A96" s="89"/>
      <c r="C96" s="16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</row>
    <row r="97" spans="1:33" s="170" customFormat="1" ht="13.5" customHeight="1" x14ac:dyDescent="0.2">
      <c r="A97" s="89"/>
      <c r="C97" s="16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</row>
    <row r="98" spans="1:33" s="170" customFormat="1" ht="13.5" customHeight="1" x14ac:dyDescent="0.2">
      <c r="A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</row>
    <row r="99" spans="1:33" s="170" customFormat="1" ht="13.5" customHeight="1" x14ac:dyDescent="0.2">
      <c r="A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</row>
    <row r="100" spans="1:33" s="170" customFormat="1" ht="13.5" customHeight="1" x14ac:dyDescent="0.2">
      <c r="A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</row>
    <row r="101" spans="1:33" s="170" customFormat="1" ht="13.5" customHeight="1" x14ac:dyDescent="0.2">
      <c r="A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</row>
    <row r="102" spans="1:33" s="170" customFormat="1" ht="13.5" customHeight="1" x14ac:dyDescent="0.2">
      <c r="A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</row>
    <row r="103" spans="1:33" s="170" customFormat="1" ht="13.5" customHeight="1" x14ac:dyDescent="0.2">
      <c r="A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</row>
    <row r="104" spans="1:33" s="170" customFormat="1" ht="13.5" customHeight="1" x14ac:dyDescent="0.2">
      <c r="A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</row>
    <row r="105" spans="1:33" s="170" customFormat="1" ht="13.5" customHeight="1" x14ac:dyDescent="0.2">
      <c r="A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</row>
    <row r="106" spans="1:33" s="170" customFormat="1" ht="13.5" customHeight="1" x14ac:dyDescent="0.2">
      <c r="A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</row>
    <row r="107" spans="1:33" s="170" customFormat="1" ht="13.5" customHeight="1" x14ac:dyDescent="0.2">
      <c r="A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</row>
    <row r="108" spans="1:33" s="170" customFormat="1" ht="13.5" customHeight="1" x14ac:dyDescent="0.2">
      <c r="A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</row>
    <row r="109" spans="1:33" ht="15.75" customHeight="1" x14ac:dyDescent="0.2">
      <c r="B109" s="2"/>
      <c r="C109" s="19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ht="15.75" customHeight="1" x14ac:dyDescent="0.2">
      <c r="B110" s="2"/>
      <c r="C110" s="7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ht="15.75" customHeight="1" x14ac:dyDescent="0.2">
      <c r="B111" s="2"/>
      <c r="C111" s="7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ht="15.75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ht="15.7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ht="15.7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15.7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ht="15.7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5.7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15.75" customHeight="1" x14ac:dyDescent="0.2">
      <c r="A118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ht="15.75" customHeight="1" x14ac:dyDescent="0.2">
      <c r="A119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ht="15.75" customHeight="1" x14ac:dyDescent="0.2">
      <c r="A12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ht="15.75" customHeight="1" x14ac:dyDescent="0.2">
      <c r="A12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ht="15.75" customHeight="1" x14ac:dyDescent="0.2">
      <c r="A12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ht="15.75" customHeight="1" x14ac:dyDescent="0.2">
      <c r="A12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15.75" customHeight="1" x14ac:dyDescent="0.2">
      <c r="A124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ht="15.75" customHeight="1" x14ac:dyDescent="0.2">
      <c r="A12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ht="15.75" customHeight="1" x14ac:dyDescent="0.2">
      <c r="A126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15.75" customHeight="1" x14ac:dyDescent="0.2">
      <c r="A12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15.75" customHeight="1" x14ac:dyDescent="0.2">
      <c r="A128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ht="15.75" customHeight="1" x14ac:dyDescent="0.2">
      <c r="A129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ht="15.75" customHeight="1" x14ac:dyDescent="0.2">
      <c r="A13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15.75" customHeight="1" x14ac:dyDescent="0.2">
      <c r="A13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ht="15.75" customHeight="1" x14ac:dyDescent="0.2">
      <c r="A13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15.75" customHeight="1" x14ac:dyDescent="0.2">
      <c r="A13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15.75" customHeight="1" x14ac:dyDescent="0.2">
      <c r="A134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ht="15.75" customHeight="1" x14ac:dyDescent="0.2">
      <c r="A13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ht="15.75" customHeight="1" x14ac:dyDescent="0.2">
      <c r="A136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ht="15.75" customHeight="1" x14ac:dyDescent="0.2">
      <c r="A13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15.75" customHeight="1" x14ac:dyDescent="0.2">
      <c r="A13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15.75" customHeight="1" x14ac:dyDescent="0.2">
      <c r="A139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15.75" customHeight="1" x14ac:dyDescent="0.2">
      <c r="A14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15.75" customHeight="1" x14ac:dyDescent="0.2">
      <c r="A14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ht="15.75" customHeight="1" x14ac:dyDescent="0.2">
      <c r="A14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ht="15.75" customHeight="1" x14ac:dyDescent="0.2">
      <c r="A14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ht="15.75" customHeight="1" x14ac:dyDescent="0.2">
      <c r="A144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ht="15.75" customHeight="1" x14ac:dyDescent="0.2">
      <c r="A14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ht="15.75" customHeight="1" x14ac:dyDescent="0.2">
      <c r="A146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ht="15.75" customHeight="1" x14ac:dyDescent="0.2">
      <c r="A14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ht="15.75" customHeight="1" x14ac:dyDescent="0.2">
      <c r="A148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ht="15.75" customHeight="1" x14ac:dyDescent="0.2">
      <c r="A149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ht="15.75" customHeight="1" x14ac:dyDescent="0.2">
      <c r="A15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15.75" customHeight="1" x14ac:dyDescent="0.2">
      <c r="A15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ht="15.75" customHeight="1" x14ac:dyDescent="0.2">
      <c r="A15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ht="15.75" customHeight="1" x14ac:dyDescent="0.2">
      <c r="A153"/>
      <c r="B153" s="2"/>
      <c r="C153" s="29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ht="15.75" customHeight="1" x14ac:dyDescent="0.2">
      <c r="A154"/>
      <c r="B154" s="2"/>
      <c r="C154" s="29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ht="15.75" customHeight="1" x14ac:dyDescent="0.2">
      <c r="A155"/>
      <c r="B155" s="2"/>
      <c r="C155" s="29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ht="15.75" customHeight="1" x14ac:dyDescent="0.2">
      <c r="A156"/>
      <c r="B156" s="2"/>
      <c r="C156" s="29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ht="15.75" customHeight="1" x14ac:dyDescent="0.2">
      <c r="A157"/>
      <c r="B157" s="2"/>
      <c r="C157" s="29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ht="15.75" customHeight="1" x14ac:dyDescent="0.2">
      <c r="A158"/>
      <c r="B158" s="2"/>
      <c r="C158" s="29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ht="15.75" customHeight="1" x14ac:dyDescent="0.2">
      <c r="A159"/>
      <c r="B159" s="2"/>
      <c r="C159" s="29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ht="15.75" customHeight="1" x14ac:dyDescent="0.2">
      <c r="A160"/>
      <c r="B160" s="2"/>
      <c r="C160" s="29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ht="15.75" customHeight="1" x14ac:dyDescent="0.2">
      <c r="A161"/>
      <c r="B161" s="2"/>
      <c r="C161" s="29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ht="15.75" customHeight="1" x14ac:dyDescent="0.2">
      <c r="A162"/>
      <c r="B162" s="2"/>
      <c r="C162" s="29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ht="15.75" customHeight="1" x14ac:dyDescent="0.2">
      <c r="A163"/>
      <c r="B163" s="2"/>
      <c r="C163" s="29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ht="15.75" customHeight="1" x14ac:dyDescent="0.2">
      <c r="A164"/>
      <c r="B164" s="2"/>
      <c r="C164" s="29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ht="15.75" customHeight="1" x14ac:dyDescent="0.2">
      <c r="A165"/>
      <c r="B165" s="2"/>
      <c r="C165" s="29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ht="15.75" customHeight="1" x14ac:dyDescent="0.2">
      <c r="A166"/>
      <c r="B166" s="2"/>
      <c r="C166" s="29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ht="15.75" customHeight="1" x14ac:dyDescent="0.2">
      <c r="A167"/>
      <c r="B167" s="2"/>
      <c r="C167" s="29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ht="15.75" customHeight="1" x14ac:dyDescent="0.2">
      <c r="A168"/>
      <c r="B168" s="2"/>
      <c r="C168" s="29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ht="15.75" customHeight="1" x14ac:dyDescent="0.2">
      <c r="A169"/>
      <c r="B169" s="2"/>
      <c r="C169" s="29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ht="15.75" customHeight="1" x14ac:dyDescent="0.2">
      <c r="A170"/>
      <c r="B170" s="2"/>
      <c r="C170" s="29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ht="15.75" customHeight="1" x14ac:dyDescent="0.2">
      <c r="A171"/>
      <c r="B171" s="2"/>
      <c r="C171" s="29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ht="15.75" customHeight="1" x14ac:dyDescent="0.2">
      <c r="A172"/>
      <c r="B172" s="2"/>
      <c r="C172" s="29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ht="15.75" customHeight="1" x14ac:dyDescent="0.2">
      <c r="A173"/>
      <c r="B173" s="2"/>
      <c r="C173" s="29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ht="15.75" customHeight="1" x14ac:dyDescent="0.2">
      <c r="A174"/>
      <c r="B174" s="2"/>
      <c r="C174" s="29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ht="15.75" customHeight="1" x14ac:dyDescent="0.2">
      <c r="A175"/>
      <c r="B175" s="2"/>
      <c r="C175" s="29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ht="15.75" customHeight="1" x14ac:dyDescent="0.2">
      <c r="A176"/>
      <c r="B176" s="2"/>
      <c r="C176" s="29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ht="15.75" customHeight="1" x14ac:dyDescent="0.2">
      <c r="A177"/>
      <c r="B177" s="2"/>
      <c r="C177" s="29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.75" customHeight="1" x14ac:dyDescent="0.2">
      <c r="A178"/>
      <c r="B178" s="2"/>
      <c r="C178" s="29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.75" customHeight="1" x14ac:dyDescent="0.2">
      <c r="A179"/>
      <c r="B179" s="2"/>
      <c r="C179" s="29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5.75" customHeight="1" x14ac:dyDescent="0.2">
      <c r="A180"/>
      <c r="B180" s="2"/>
      <c r="C180" s="29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5.75" customHeight="1" x14ac:dyDescent="0.2">
      <c r="A181"/>
      <c r="B181" s="2"/>
      <c r="C181" s="29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5.75" customHeight="1" x14ac:dyDescent="0.2">
      <c r="A182"/>
      <c r="B182" s="2"/>
      <c r="C182" s="29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5.75" customHeight="1" x14ac:dyDescent="0.2">
      <c r="A183"/>
      <c r="B183" s="2"/>
      <c r="C183" s="29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ht="15.75" customHeight="1" x14ac:dyDescent="0.2">
      <c r="A184"/>
      <c r="B184" s="2"/>
      <c r="C184" s="29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ht="15.75" customHeight="1" x14ac:dyDescent="0.2">
      <c r="A185"/>
      <c r="B185" s="2"/>
      <c r="C185" s="29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ht="15.75" customHeight="1" x14ac:dyDescent="0.2">
      <c r="A186"/>
      <c r="B186" s="2"/>
      <c r="C186" s="29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ht="15.75" customHeight="1" x14ac:dyDescent="0.2">
      <c r="A187"/>
      <c r="B187" s="2"/>
      <c r="C187" s="29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ht="15.75" customHeight="1" x14ac:dyDescent="0.2">
      <c r="A188"/>
      <c r="B188" s="2"/>
      <c r="C188" s="29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ht="15.75" customHeight="1" x14ac:dyDescent="0.2">
      <c r="A189"/>
      <c r="B189" s="2"/>
      <c r="C189" s="29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ht="15.75" customHeight="1" x14ac:dyDescent="0.2">
      <c r="A190"/>
      <c r="B190" s="2"/>
      <c r="C190" s="29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ht="15.75" customHeight="1" x14ac:dyDescent="0.2">
      <c r="A191"/>
      <c r="B191" s="2"/>
      <c r="C191" s="29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ht="15.75" customHeight="1" x14ac:dyDescent="0.2">
      <c r="A192"/>
      <c r="B192" s="2"/>
      <c r="C192" s="29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ht="15.75" customHeight="1" x14ac:dyDescent="0.2">
      <c r="A193"/>
      <c r="B193" s="2"/>
      <c r="C193" s="29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ht="15.75" customHeight="1" x14ac:dyDescent="0.2">
      <c r="A194"/>
      <c r="B194" s="2"/>
      <c r="C194" s="29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ht="15.75" customHeight="1" x14ac:dyDescent="0.2">
      <c r="A195"/>
      <c r="B195" s="2"/>
      <c r="C195" s="29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ht="15.75" customHeight="1" x14ac:dyDescent="0.2">
      <c r="A196"/>
      <c r="B196" s="2"/>
      <c r="C196" s="29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ht="15.75" customHeight="1" x14ac:dyDescent="0.2">
      <c r="A197"/>
      <c r="B197" s="2"/>
      <c r="C197" s="29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ht="15.75" customHeight="1" x14ac:dyDescent="0.2">
      <c r="A198"/>
      <c r="B198" s="2"/>
      <c r="C198" s="29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ht="15.75" customHeight="1" x14ac:dyDescent="0.2">
      <c r="A199"/>
      <c r="B199" s="2"/>
      <c r="C199" s="29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ht="15.75" customHeight="1" x14ac:dyDescent="0.2">
      <c r="A200"/>
      <c r="B200" s="2"/>
      <c r="C200" s="29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ht="15.75" customHeight="1" x14ac:dyDescent="0.2">
      <c r="A201"/>
      <c r="B201" s="2"/>
      <c r="C201" s="29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ht="15.75" customHeight="1" x14ac:dyDescent="0.2">
      <c r="A202"/>
      <c r="B202" s="2"/>
      <c r="C202" s="29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ht="15.75" customHeight="1" x14ac:dyDescent="0.2">
      <c r="A203"/>
      <c r="B203" s="2"/>
      <c r="C203" s="29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ht="15.75" customHeight="1" x14ac:dyDescent="0.2">
      <c r="A204"/>
      <c r="B204" s="2"/>
      <c r="C204" s="29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ht="15.75" customHeight="1" x14ac:dyDescent="0.2">
      <c r="A205"/>
      <c r="B205" s="2"/>
      <c r="C205" s="29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ht="15.75" customHeight="1" x14ac:dyDescent="0.2">
      <c r="A206"/>
      <c r="B206" s="2"/>
      <c r="C206" s="29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ht="15.75" customHeight="1" x14ac:dyDescent="0.2">
      <c r="A207"/>
      <c r="B207" s="2"/>
      <c r="C207" s="29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ht="15.75" customHeight="1" x14ac:dyDescent="0.2">
      <c r="A208"/>
      <c r="B208" s="2"/>
      <c r="C208" s="29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ht="15.75" customHeight="1" x14ac:dyDescent="0.2">
      <c r="A209"/>
      <c r="B209" s="2"/>
      <c r="C209" s="29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ht="15.75" customHeight="1" x14ac:dyDescent="0.2">
      <c r="A210"/>
      <c r="B210" s="2"/>
      <c r="C210" s="29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ht="15.75" customHeight="1" x14ac:dyDescent="0.2">
      <c r="A211"/>
      <c r="B211" s="2"/>
      <c r="C211" s="29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ht="15.75" customHeight="1" x14ac:dyDescent="0.2">
      <c r="A212"/>
      <c r="B212" s="2"/>
      <c r="C212" s="29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ht="15.75" customHeight="1" x14ac:dyDescent="0.2">
      <c r="A213"/>
      <c r="B213" s="2"/>
      <c r="C213" s="29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ht="15.75" customHeight="1" x14ac:dyDescent="0.2">
      <c r="A214"/>
      <c r="B214" s="2"/>
      <c r="C214" s="29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ht="15.75" customHeight="1" x14ac:dyDescent="0.2">
      <c r="A215"/>
      <c r="B215" s="2"/>
      <c r="C215" s="29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ht="15.75" customHeight="1" x14ac:dyDescent="0.2">
      <c r="A216"/>
      <c r="B216" s="2"/>
      <c r="C216" s="29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ht="15.75" customHeight="1" x14ac:dyDescent="0.2">
      <c r="A217"/>
      <c r="B217" s="2"/>
      <c r="C217" s="29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ht="15.75" customHeight="1" x14ac:dyDescent="0.2">
      <c r="A218"/>
      <c r="B218" s="2"/>
      <c r="C218" s="29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ht="15.75" customHeight="1" x14ac:dyDescent="0.2">
      <c r="A219"/>
      <c r="B219" s="2"/>
      <c r="C219" s="29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ht="15.75" customHeight="1" x14ac:dyDescent="0.2">
      <c r="A220"/>
      <c r="B220" s="2"/>
      <c r="C220" s="29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ht="15.75" customHeight="1" x14ac:dyDescent="0.2">
      <c r="A221"/>
      <c r="B221" s="2"/>
      <c r="C221" s="29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ht="15.75" customHeight="1" x14ac:dyDescent="0.2">
      <c r="A222"/>
      <c r="B222" s="2"/>
      <c r="C222" s="29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ht="15.75" customHeight="1" x14ac:dyDescent="0.2">
      <c r="A223"/>
      <c r="B223" s="2"/>
      <c r="C223" s="29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ht="15.75" customHeight="1" x14ac:dyDescent="0.2">
      <c r="A224"/>
      <c r="B224" s="2"/>
      <c r="C224" s="29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ht="15.75" customHeight="1" x14ac:dyDescent="0.2">
      <c r="A225"/>
      <c r="B225" s="2"/>
      <c r="C225" s="29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ht="15.75" customHeight="1" x14ac:dyDescent="0.2">
      <c r="A226"/>
      <c r="B226" s="2"/>
      <c r="C226" s="29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ht="15.75" customHeight="1" x14ac:dyDescent="0.2">
      <c r="A227"/>
      <c r="B227" s="2"/>
      <c r="C227" s="29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ht="15.75" customHeight="1" x14ac:dyDescent="0.2">
      <c r="A228"/>
      <c r="B228" s="2"/>
      <c r="C228" s="29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 ht="15.75" customHeight="1" x14ac:dyDescent="0.2">
      <c r="A229"/>
      <c r="B229" s="2"/>
      <c r="C229" s="29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 ht="15.75" customHeight="1" x14ac:dyDescent="0.2">
      <c r="A230"/>
      <c r="B230" s="2"/>
      <c r="C230" s="29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ht="15.75" customHeight="1" x14ac:dyDescent="0.2">
      <c r="A231"/>
      <c r="B231" s="2"/>
      <c r="C231" s="29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 ht="15.75" customHeight="1" x14ac:dyDescent="0.2">
      <c r="A232"/>
      <c r="B232" s="2"/>
      <c r="C232" s="29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 ht="15.75" customHeight="1" x14ac:dyDescent="0.2">
      <c r="A233"/>
      <c r="B233" s="2"/>
      <c r="C233" s="29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1:33" ht="15.75" customHeight="1" x14ac:dyDescent="0.2">
      <c r="A234"/>
      <c r="B234" s="2"/>
      <c r="C234" s="29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ht="15.75" customHeight="1" x14ac:dyDescent="0.2">
      <c r="A235"/>
      <c r="B235" s="2"/>
      <c r="C235" s="29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1:33" ht="15.75" customHeight="1" x14ac:dyDescent="0.2">
      <c r="A236"/>
      <c r="B236" s="2"/>
      <c r="C236" s="29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1:33" ht="15.75" customHeight="1" x14ac:dyDescent="0.2">
      <c r="A237"/>
      <c r="B237" s="2"/>
      <c r="C237" s="29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1:33" ht="15.75" customHeight="1" x14ac:dyDescent="0.2">
      <c r="A238"/>
      <c r="B238" s="2"/>
      <c r="C238" s="29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 ht="15.75" customHeight="1" x14ac:dyDescent="0.2">
      <c r="A239"/>
      <c r="B239" s="2"/>
      <c r="C239" s="29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ht="15.75" customHeight="1" x14ac:dyDescent="0.2">
      <c r="A240"/>
      <c r="B240" s="2"/>
      <c r="C240" s="29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1:33" ht="15.75" customHeight="1" x14ac:dyDescent="0.2">
      <c r="A241"/>
      <c r="B241" s="2"/>
      <c r="C241" s="29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ht="15.75" customHeight="1" x14ac:dyDescent="0.2">
      <c r="A242"/>
      <c r="B242" s="2"/>
      <c r="C242" s="29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ht="15.75" customHeight="1" x14ac:dyDescent="0.2">
      <c r="A243"/>
      <c r="B243" s="2"/>
      <c r="C243" s="29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 ht="15.75" customHeight="1" x14ac:dyDescent="0.2">
      <c r="A244"/>
      <c r="B244" s="2"/>
      <c r="C244" s="29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 ht="15.75" customHeight="1" x14ac:dyDescent="0.2">
      <c r="A245"/>
      <c r="B245" s="2"/>
      <c r="C245" s="29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 ht="15.75" customHeight="1" x14ac:dyDescent="0.2">
      <c r="A246"/>
      <c r="B246" s="2"/>
      <c r="C246" s="29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 ht="15.75" customHeight="1" x14ac:dyDescent="0.2">
      <c r="A247"/>
      <c r="B247" s="2"/>
      <c r="C247" s="29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1:33" ht="15.75" customHeight="1" x14ac:dyDescent="0.2">
      <c r="A248"/>
      <c r="B248" s="2"/>
      <c r="C248" s="29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1:33" ht="15.75" customHeight="1" x14ac:dyDescent="0.2">
      <c r="A249"/>
      <c r="B249" s="2"/>
      <c r="C249" s="29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1:33" ht="15.75" customHeight="1" x14ac:dyDescent="0.2">
      <c r="A250"/>
      <c r="B250" s="2"/>
      <c r="C250" s="29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 ht="15.75" customHeight="1" x14ac:dyDescent="0.2">
      <c r="A251"/>
      <c r="B251" s="2"/>
      <c r="C251" s="29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 ht="15.75" customHeight="1" x14ac:dyDescent="0.2">
      <c r="A252"/>
      <c r="B252" s="2"/>
      <c r="C252" s="29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 ht="15.75" customHeight="1" x14ac:dyDescent="0.2">
      <c r="A253"/>
      <c r="B253" s="2"/>
      <c r="C253" s="29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1:33" ht="15.75" customHeight="1" x14ac:dyDescent="0.2">
      <c r="A254"/>
      <c r="B254" s="2"/>
      <c r="C254" s="29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ht="15.75" customHeight="1" x14ac:dyDescent="0.2">
      <c r="A255"/>
      <c r="B255" s="2"/>
      <c r="C255" s="29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1:33" ht="15.75" customHeight="1" x14ac:dyDescent="0.2">
      <c r="A256"/>
      <c r="B256" s="2"/>
      <c r="C256" s="29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1:33" ht="15.75" customHeight="1" x14ac:dyDescent="0.2">
      <c r="A257"/>
      <c r="B257" s="2"/>
      <c r="C257" s="29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1:33" ht="15.75" customHeight="1" x14ac:dyDescent="0.2">
      <c r="A258"/>
      <c r="B258" s="2"/>
      <c r="C258" s="29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1:33" ht="15.75" customHeight="1" x14ac:dyDescent="0.2">
      <c r="A259"/>
      <c r="B259" s="2"/>
      <c r="C259" s="29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1:33" ht="15.75" customHeight="1" x14ac:dyDescent="0.2">
      <c r="A260"/>
      <c r="B260" s="2"/>
      <c r="C260" s="29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1:33" ht="15.75" customHeight="1" x14ac:dyDescent="0.2">
      <c r="A261"/>
      <c r="B261" s="2"/>
      <c r="C261" s="29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1:33" ht="15.75" customHeight="1" x14ac:dyDescent="0.2">
      <c r="A262"/>
      <c r="B262" s="2"/>
      <c r="C262" s="29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ht="15.75" customHeight="1" x14ac:dyDescent="0.2">
      <c r="A263"/>
      <c r="B263" s="2"/>
      <c r="C263" s="29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1:33" ht="15.75" customHeight="1" x14ac:dyDescent="0.2">
      <c r="A264"/>
      <c r="B264" s="2"/>
      <c r="C264" s="29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1:33" ht="15.75" customHeight="1" x14ac:dyDescent="0.2">
      <c r="A265"/>
      <c r="B265" s="2"/>
      <c r="C265" s="29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1:33" ht="15.75" customHeight="1" x14ac:dyDescent="0.2">
      <c r="A266"/>
      <c r="B266" s="2"/>
      <c r="C266" s="29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1:33" ht="15.75" customHeight="1" x14ac:dyDescent="0.2">
      <c r="A267"/>
      <c r="B267" s="2"/>
      <c r="C267" s="29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 ht="15.75" customHeight="1" x14ac:dyDescent="0.2">
      <c r="A268"/>
      <c r="B268" s="2"/>
      <c r="C268" s="29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 ht="15.75" customHeight="1" x14ac:dyDescent="0.2">
      <c r="A269"/>
      <c r="B269" s="2"/>
      <c r="C269" s="29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 ht="15.75" customHeight="1" x14ac:dyDescent="0.2">
      <c r="A270"/>
      <c r="B270" s="2"/>
      <c r="C270" s="29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 ht="15.75" customHeight="1" x14ac:dyDescent="0.2">
      <c r="A271"/>
      <c r="B271" s="2"/>
      <c r="C271" s="29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ht="15.75" customHeight="1" x14ac:dyDescent="0.2">
      <c r="A272"/>
      <c r="B272" s="2"/>
      <c r="C272" s="29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 ht="15.75" customHeight="1" x14ac:dyDescent="0.2">
      <c r="A273"/>
      <c r="B273" s="2"/>
      <c r="C273" s="29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1:33" ht="15.75" customHeight="1" x14ac:dyDescent="0.2">
      <c r="A274"/>
      <c r="B274" s="2"/>
      <c r="C274" s="29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ht="15.75" customHeight="1" x14ac:dyDescent="0.2">
      <c r="A275"/>
      <c r="B275" s="2"/>
      <c r="C275" s="29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 ht="15.75" customHeight="1" x14ac:dyDescent="0.2">
      <c r="A276"/>
      <c r="B276" s="2"/>
      <c r="C276" s="29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1:33" ht="15.75" customHeight="1" x14ac:dyDescent="0.2">
      <c r="A277"/>
      <c r="B277" s="2"/>
      <c r="C277" s="29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ht="15.75" customHeight="1" x14ac:dyDescent="0.2">
      <c r="A278"/>
      <c r="B278" s="2"/>
      <c r="C278" s="29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 ht="15.75" customHeight="1" x14ac:dyDescent="0.2">
      <c r="A279"/>
      <c r="B279" s="2"/>
      <c r="C279" s="29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 ht="15.75" customHeight="1" x14ac:dyDescent="0.2">
      <c r="A280"/>
      <c r="B280" s="2"/>
      <c r="C280" s="29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 ht="15.75" customHeight="1" x14ac:dyDescent="0.2">
      <c r="A281"/>
      <c r="B281" s="2"/>
      <c r="C281" s="29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 ht="15.75" customHeight="1" x14ac:dyDescent="0.2">
      <c r="A282"/>
      <c r="B282" s="2"/>
      <c r="C282" s="29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 ht="15.75" customHeight="1" x14ac:dyDescent="0.2">
      <c r="A283"/>
      <c r="B283" s="2"/>
      <c r="C283" s="29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ht="15.75" customHeight="1" x14ac:dyDescent="0.2">
      <c r="A284"/>
      <c r="B284" s="2"/>
      <c r="C284" s="29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1:33" ht="15.75" customHeight="1" x14ac:dyDescent="0.2">
      <c r="A285"/>
      <c r="B285" s="2"/>
      <c r="C285" s="29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ht="15.75" customHeight="1" x14ac:dyDescent="0.2">
      <c r="A286"/>
      <c r="B286" s="2"/>
      <c r="C286" s="29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ht="15.75" customHeight="1" x14ac:dyDescent="0.2">
      <c r="A287"/>
      <c r="B287" s="2"/>
      <c r="C287" s="29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 ht="15.75" customHeight="1" x14ac:dyDescent="0.2">
      <c r="A288"/>
      <c r="B288" s="2"/>
      <c r="C288" s="29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ht="15.75" customHeight="1" x14ac:dyDescent="0.2">
      <c r="A289"/>
      <c r="B289" s="2"/>
      <c r="C289" s="29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ht="15.75" customHeight="1" x14ac:dyDescent="0.2">
      <c r="A290"/>
      <c r="B290" s="2"/>
      <c r="C290" s="29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ht="15.75" customHeight="1" x14ac:dyDescent="0.2">
      <c r="A291"/>
      <c r="B291" s="2"/>
      <c r="C291" s="29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 ht="15.75" customHeight="1" x14ac:dyDescent="0.2">
      <c r="A292"/>
      <c r="B292" s="2"/>
      <c r="C292" s="29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 ht="15.75" customHeight="1" x14ac:dyDescent="0.2">
      <c r="A293"/>
      <c r="B293" s="2"/>
      <c r="C293" s="29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1:33" ht="15.75" customHeight="1" x14ac:dyDescent="0.2">
      <c r="A294"/>
      <c r="B294" s="2"/>
      <c r="C294" s="29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1:33" ht="15.75" customHeight="1" x14ac:dyDescent="0.2">
      <c r="A295"/>
      <c r="B295" s="2"/>
      <c r="C295" s="29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1:33" ht="15.75" customHeight="1" x14ac:dyDescent="0.2">
      <c r="A296"/>
      <c r="B296" s="2"/>
      <c r="C296" s="29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1:33" ht="15.75" customHeight="1" x14ac:dyDescent="0.2">
      <c r="A297"/>
      <c r="B297" s="2"/>
      <c r="C297" s="29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1:33" ht="15.75" customHeight="1" x14ac:dyDescent="0.2">
      <c r="A298"/>
      <c r="B298" s="2"/>
      <c r="C298" s="29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1:33" ht="15.75" customHeight="1" x14ac:dyDescent="0.2">
      <c r="A299"/>
      <c r="B299" s="2"/>
      <c r="C299" s="29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1:33" ht="15.75" customHeight="1" x14ac:dyDescent="0.2">
      <c r="A300"/>
      <c r="B300" s="2"/>
      <c r="C300" s="29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1:33" ht="15.75" customHeight="1" x14ac:dyDescent="0.2">
      <c r="A301"/>
      <c r="B301" s="2"/>
      <c r="C301" s="29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 ht="15.75" customHeight="1" x14ac:dyDescent="0.2">
      <c r="A302"/>
      <c r="B302" s="2"/>
      <c r="C302" s="29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1:33" ht="15.75" customHeight="1" x14ac:dyDescent="0.2">
      <c r="A303"/>
      <c r="B303" s="2"/>
      <c r="C303" s="29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1:33" ht="15.75" customHeight="1" x14ac:dyDescent="0.2">
      <c r="A304"/>
      <c r="B304" s="2"/>
      <c r="C304" s="29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1:33" ht="15.75" customHeight="1" x14ac:dyDescent="0.2">
      <c r="A305"/>
      <c r="B305" s="2"/>
      <c r="C305" s="29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1:33" ht="15.75" customHeight="1" x14ac:dyDescent="0.2">
      <c r="A306"/>
      <c r="B306" s="2"/>
      <c r="C306" s="29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 ht="15.75" customHeight="1" x14ac:dyDescent="0.2">
      <c r="A307"/>
      <c r="B307" s="2"/>
      <c r="C307" s="29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1:33" ht="15.75" customHeight="1" x14ac:dyDescent="0.2">
      <c r="A308"/>
      <c r="B308" s="2"/>
      <c r="C308" s="29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1:33" ht="15.75" customHeight="1" x14ac:dyDescent="0.2">
      <c r="A309"/>
      <c r="B309" s="2"/>
      <c r="C309" s="29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1:33" ht="15.75" customHeight="1" x14ac:dyDescent="0.2">
      <c r="A310"/>
      <c r="B310" s="2"/>
      <c r="C310" s="29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 ht="15.75" customHeight="1" x14ac:dyDescent="0.2">
      <c r="A311"/>
      <c r="B311" s="2"/>
      <c r="C311" s="29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1:33" ht="15.75" customHeight="1" x14ac:dyDescent="0.2">
      <c r="A312"/>
      <c r="B312" s="2"/>
      <c r="C312" s="29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1:33" ht="15.75" customHeight="1" x14ac:dyDescent="0.2">
      <c r="A313"/>
      <c r="B313" s="2"/>
      <c r="C313" s="29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1:33" ht="15.75" customHeight="1" x14ac:dyDescent="0.2">
      <c r="A314"/>
      <c r="B314" s="2"/>
      <c r="C314" s="29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 ht="15.75" customHeight="1" x14ac:dyDescent="0.2">
      <c r="A315"/>
      <c r="B315" s="2"/>
      <c r="C315" s="29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1:33" ht="15.75" customHeight="1" x14ac:dyDescent="0.2">
      <c r="A316"/>
      <c r="B316" s="2"/>
      <c r="C316" s="29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1:33" ht="15.75" customHeight="1" x14ac:dyDescent="0.2">
      <c r="A317"/>
      <c r="B317" s="2"/>
      <c r="C317" s="29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1:33" ht="15.75" customHeight="1" x14ac:dyDescent="0.2">
      <c r="A318"/>
      <c r="B318" s="2"/>
      <c r="C318" s="29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 ht="15.75" customHeight="1" x14ac:dyDescent="0.2">
      <c r="A319"/>
      <c r="B319" s="2"/>
      <c r="C319" s="29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1:33" ht="15.75" customHeight="1" x14ac:dyDescent="0.2">
      <c r="A320"/>
      <c r="B320" s="2"/>
      <c r="C320" s="29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1:33" ht="15.75" customHeight="1" x14ac:dyDescent="0.2">
      <c r="A321"/>
      <c r="B321" s="2"/>
      <c r="C321" s="29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1:33" ht="15.75" customHeight="1" x14ac:dyDescent="0.2">
      <c r="A322"/>
      <c r="B322" s="2"/>
      <c r="C322" s="29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1:33" ht="15.75" customHeight="1" x14ac:dyDescent="0.2">
      <c r="A323"/>
      <c r="B323" s="2"/>
      <c r="C323" s="29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 ht="15.75" customHeight="1" x14ac:dyDescent="0.2">
      <c r="A324"/>
      <c r="B324" s="2"/>
      <c r="C324" s="29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1:33" ht="15.75" customHeight="1" x14ac:dyDescent="0.2">
      <c r="A325"/>
      <c r="B325" s="2"/>
      <c r="C325" s="29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 ht="15.75" customHeight="1" x14ac:dyDescent="0.2">
      <c r="A326"/>
      <c r="B326" s="2"/>
      <c r="C326" s="29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ht="15.75" customHeight="1" x14ac:dyDescent="0.2">
      <c r="A327"/>
      <c r="B327" s="2"/>
      <c r="C327" s="29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 ht="15.75" customHeight="1" x14ac:dyDescent="0.2">
      <c r="A328"/>
      <c r="B328" s="2"/>
      <c r="C328" s="29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ht="15.75" customHeight="1" x14ac:dyDescent="0.2">
      <c r="A329"/>
      <c r="B329" s="2"/>
      <c r="C329" s="29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 ht="15.75" customHeight="1" x14ac:dyDescent="0.2">
      <c r="A330"/>
      <c r="B330" s="2"/>
      <c r="C330" s="29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 ht="15.75" customHeight="1" x14ac:dyDescent="0.2">
      <c r="A331"/>
      <c r="B331" s="2"/>
      <c r="C331" s="29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 ht="15.75" customHeight="1" x14ac:dyDescent="0.2">
      <c r="A332"/>
      <c r="B332" s="2"/>
      <c r="C332" s="29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 ht="15.75" customHeight="1" x14ac:dyDescent="0.2">
      <c r="A333"/>
      <c r="B333" s="2"/>
      <c r="C333" s="29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1:33" ht="15.75" customHeight="1" x14ac:dyDescent="0.2">
      <c r="A334"/>
      <c r="B334" s="2"/>
      <c r="C334" s="29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1:33" ht="15.75" customHeight="1" x14ac:dyDescent="0.2">
      <c r="A335"/>
      <c r="B335" s="2"/>
      <c r="C335" s="29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1:33" ht="15.75" customHeight="1" x14ac:dyDescent="0.2">
      <c r="A336"/>
      <c r="B336" s="2"/>
      <c r="C336" s="29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1:33" ht="15.75" customHeight="1" x14ac:dyDescent="0.2">
      <c r="A337"/>
      <c r="B337" s="2"/>
      <c r="C337" s="29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1:33" ht="15.75" customHeight="1" x14ac:dyDescent="0.2">
      <c r="A338"/>
      <c r="B338" s="2"/>
      <c r="C338" s="29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1:33" ht="15.75" customHeight="1" x14ac:dyDescent="0.2">
      <c r="A339"/>
      <c r="B339" s="2"/>
      <c r="C339" s="29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1:33" ht="15.75" customHeight="1" x14ac:dyDescent="0.2">
      <c r="A340"/>
      <c r="B340" s="2"/>
      <c r="C340" s="29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1:33" ht="15.75" customHeight="1" x14ac:dyDescent="0.2">
      <c r="A341"/>
      <c r="B341" s="2"/>
      <c r="C341" s="29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1:33" ht="15.75" customHeight="1" x14ac:dyDescent="0.2">
      <c r="A342"/>
      <c r="B342" s="2"/>
      <c r="C342" s="29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1:33" ht="15.75" customHeight="1" x14ac:dyDescent="0.2">
      <c r="A343"/>
      <c r="B343" s="2"/>
      <c r="C343" s="29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1:33" ht="15.75" customHeight="1" x14ac:dyDescent="0.2">
      <c r="A344"/>
      <c r="B344" s="2"/>
      <c r="C344" s="29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1:33" ht="15.75" customHeight="1" x14ac:dyDescent="0.2">
      <c r="A345"/>
      <c r="B345" s="2"/>
      <c r="C345" s="29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1:33" ht="15.75" customHeight="1" x14ac:dyDescent="0.2">
      <c r="A346"/>
      <c r="B346" s="2"/>
      <c r="C346" s="29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 ht="15.75" customHeight="1" x14ac:dyDescent="0.2">
      <c r="A347"/>
      <c r="B347" s="2"/>
      <c r="C347" s="29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 ht="15.75" customHeight="1" x14ac:dyDescent="0.2">
      <c r="A348"/>
      <c r="B348" s="2"/>
      <c r="C348" s="29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 ht="15.75" customHeight="1" x14ac:dyDescent="0.2">
      <c r="A349"/>
      <c r="B349" s="2"/>
      <c r="C349" s="29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 ht="15.75" customHeight="1" x14ac:dyDescent="0.2">
      <c r="A350"/>
      <c r="B350" s="2"/>
      <c r="C350" s="29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ht="15.75" customHeight="1" x14ac:dyDescent="0.2">
      <c r="A351"/>
      <c r="B351" s="2"/>
      <c r="C351" s="29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 ht="15.75" customHeight="1" x14ac:dyDescent="0.2">
      <c r="A352"/>
      <c r="B352" s="2"/>
      <c r="C352" s="29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 ht="15.75" customHeight="1" x14ac:dyDescent="0.2">
      <c r="A353"/>
      <c r="B353" s="2"/>
      <c r="C353" s="29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 ht="15.75" customHeight="1" x14ac:dyDescent="0.2">
      <c r="A354"/>
      <c r="B354" s="2"/>
      <c r="C354" s="29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 ht="15.75" customHeight="1" x14ac:dyDescent="0.2">
      <c r="A355"/>
      <c r="B355" s="2"/>
      <c r="C355" s="29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 ht="15.75" customHeight="1" x14ac:dyDescent="0.2">
      <c r="A356"/>
      <c r="B356" s="2"/>
      <c r="C356" s="29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 ht="15.75" customHeight="1" x14ac:dyDescent="0.2">
      <c r="A357"/>
      <c r="B357" s="2"/>
      <c r="C357" s="29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 ht="15.75" customHeight="1" x14ac:dyDescent="0.2">
      <c r="A358"/>
      <c r="B358" s="2"/>
      <c r="C358" s="29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 ht="15.75" customHeight="1" x14ac:dyDescent="0.2">
      <c r="A359"/>
      <c r="B359" s="2"/>
      <c r="C359" s="29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 ht="15.75" customHeight="1" x14ac:dyDescent="0.2">
      <c r="A360"/>
      <c r="B360" s="2"/>
      <c r="C360" s="29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 ht="15.75" customHeight="1" x14ac:dyDescent="0.2">
      <c r="A361"/>
      <c r="B361" s="2"/>
      <c r="C361" s="29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 ht="15.75" customHeight="1" x14ac:dyDescent="0.2">
      <c r="A362"/>
      <c r="B362" s="2"/>
      <c r="C362" s="29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 ht="15.75" customHeight="1" x14ac:dyDescent="0.2">
      <c r="A363"/>
      <c r="B363" s="2"/>
      <c r="C363" s="29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 ht="15.75" customHeight="1" x14ac:dyDescent="0.2">
      <c r="A364"/>
      <c r="B364" s="2"/>
      <c r="C364" s="29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 ht="15.75" customHeight="1" x14ac:dyDescent="0.2">
      <c r="A365"/>
      <c r="B365" s="2"/>
      <c r="C365" s="29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 ht="15.75" customHeight="1" x14ac:dyDescent="0.2">
      <c r="A366"/>
      <c r="B366" s="2"/>
      <c r="C366" s="29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 ht="15.75" customHeight="1" x14ac:dyDescent="0.2">
      <c r="A367"/>
      <c r="B367" s="2"/>
      <c r="C367" s="29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 ht="15.75" customHeight="1" x14ac:dyDescent="0.2">
      <c r="A368"/>
      <c r="B368" s="2"/>
      <c r="C368" s="29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 ht="15.75" customHeight="1" x14ac:dyDescent="0.2">
      <c r="A369"/>
      <c r="B369" s="2"/>
      <c r="C369" s="29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 ht="15.75" customHeight="1" x14ac:dyDescent="0.2">
      <c r="A370"/>
      <c r="B370" s="2"/>
      <c r="C370" s="29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 ht="15.75" customHeight="1" x14ac:dyDescent="0.2">
      <c r="A371"/>
      <c r="B371" s="2"/>
      <c r="C371" s="29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 ht="15.75" customHeight="1" x14ac:dyDescent="0.2">
      <c r="A372"/>
      <c r="B372" s="2"/>
      <c r="C372" s="29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 ht="15.75" customHeight="1" x14ac:dyDescent="0.2">
      <c r="A373"/>
      <c r="B373" s="2"/>
      <c r="C373" s="29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:33" ht="15.75" customHeight="1" x14ac:dyDescent="0.2">
      <c r="A374"/>
      <c r="B374" s="2"/>
      <c r="C374" s="29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:33" ht="15.75" customHeight="1" x14ac:dyDescent="0.2">
      <c r="A375"/>
      <c r="B375" s="2"/>
      <c r="C375" s="29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 ht="15.75" customHeight="1" x14ac:dyDescent="0.2">
      <c r="A376"/>
      <c r="B376" s="2"/>
      <c r="C376" s="29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 ht="15.75" customHeight="1" x14ac:dyDescent="0.2">
      <c r="A377"/>
      <c r="B377" s="2"/>
      <c r="C377" s="29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 ht="15.75" customHeight="1" x14ac:dyDescent="0.2">
      <c r="A378"/>
      <c r="B378" s="2"/>
      <c r="C378" s="29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 ht="15.75" customHeight="1" x14ac:dyDescent="0.2">
      <c r="A379"/>
      <c r="B379" s="2"/>
      <c r="C379" s="29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 ht="15.75" customHeight="1" x14ac:dyDescent="0.2">
      <c r="A380"/>
      <c r="B380" s="2"/>
      <c r="C380" s="29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 ht="15.75" customHeight="1" x14ac:dyDescent="0.2">
      <c r="A381"/>
      <c r="B381" s="2"/>
      <c r="C381" s="29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 ht="15.75" customHeight="1" x14ac:dyDescent="0.2">
      <c r="A382"/>
      <c r="B382" s="2"/>
      <c r="C382" s="29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:33" ht="15.75" customHeight="1" x14ac:dyDescent="0.2">
      <c r="A383"/>
      <c r="B383" s="2"/>
      <c r="C383" s="29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33" ht="15.75" customHeight="1" x14ac:dyDescent="0.2">
      <c r="A384"/>
      <c r="B384" s="2"/>
      <c r="C384" s="29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 ht="15.75" customHeight="1" x14ac:dyDescent="0.2">
      <c r="A385"/>
      <c r="B385" s="2"/>
      <c r="C385" s="29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 ht="15.75" customHeight="1" x14ac:dyDescent="0.2">
      <c r="A386"/>
      <c r="B386" s="2"/>
      <c r="C386" s="29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 ht="15.75" customHeight="1" x14ac:dyDescent="0.2">
      <c r="A387"/>
      <c r="B387" s="2"/>
      <c r="C387" s="29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 ht="15.75" customHeight="1" x14ac:dyDescent="0.2">
      <c r="A388"/>
      <c r="B388" s="2"/>
      <c r="C388" s="29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 ht="15.75" customHeight="1" x14ac:dyDescent="0.2">
      <c r="A389"/>
      <c r="B389" s="2"/>
      <c r="C389" s="29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 ht="15.75" customHeight="1" x14ac:dyDescent="0.2">
      <c r="A390"/>
      <c r="B390" s="2"/>
      <c r="C390" s="29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 ht="15.75" customHeight="1" x14ac:dyDescent="0.2">
      <c r="A391"/>
      <c r="B391" s="2"/>
      <c r="C391" s="29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 ht="15.75" customHeight="1" x14ac:dyDescent="0.2">
      <c r="A392"/>
      <c r="B392" s="2"/>
      <c r="C392" s="29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 ht="15.75" customHeight="1" x14ac:dyDescent="0.2">
      <c r="A393"/>
      <c r="B393" s="2"/>
      <c r="C393" s="29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 ht="15.75" customHeight="1" x14ac:dyDescent="0.2">
      <c r="A394"/>
      <c r="B394" s="2"/>
      <c r="C394" s="29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 ht="15.75" customHeight="1" x14ac:dyDescent="0.2">
      <c r="A395"/>
      <c r="B395" s="2"/>
      <c r="C395" s="29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 ht="15.75" customHeight="1" x14ac:dyDescent="0.2">
      <c r="A396"/>
      <c r="B396" s="2"/>
      <c r="C396" s="29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 ht="15.75" customHeight="1" x14ac:dyDescent="0.2">
      <c r="A397"/>
      <c r="B397" s="2"/>
      <c r="C397" s="29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 ht="15.75" customHeight="1" x14ac:dyDescent="0.2">
      <c r="A398"/>
      <c r="B398" s="2"/>
      <c r="C398" s="29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 ht="15.75" customHeight="1" x14ac:dyDescent="0.2">
      <c r="A399"/>
      <c r="B399" s="2"/>
      <c r="C399" s="29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 ht="15.75" customHeight="1" x14ac:dyDescent="0.2">
      <c r="A400"/>
      <c r="B400" s="2"/>
      <c r="C400" s="29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 ht="15.75" customHeight="1" x14ac:dyDescent="0.2">
      <c r="A401"/>
      <c r="B401" s="2"/>
      <c r="C401" s="29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 ht="15.75" customHeight="1" x14ac:dyDescent="0.2">
      <c r="A402"/>
      <c r="B402" s="2"/>
      <c r="C402" s="29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 ht="15.75" customHeight="1" x14ac:dyDescent="0.2">
      <c r="A403"/>
      <c r="B403" s="2"/>
      <c r="C403" s="29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 ht="15.75" customHeight="1" x14ac:dyDescent="0.2">
      <c r="A404"/>
      <c r="B404" s="2"/>
      <c r="C404" s="29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:33" ht="15.75" customHeight="1" x14ac:dyDescent="0.2">
      <c r="A405"/>
      <c r="B405" s="2"/>
      <c r="C405" s="29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:33" ht="15.75" customHeight="1" x14ac:dyDescent="0.2">
      <c r="A406"/>
      <c r="B406" s="2"/>
      <c r="C406" s="29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3" ht="15.75" customHeight="1" x14ac:dyDescent="0.2">
      <c r="A407"/>
      <c r="B407" s="2"/>
      <c r="C407" s="29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3" ht="15.75" customHeight="1" x14ac:dyDescent="0.2">
      <c r="A408"/>
      <c r="B408" s="2"/>
      <c r="C408" s="29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3" ht="15.75" customHeight="1" x14ac:dyDescent="0.2">
      <c r="A409"/>
      <c r="B409" s="2"/>
      <c r="C409" s="29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 ht="15.75" customHeight="1" x14ac:dyDescent="0.2">
      <c r="A410"/>
      <c r="B410" s="2"/>
      <c r="C410" s="29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3" ht="15.75" customHeight="1" x14ac:dyDescent="0.2">
      <c r="A411"/>
      <c r="B411" s="2"/>
      <c r="C411" s="29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 ht="15.75" customHeight="1" x14ac:dyDescent="0.2">
      <c r="A412"/>
      <c r="B412" s="2"/>
      <c r="C412" s="29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1:33" ht="15.75" customHeight="1" x14ac:dyDescent="0.2">
      <c r="A413"/>
      <c r="B413" s="2"/>
      <c r="C413" s="29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3" ht="15.75" customHeight="1" x14ac:dyDescent="0.2">
      <c r="A414"/>
      <c r="B414" s="2"/>
      <c r="C414" s="29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3" ht="15.75" customHeight="1" x14ac:dyDescent="0.2">
      <c r="A415"/>
      <c r="B415" s="2"/>
      <c r="C415" s="29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3" ht="15.75" customHeight="1" x14ac:dyDescent="0.2">
      <c r="A416"/>
      <c r="B416" s="2"/>
      <c r="C416" s="29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3" ht="15.75" customHeight="1" x14ac:dyDescent="0.2">
      <c r="A417"/>
      <c r="B417" s="2"/>
      <c r="C417" s="29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1:33" ht="15.75" customHeight="1" x14ac:dyDescent="0.2">
      <c r="A418"/>
      <c r="B418" s="2"/>
      <c r="C418" s="29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1:33" ht="15.75" customHeight="1" x14ac:dyDescent="0.2">
      <c r="A419"/>
      <c r="B419" s="2"/>
      <c r="C419" s="29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1:33" ht="15.75" customHeight="1" x14ac:dyDescent="0.2">
      <c r="A420"/>
      <c r="B420" s="2"/>
      <c r="C420" s="29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1:33" ht="15.75" customHeight="1" x14ac:dyDescent="0.2">
      <c r="A421"/>
      <c r="B421" s="2"/>
      <c r="C421" s="29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1:33" ht="15.75" customHeight="1" x14ac:dyDescent="0.2">
      <c r="A422"/>
      <c r="B422" s="2"/>
      <c r="C422" s="29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 ht="15.75" customHeight="1" x14ac:dyDescent="0.2">
      <c r="A423"/>
      <c r="B423" s="2"/>
      <c r="C423" s="29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1:33" ht="15.75" customHeight="1" x14ac:dyDescent="0.2">
      <c r="A424"/>
      <c r="B424" s="2"/>
      <c r="C424" s="29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 ht="15.75" customHeight="1" x14ac:dyDescent="0.2">
      <c r="A425"/>
      <c r="B425" s="2"/>
      <c r="C425" s="29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 ht="15.75" customHeight="1" x14ac:dyDescent="0.2">
      <c r="A426"/>
      <c r="B426" s="2"/>
      <c r="C426" s="29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 ht="15.75" customHeight="1" x14ac:dyDescent="0.2">
      <c r="A427"/>
      <c r="B427" s="2"/>
      <c r="C427" s="29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 ht="15.75" customHeight="1" x14ac:dyDescent="0.2">
      <c r="A428"/>
      <c r="B428" s="2"/>
      <c r="C428" s="29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1:33" ht="15.75" customHeight="1" x14ac:dyDescent="0.2">
      <c r="A429"/>
      <c r="B429" s="2"/>
      <c r="C429" s="29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1:33" ht="15.75" customHeight="1" x14ac:dyDescent="0.2">
      <c r="A430"/>
      <c r="B430" s="2"/>
      <c r="C430" s="29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1:33" ht="15.75" customHeight="1" x14ac:dyDescent="0.2">
      <c r="A431"/>
      <c r="B431" s="2"/>
      <c r="C431" s="29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1:33" ht="15.75" customHeight="1" x14ac:dyDescent="0.2">
      <c r="A432"/>
      <c r="B432" s="2"/>
      <c r="C432" s="29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1:33" ht="15.75" customHeight="1" x14ac:dyDescent="0.2">
      <c r="A433"/>
      <c r="B433" s="2"/>
      <c r="C433" s="29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1:33" ht="15.75" customHeight="1" x14ac:dyDescent="0.2">
      <c r="A434"/>
      <c r="B434" s="2"/>
      <c r="C434" s="29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1:33" ht="15.75" customHeight="1" x14ac:dyDescent="0.2">
      <c r="A435"/>
      <c r="B435" s="2"/>
      <c r="C435" s="29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1:33" ht="15.75" customHeight="1" x14ac:dyDescent="0.2">
      <c r="A436"/>
      <c r="B436" s="2"/>
      <c r="C436" s="29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1:33" ht="15.75" customHeight="1" x14ac:dyDescent="0.2">
      <c r="A437"/>
      <c r="B437" s="2"/>
      <c r="C437" s="29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1:33" ht="15.75" customHeight="1" x14ac:dyDescent="0.2">
      <c r="A438"/>
      <c r="B438" s="2"/>
      <c r="C438" s="29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1:33" ht="15.75" customHeight="1" x14ac:dyDescent="0.2">
      <c r="A439"/>
      <c r="B439" s="2"/>
      <c r="C439" s="29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1:33" ht="15.75" customHeight="1" x14ac:dyDescent="0.2">
      <c r="A440"/>
      <c r="B440" s="2"/>
      <c r="C440" s="29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1:33" ht="15.75" customHeight="1" x14ac:dyDescent="0.2">
      <c r="A441"/>
      <c r="B441" s="2"/>
      <c r="C441" s="29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1:33" ht="15.75" customHeight="1" x14ac:dyDescent="0.2">
      <c r="A442"/>
      <c r="B442" s="2"/>
      <c r="C442" s="29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1:33" ht="15.75" customHeight="1" x14ac:dyDescent="0.2">
      <c r="A443"/>
      <c r="B443" s="2"/>
      <c r="C443" s="29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1:33" ht="15.75" customHeight="1" x14ac:dyDescent="0.2">
      <c r="A444"/>
      <c r="B444" s="2"/>
      <c r="C444" s="29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1:33" ht="15.75" customHeight="1" x14ac:dyDescent="0.2">
      <c r="A445"/>
      <c r="B445" s="2"/>
      <c r="C445" s="29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1:33" ht="15.75" customHeight="1" x14ac:dyDescent="0.2">
      <c r="A446"/>
      <c r="B446" s="2"/>
      <c r="C446" s="29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 ht="15.75" customHeight="1" x14ac:dyDescent="0.2">
      <c r="A447"/>
      <c r="B447" s="2"/>
      <c r="C447" s="29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 ht="15.75" customHeight="1" x14ac:dyDescent="0.2">
      <c r="A448"/>
      <c r="B448" s="2"/>
      <c r="C448" s="29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1:33" ht="15.75" customHeight="1" x14ac:dyDescent="0.2">
      <c r="A449"/>
      <c r="B449" s="2"/>
      <c r="C449" s="29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 ht="15.75" customHeight="1" x14ac:dyDescent="0.2">
      <c r="A450"/>
      <c r="B450" s="2"/>
      <c r="C450" s="29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1:33" ht="15.75" customHeight="1" x14ac:dyDescent="0.2">
      <c r="A451"/>
      <c r="B451" s="2"/>
      <c r="C451" s="29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1:33" ht="15.75" customHeight="1" x14ac:dyDescent="0.2">
      <c r="A452"/>
      <c r="B452" s="2"/>
      <c r="C452" s="29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1:33" ht="15.75" customHeight="1" x14ac:dyDescent="0.2">
      <c r="A453"/>
      <c r="B453" s="2"/>
      <c r="C453" s="29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1:33" ht="15.75" customHeight="1" x14ac:dyDescent="0.2">
      <c r="A454"/>
      <c r="B454" s="2"/>
      <c r="C454" s="29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1:33" ht="15.75" customHeight="1" x14ac:dyDescent="0.2">
      <c r="A455"/>
      <c r="B455" s="2"/>
      <c r="C455" s="29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1:33" ht="15.75" customHeight="1" x14ac:dyDescent="0.2">
      <c r="A456"/>
      <c r="B456" s="2"/>
      <c r="C456" s="29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1:33" ht="15.75" customHeight="1" x14ac:dyDescent="0.2">
      <c r="A457"/>
      <c r="B457" s="2"/>
      <c r="C457" s="29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1:33" ht="15.75" customHeight="1" x14ac:dyDescent="0.2">
      <c r="A458"/>
      <c r="B458" s="2"/>
      <c r="C458" s="29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1:33" ht="15.75" customHeight="1" x14ac:dyDescent="0.2">
      <c r="A459"/>
      <c r="B459" s="2"/>
      <c r="C459" s="29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 ht="15.75" customHeight="1" x14ac:dyDescent="0.2">
      <c r="A460"/>
      <c r="B460" s="2"/>
      <c r="C460" s="29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1:33" ht="15.75" customHeight="1" x14ac:dyDescent="0.2">
      <c r="A461"/>
      <c r="B461" s="2"/>
      <c r="C461" s="29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 ht="15.75" customHeight="1" x14ac:dyDescent="0.2">
      <c r="A462"/>
      <c r="B462" s="2"/>
      <c r="C462" s="29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1:33" ht="15.75" customHeight="1" x14ac:dyDescent="0.2">
      <c r="A463"/>
      <c r="B463" s="2"/>
      <c r="C463" s="29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 ht="15.75" customHeight="1" x14ac:dyDescent="0.2">
      <c r="A464"/>
      <c r="B464" s="2"/>
      <c r="C464" s="29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1:33" ht="15.75" customHeight="1" x14ac:dyDescent="0.2">
      <c r="A465"/>
      <c r="B465" s="2"/>
      <c r="C465" s="29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1:33" ht="15.75" customHeight="1" x14ac:dyDescent="0.2">
      <c r="A466"/>
      <c r="B466" s="2"/>
      <c r="C466" s="29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1:33" ht="15.75" customHeight="1" x14ac:dyDescent="0.2">
      <c r="A467"/>
      <c r="B467" s="2"/>
      <c r="C467" s="29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 ht="15.75" customHeight="1" x14ac:dyDescent="0.2">
      <c r="A468"/>
      <c r="B468" s="2"/>
      <c r="C468" s="29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1:33" ht="15.75" customHeight="1" x14ac:dyDescent="0.2">
      <c r="A469"/>
      <c r="B469" s="2"/>
      <c r="C469" s="29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1:33" ht="15.75" customHeight="1" x14ac:dyDescent="0.2">
      <c r="A470"/>
      <c r="B470" s="2"/>
      <c r="C470" s="29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1:33" ht="15.75" customHeight="1" x14ac:dyDescent="0.2">
      <c r="A471"/>
      <c r="B471" s="2"/>
      <c r="C471" s="29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1:33" ht="15.75" customHeight="1" x14ac:dyDescent="0.2">
      <c r="A472"/>
      <c r="B472" s="2"/>
      <c r="C472" s="29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1:33" ht="15.75" customHeight="1" x14ac:dyDescent="0.2">
      <c r="A473"/>
      <c r="B473" s="2"/>
      <c r="C473" s="29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1:33" ht="15.75" customHeight="1" x14ac:dyDescent="0.2">
      <c r="A474"/>
      <c r="B474" s="2"/>
      <c r="C474" s="29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1:33" ht="15.75" customHeight="1" x14ac:dyDescent="0.2">
      <c r="A475"/>
      <c r="B475" s="2"/>
      <c r="C475" s="29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1:33" ht="15.75" customHeight="1" x14ac:dyDescent="0.2">
      <c r="A476"/>
      <c r="B476" s="2"/>
      <c r="C476" s="29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 ht="15.75" customHeight="1" x14ac:dyDescent="0.2">
      <c r="A477"/>
      <c r="B477" s="2"/>
      <c r="C477" s="29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1:33" ht="15.75" customHeight="1" x14ac:dyDescent="0.2">
      <c r="A478"/>
      <c r="B478" s="2"/>
      <c r="C478" s="29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1:33" ht="15.75" customHeight="1" x14ac:dyDescent="0.2">
      <c r="A479"/>
      <c r="B479" s="2"/>
      <c r="C479" s="29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1:33" ht="15.75" customHeight="1" x14ac:dyDescent="0.2">
      <c r="A480"/>
      <c r="B480" s="2"/>
      <c r="C480" s="29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1:33" ht="15.75" customHeight="1" x14ac:dyDescent="0.2">
      <c r="A481"/>
      <c r="B481" s="2"/>
      <c r="C481" s="29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1:33" ht="15.75" customHeight="1" x14ac:dyDescent="0.2">
      <c r="A482"/>
      <c r="B482" s="2"/>
      <c r="C482" s="29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1:33" ht="15.75" customHeight="1" x14ac:dyDescent="0.2">
      <c r="A483"/>
      <c r="B483" s="2"/>
      <c r="C483" s="29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 ht="15.75" customHeight="1" x14ac:dyDescent="0.2">
      <c r="A484"/>
      <c r="B484" s="2"/>
      <c r="C484" s="29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1:33" ht="15.75" customHeight="1" x14ac:dyDescent="0.2">
      <c r="A485"/>
      <c r="B485" s="2"/>
      <c r="C485" s="29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1:33" ht="15.75" customHeight="1" x14ac:dyDescent="0.2">
      <c r="A486"/>
      <c r="B486" s="2"/>
      <c r="C486" s="29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1:33" ht="15.75" customHeight="1" x14ac:dyDescent="0.2">
      <c r="A487"/>
      <c r="B487" s="2"/>
      <c r="C487" s="29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 ht="15.75" customHeight="1" x14ac:dyDescent="0.2">
      <c r="A488"/>
      <c r="B488" s="2"/>
      <c r="C488" s="29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1:33" ht="15.75" customHeight="1" x14ac:dyDescent="0.2">
      <c r="A489"/>
      <c r="B489" s="2"/>
      <c r="C489" s="29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1:33" ht="15.75" customHeight="1" x14ac:dyDescent="0.2">
      <c r="A490"/>
      <c r="B490" s="2"/>
      <c r="C490" s="29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1:33" ht="15.75" customHeight="1" x14ac:dyDescent="0.2">
      <c r="A491"/>
      <c r="B491" s="2"/>
      <c r="C491" s="29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1:33" ht="15.75" customHeight="1" x14ac:dyDescent="0.2">
      <c r="A492"/>
      <c r="B492" s="2"/>
      <c r="C492" s="29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1:33" ht="15.75" customHeight="1" x14ac:dyDescent="0.2">
      <c r="A493"/>
      <c r="B493" s="2"/>
      <c r="C493" s="29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1:33" ht="15.75" customHeight="1" x14ac:dyDescent="0.2">
      <c r="A494"/>
      <c r="B494" s="2"/>
      <c r="C494" s="29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1:33" ht="15.75" customHeight="1" x14ac:dyDescent="0.2">
      <c r="A495"/>
      <c r="B495" s="2"/>
      <c r="C495" s="29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1:33" ht="15.75" customHeight="1" x14ac:dyDescent="0.2">
      <c r="A496"/>
      <c r="B496" s="2"/>
      <c r="C496" s="29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1:33" ht="15.75" customHeight="1" x14ac:dyDescent="0.2">
      <c r="A497"/>
      <c r="B497" s="2"/>
      <c r="C497" s="29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1:33" ht="15.75" customHeight="1" x14ac:dyDescent="0.2">
      <c r="A498"/>
      <c r="B498" s="2"/>
      <c r="C498" s="29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 ht="15.75" customHeight="1" x14ac:dyDescent="0.2">
      <c r="A499"/>
      <c r="B499" s="2"/>
      <c r="C499" s="29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1:33" ht="15.75" customHeight="1" x14ac:dyDescent="0.2">
      <c r="A500"/>
      <c r="B500" s="2"/>
      <c r="C500" s="29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1:33" ht="15.75" customHeight="1" x14ac:dyDescent="0.2">
      <c r="A501"/>
      <c r="B501" s="2"/>
      <c r="C501" s="29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1:33" ht="15.75" customHeight="1" x14ac:dyDescent="0.2">
      <c r="A502"/>
      <c r="B502" s="2"/>
      <c r="C502" s="29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1:33" ht="15.75" customHeight="1" x14ac:dyDescent="0.2">
      <c r="A503"/>
      <c r="B503" s="2"/>
      <c r="C503" s="29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1:33" ht="15.75" customHeight="1" x14ac:dyDescent="0.2">
      <c r="A504"/>
      <c r="B504" s="2"/>
      <c r="C504" s="29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1:33" ht="15.75" customHeight="1" x14ac:dyDescent="0.2">
      <c r="A505"/>
      <c r="B505" s="2"/>
      <c r="C505" s="29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1:33" ht="15.75" customHeight="1" x14ac:dyDescent="0.2">
      <c r="A506"/>
      <c r="B506" s="2"/>
      <c r="C506" s="29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1:33" ht="15.75" customHeight="1" x14ac:dyDescent="0.2">
      <c r="A507"/>
      <c r="B507" s="2"/>
      <c r="C507" s="29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1:33" ht="15.75" customHeight="1" x14ac:dyDescent="0.2">
      <c r="A508"/>
      <c r="B508" s="2"/>
      <c r="C508" s="29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1:33" ht="15.75" customHeight="1" x14ac:dyDescent="0.2">
      <c r="A509"/>
      <c r="B509" s="2"/>
      <c r="C509" s="29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1:33" ht="15.75" customHeight="1" x14ac:dyDescent="0.2">
      <c r="A510"/>
      <c r="B510" s="2"/>
      <c r="C510" s="29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1:33" ht="15.75" customHeight="1" x14ac:dyDescent="0.2">
      <c r="A511"/>
      <c r="B511" s="2"/>
      <c r="C511" s="29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1:33" ht="15.75" customHeight="1" x14ac:dyDescent="0.2">
      <c r="A512"/>
      <c r="B512" s="2"/>
      <c r="C512" s="29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1:33" ht="15.75" customHeight="1" x14ac:dyDescent="0.2">
      <c r="A513"/>
      <c r="B513" s="2"/>
      <c r="C513" s="29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1:33" ht="15.75" customHeight="1" x14ac:dyDescent="0.2">
      <c r="A514"/>
      <c r="B514" s="2"/>
      <c r="C514" s="29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1:33" ht="15.75" customHeight="1" x14ac:dyDescent="0.2">
      <c r="A515"/>
      <c r="B515" s="2"/>
      <c r="C515" s="29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1:33" ht="15.75" customHeight="1" x14ac:dyDescent="0.2">
      <c r="A516"/>
      <c r="B516" s="2"/>
      <c r="C516" s="29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1:33" ht="15.75" customHeight="1" x14ac:dyDescent="0.2">
      <c r="A517"/>
      <c r="B517" s="2"/>
      <c r="C517" s="29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1:33" ht="15.75" customHeight="1" x14ac:dyDescent="0.2">
      <c r="A518"/>
      <c r="B518" s="2"/>
      <c r="C518" s="29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1:33" ht="15.75" customHeight="1" x14ac:dyDescent="0.2">
      <c r="A519"/>
      <c r="B519" s="2"/>
      <c r="C519" s="29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1:33" ht="15.75" customHeight="1" x14ac:dyDescent="0.2">
      <c r="A520"/>
      <c r="B520" s="2"/>
      <c r="C520" s="29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1:33" ht="15.75" customHeight="1" x14ac:dyDescent="0.2">
      <c r="A521"/>
      <c r="B521" s="2"/>
      <c r="C521" s="29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1:33" ht="15.75" customHeight="1" x14ac:dyDescent="0.2">
      <c r="A522"/>
      <c r="B522" s="2"/>
      <c r="C522" s="29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1:33" ht="15.75" customHeight="1" x14ac:dyDescent="0.2">
      <c r="A523"/>
      <c r="B523" s="2"/>
      <c r="C523" s="29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1:33" ht="15.75" customHeight="1" x14ac:dyDescent="0.2">
      <c r="A524"/>
      <c r="B524" s="2"/>
      <c r="C524" s="29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1:33" ht="15.75" customHeight="1" x14ac:dyDescent="0.2">
      <c r="A525"/>
      <c r="B525" s="2"/>
      <c r="C525" s="29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1:33" ht="15.75" customHeight="1" x14ac:dyDescent="0.2">
      <c r="A526"/>
      <c r="B526" s="2"/>
      <c r="C526" s="29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1:33" ht="15.75" customHeight="1" x14ac:dyDescent="0.2">
      <c r="A527"/>
      <c r="B527" s="2"/>
      <c r="C527" s="29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1:33" ht="15.75" customHeight="1" x14ac:dyDescent="0.2">
      <c r="A528"/>
      <c r="B528" s="2"/>
      <c r="C528" s="29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1:33" ht="15.75" customHeight="1" x14ac:dyDescent="0.2">
      <c r="A529"/>
      <c r="B529" s="2"/>
      <c r="C529" s="29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1:33" ht="15.75" customHeight="1" x14ac:dyDescent="0.2">
      <c r="A530"/>
      <c r="B530" s="2"/>
      <c r="C530" s="29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 ht="15.75" customHeight="1" x14ac:dyDescent="0.2">
      <c r="A531"/>
      <c r="B531" s="2"/>
      <c r="C531" s="29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1:33" ht="15.75" customHeight="1" x14ac:dyDescent="0.2">
      <c r="A532"/>
      <c r="B532" s="2"/>
      <c r="C532" s="29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 ht="15.75" customHeight="1" x14ac:dyDescent="0.2">
      <c r="A533"/>
      <c r="B533" s="2"/>
      <c r="C533" s="29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 ht="15.75" customHeight="1" x14ac:dyDescent="0.2">
      <c r="A534"/>
      <c r="B534" s="2"/>
      <c r="C534" s="29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 ht="15.75" customHeight="1" x14ac:dyDescent="0.2">
      <c r="A535"/>
      <c r="B535" s="2"/>
      <c r="C535" s="29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 ht="15.75" customHeight="1" x14ac:dyDescent="0.2">
      <c r="A536"/>
      <c r="B536" s="2"/>
      <c r="C536" s="29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 ht="15.75" customHeight="1" x14ac:dyDescent="0.2">
      <c r="A537"/>
      <c r="B537" s="2"/>
      <c r="C537" s="29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 ht="15.75" customHeight="1" x14ac:dyDescent="0.2">
      <c r="A538"/>
      <c r="B538" s="2"/>
      <c r="C538" s="29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 ht="15.75" customHeight="1" x14ac:dyDescent="0.2">
      <c r="A539"/>
      <c r="B539" s="2"/>
      <c r="C539" s="29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 ht="15.75" customHeight="1" x14ac:dyDescent="0.2">
      <c r="A540"/>
      <c r="B540" s="2"/>
      <c r="C540" s="29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 ht="15.75" customHeight="1" x14ac:dyDescent="0.2">
      <c r="A541"/>
      <c r="B541" s="2"/>
      <c r="C541" s="29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 ht="15.75" customHeight="1" x14ac:dyDescent="0.2">
      <c r="A542"/>
      <c r="B542" s="2"/>
      <c r="C542" s="29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 ht="15.75" customHeight="1" x14ac:dyDescent="0.2">
      <c r="A543"/>
      <c r="B543" s="2"/>
      <c r="C543" s="29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 ht="15.75" customHeight="1" x14ac:dyDescent="0.2">
      <c r="A544"/>
      <c r="B544" s="2"/>
      <c r="C544" s="29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 ht="15.75" customHeight="1" x14ac:dyDescent="0.2">
      <c r="A545"/>
      <c r="B545" s="2"/>
      <c r="C545" s="29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 ht="15.75" customHeight="1" x14ac:dyDescent="0.2">
      <c r="A546"/>
      <c r="B546" s="2"/>
      <c r="C546" s="29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 ht="15.75" customHeight="1" x14ac:dyDescent="0.2">
      <c r="A547"/>
      <c r="B547" s="2"/>
      <c r="C547" s="29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 ht="15.75" customHeight="1" x14ac:dyDescent="0.2">
      <c r="A548"/>
      <c r="B548" s="2"/>
      <c r="C548" s="29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 ht="15.75" customHeight="1" x14ac:dyDescent="0.2">
      <c r="A549"/>
      <c r="B549" s="2"/>
      <c r="C549" s="29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 ht="15.75" customHeight="1" x14ac:dyDescent="0.2">
      <c r="A550"/>
      <c r="B550" s="2"/>
      <c r="C550" s="29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 ht="15.75" customHeight="1" x14ac:dyDescent="0.2">
      <c r="A551"/>
      <c r="B551" s="2"/>
      <c r="C551" s="29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 ht="15.75" customHeight="1" x14ac:dyDescent="0.2">
      <c r="A552"/>
      <c r="B552" s="2"/>
      <c r="C552" s="29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 ht="15.75" customHeight="1" x14ac:dyDescent="0.2">
      <c r="A553"/>
      <c r="B553" s="2"/>
      <c r="C553" s="29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 ht="15.75" customHeight="1" x14ac:dyDescent="0.2">
      <c r="A554"/>
      <c r="B554" s="2"/>
      <c r="C554" s="29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 ht="15.75" customHeight="1" x14ac:dyDescent="0.2">
      <c r="A555"/>
      <c r="B555" s="2"/>
      <c r="C555" s="29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 ht="15.75" customHeight="1" x14ac:dyDescent="0.2">
      <c r="A556"/>
      <c r="B556" s="2"/>
      <c r="C556" s="29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 ht="15.75" customHeight="1" x14ac:dyDescent="0.2">
      <c r="A557"/>
      <c r="B557" s="2"/>
      <c r="C557" s="29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1:33" ht="15.75" customHeight="1" x14ac:dyDescent="0.2">
      <c r="A558"/>
      <c r="B558" s="2"/>
      <c r="C558" s="29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 ht="15.75" customHeight="1" x14ac:dyDescent="0.2">
      <c r="A559"/>
      <c r="B559" s="2"/>
      <c r="C559" s="29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1:33" ht="15.75" customHeight="1" x14ac:dyDescent="0.2">
      <c r="A560"/>
      <c r="B560" s="2"/>
      <c r="C560" s="29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1:33" ht="15.75" customHeight="1" x14ac:dyDescent="0.2">
      <c r="A561"/>
      <c r="B561" s="2"/>
      <c r="C561" s="29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1:33" ht="15.75" customHeight="1" x14ac:dyDescent="0.2">
      <c r="A562"/>
      <c r="B562" s="2"/>
      <c r="C562" s="29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1:33" ht="15.75" customHeight="1" x14ac:dyDescent="0.2">
      <c r="A563"/>
      <c r="B563" s="2"/>
      <c r="C563" s="29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1:33" ht="15.75" customHeight="1" x14ac:dyDescent="0.2">
      <c r="A564"/>
      <c r="B564" s="2"/>
      <c r="C564" s="29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1:33" ht="15.75" customHeight="1" x14ac:dyDescent="0.2">
      <c r="A565"/>
      <c r="B565" s="2"/>
      <c r="C565" s="29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1:33" ht="15.75" customHeight="1" x14ac:dyDescent="0.2">
      <c r="A566"/>
      <c r="B566" s="2"/>
      <c r="C566" s="29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1:33" ht="15.75" customHeight="1" x14ac:dyDescent="0.2">
      <c r="A567"/>
      <c r="B567" s="2"/>
      <c r="C567" s="29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1:33" ht="15.75" customHeight="1" x14ac:dyDescent="0.2">
      <c r="A568"/>
      <c r="B568" s="2"/>
      <c r="C568" s="29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1:33" ht="15.75" customHeight="1" x14ac:dyDescent="0.2">
      <c r="A569"/>
      <c r="B569" s="2"/>
      <c r="C569" s="29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1:33" ht="15.75" customHeight="1" x14ac:dyDescent="0.2">
      <c r="A570"/>
      <c r="B570" s="2"/>
      <c r="C570" s="29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1:33" ht="15.75" customHeight="1" x14ac:dyDescent="0.2">
      <c r="A571"/>
      <c r="B571" s="2"/>
      <c r="C571" s="29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1:33" ht="15.75" customHeight="1" x14ac:dyDescent="0.2">
      <c r="A572"/>
      <c r="B572" s="2"/>
      <c r="C572" s="29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1:33" ht="15.75" customHeight="1" x14ac:dyDescent="0.2">
      <c r="A573"/>
      <c r="B573" s="2"/>
      <c r="C573" s="29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1:33" ht="15.75" customHeight="1" x14ac:dyDescent="0.2">
      <c r="A574"/>
      <c r="B574" s="2"/>
      <c r="C574" s="29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1:33" ht="15.75" customHeight="1" x14ac:dyDescent="0.2">
      <c r="A575"/>
      <c r="B575" s="2"/>
      <c r="C575" s="29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1:33" ht="15.75" customHeight="1" x14ac:dyDescent="0.2">
      <c r="A576"/>
      <c r="B576" s="2"/>
      <c r="C576" s="29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1:33" ht="15.75" customHeight="1" x14ac:dyDescent="0.2">
      <c r="A577"/>
      <c r="B577" s="2"/>
      <c r="C577" s="29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1:33" ht="15.75" customHeight="1" x14ac:dyDescent="0.2">
      <c r="A578"/>
      <c r="B578" s="2"/>
      <c r="C578" s="29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1:33" ht="15.75" customHeight="1" x14ac:dyDescent="0.2">
      <c r="A579"/>
      <c r="B579" s="2"/>
      <c r="C579" s="29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1:33" ht="15.75" customHeight="1" x14ac:dyDescent="0.2">
      <c r="A580"/>
      <c r="B580" s="2"/>
      <c r="C580" s="29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1:33" ht="15.75" customHeight="1" x14ac:dyDescent="0.2">
      <c r="A581"/>
      <c r="B581" s="2"/>
      <c r="C581" s="29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1:33" ht="15.75" customHeight="1" x14ac:dyDescent="0.2">
      <c r="A582"/>
      <c r="B582" s="2"/>
      <c r="C582" s="29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1:33" ht="15.75" customHeight="1" x14ac:dyDescent="0.2">
      <c r="A583"/>
      <c r="B583" s="2"/>
      <c r="C583" s="29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1:33" ht="15.75" customHeight="1" x14ac:dyDescent="0.2">
      <c r="A584"/>
      <c r="B584" s="2"/>
      <c r="C584" s="29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1:33" ht="15.75" customHeight="1" x14ac:dyDescent="0.2">
      <c r="A585"/>
      <c r="B585" s="2"/>
      <c r="C585" s="29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1:33" ht="15.75" customHeight="1" x14ac:dyDescent="0.2">
      <c r="A586"/>
      <c r="B586" s="2"/>
      <c r="C586" s="29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1:33" ht="15.75" customHeight="1" x14ac:dyDescent="0.2">
      <c r="A587"/>
      <c r="B587" s="2"/>
      <c r="C587" s="29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1:33" ht="15.75" customHeight="1" x14ac:dyDescent="0.2">
      <c r="A588"/>
      <c r="B588" s="2"/>
      <c r="C588" s="29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1:33" ht="15.75" customHeight="1" x14ac:dyDescent="0.2">
      <c r="A589"/>
      <c r="B589" s="2"/>
      <c r="C589" s="29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1:33" ht="15.75" customHeight="1" x14ac:dyDescent="0.2">
      <c r="A590"/>
      <c r="B590" s="2"/>
      <c r="C590" s="29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1:33" ht="15.75" customHeight="1" x14ac:dyDescent="0.2">
      <c r="A591"/>
      <c r="B591" s="2"/>
      <c r="C591" s="29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1:33" ht="15.75" customHeight="1" x14ac:dyDescent="0.2">
      <c r="A592"/>
      <c r="B592" s="2"/>
      <c r="C592" s="29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1:33" ht="15.75" customHeight="1" x14ac:dyDescent="0.2">
      <c r="A593"/>
      <c r="B593" s="2"/>
      <c r="C593" s="29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1:33" ht="15.75" customHeight="1" x14ac:dyDescent="0.2">
      <c r="A594"/>
      <c r="B594" s="2"/>
      <c r="C594" s="29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1:33" ht="15.75" customHeight="1" x14ac:dyDescent="0.2">
      <c r="A595"/>
      <c r="B595" s="2"/>
      <c r="C595" s="29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1:33" ht="15.75" customHeight="1" x14ac:dyDescent="0.2">
      <c r="A596"/>
      <c r="B596" s="2"/>
      <c r="C596" s="29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1:33" ht="15.75" customHeight="1" x14ac:dyDescent="0.2">
      <c r="A597"/>
      <c r="B597" s="2"/>
      <c r="C597" s="29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1:33" ht="15.75" customHeight="1" x14ac:dyDescent="0.2">
      <c r="A598"/>
      <c r="B598" s="2"/>
      <c r="C598" s="29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1:33" ht="15.75" customHeight="1" x14ac:dyDescent="0.2">
      <c r="A599"/>
      <c r="B599" s="2"/>
      <c r="C599" s="29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1:33" ht="15.75" customHeight="1" x14ac:dyDescent="0.2">
      <c r="A600"/>
      <c r="B600" s="2"/>
      <c r="C600" s="29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1:33" ht="15.75" customHeight="1" x14ac:dyDescent="0.2">
      <c r="A601"/>
      <c r="B601" s="2"/>
      <c r="C601" s="29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1:33" ht="15.75" customHeight="1" x14ac:dyDescent="0.2">
      <c r="A602"/>
      <c r="B602" s="2"/>
      <c r="C602" s="29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1:33" ht="15.75" customHeight="1" x14ac:dyDescent="0.2">
      <c r="A603"/>
      <c r="B603" s="2"/>
      <c r="C603" s="29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1:33" ht="15.75" customHeight="1" x14ac:dyDescent="0.2">
      <c r="A604"/>
      <c r="B604" s="2"/>
      <c r="C604" s="29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1:33" ht="15.75" customHeight="1" x14ac:dyDescent="0.2">
      <c r="A605"/>
      <c r="B605" s="2"/>
      <c r="C605" s="29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1:33" ht="15.75" customHeight="1" x14ac:dyDescent="0.2">
      <c r="A606"/>
      <c r="B606" s="2"/>
      <c r="C606" s="29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1:33" ht="15.75" customHeight="1" x14ac:dyDescent="0.2">
      <c r="A607"/>
      <c r="B607" s="2"/>
      <c r="C607" s="29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1:33" ht="15.75" customHeight="1" x14ac:dyDescent="0.2">
      <c r="A608"/>
      <c r="B608" s="2"/>
      <c r="C608" s="29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1:33" ht="15.75" customHeight="1" x14ac:dyDescent="0.2">
      <c r="A609"/>
      <c r="B609" s="2"/>
      <c r="C609" s="29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1:33" ht="15.75" customHeight="1" x14ac:dyDescent="0.2">
      <c r="A610"/>
      <c r="B610" s="2"/>
      <c r="C610" s="29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1:33" ht="15.75" customHeight="1" x14ac:dyDescent="0.2">
      <c r="A611"/>
      <c r="B611" s="2"/>
      <c r="C611" s="29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 ht="15.75" customHeight="1" x14ac:dyDescent="0.2">
      <c r="A612"/>
      <c r="B612" s="2"/>
      <c r="C612" s="29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 ht="15.75" customHeight="1" x14ac:dyDescent="0.2">
      <c r="A613"/>
      <c r="B613" s="2"/>
      <c r="C613" s="29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 ht="15.75" customHeight="1" x14ac:dyDescent="0.2">
      <c r="A614"/>
      <c r="B614" s="2"/>
      <c r="C614" s="29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 ht="15.75" customHeight="1" x14ac:dyDescent="0.2">
      <c r="A615"/>
      <c r="B615" s="2"/>
      <c r="C615" s="29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 ht="15.75" customHeight="1" x14ac:dyDescent="0.2">
      <c r="A616"/>
      <c r="B616" s="2"/>
      <c r="C616" s="29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 ht="15.75" customHeight="1" x14ac:dyDescent="0.2">
      <c r="A617"/>
      <c r="B617" s="2"/>
      <c r="C617" s="29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 ht="15.75" customHeight="1" x14ac:dyDescent="0.2">
      <c r="A618"/>
      <c r="B618" s="2"/>
      <c r="C618" s="29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 ht="15.75" customHeight="1" x14ac:dyDescent="0.2">
      <c r="A619"/>
      <c r="B619" s="2"/>
      <c r="C619" s="29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 ht="15.75" customHeight="1" x14ac:dyDescent="0.2">
      <c r="A620"/>
      <c r="B620" s="2"/>
      <c r="C620" s="29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 ht="15.75" customHeight="1" x14ac:dyDescent="0.2">
      <c r="A621"/>
      <c r="B621" s="2"/>
      <c r="C621" s="29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 ht="15.75" customHeight="1" x14ac:dyDescent="0.2">
      <c r="A622"/>
      <c r="B622" s="2"/>
      <c r="C622" s="29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 ht="15.75" customHeight="1" x14ac:dyDescent="0.2">
      <c r="A623"/>
      <c r="B623" s="2"/>
      <c r="C623" s="29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 ht="15.75" customHeight="1" x14ac:dyDescent="0.2">
      <c r="A624"/>
      <c r="B624" s="2"/>
      <c r="C624" s="29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 ht="15.75" customHeight="1" x14ac:dyDescent="0.2">
      <c r="A625"/>
      <c r="B625" s="2"/>
      <c r="C625" s="29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 ht="15.75" customHeight="1" x14ac:dyDescent="0.2">
      <c r="A626"/>
    </row>
    <row r="627" spans="1:33" ht="15.75" customHeight="1" x14ac:dyDescent="0.2">
      <c r="A627"/>
    </row>
    <row r="628" spans="1:33" ht="15.75" customHeight="1" x14ac:dyDescent="0.2">
      <c r="A628"/>
    </row>
    <row r="629" spans="1:33" ht="15.75" customHeight="1" x14ac:dyDescent="0.2">
      <c r="A629"/>
    </row>
    <row r="630" spans="1:33" ht="15.75" customHeight="1" x14ac:dyDescent="0.2">
      <c r="A630"/>
      <c r="C630"/>
    </row>
    <row r="631" spans="1:33" ht="15.75" customHeight="1" x14ac:dyDescent="0.2">
      <c r="A631"/>
      <c r="C631"/>
    </row>
    <row r="632" spans="1:33" ht="15.75" customHeight="1" x14ac:dyDescent="0.2">
      <c r="A632"/>
      <c r="C632"/>
    </row>
    <row r="633" spans="1:33" ht="15.75" customHeight="1" x14ac:dyDescent="0.2">
      <c r="A633"/>
      <c r="C633"/>
    </row>
    <row r="634" spans="1:33" ht="15.75" customHeight="1" x14ac:dyDescent="0.2">
      <c r="A634"/>
      <c r="C634"/>
    </row>
    <row r="635" spans="1:33" ht="15.75" customHeight="1" x14ac:dyDescent="0.2">
      <c r="A635"/>
      <c r="C635"/>
    </row>
    <row r="636" spans="1:33" ht="15.75" customHeight="1" x14ac:dyDescent="0.2">
      <c r="A636"/>
      <c r="C636"/>
    </row>
    <row r="637" spans="1:33" ht="15.75" customHeight="1" x14ac:dyDescent="0.2">
      <c r="A637"/>
      <c r="C637"/>
    </row>
    <row r="638" spans="1:33" ht="15.75" customHeight="1" x14ac:dyDescent="0.2">
      <c r="A638"/>
      <c r="C638"/>
    </row>
    <row r="639" spans="1:33" ht="15.75" customHeight="1" x14ac:dyDescent="0.2">
      <c r="A639"/>
      <c r="C639"/>
    </row>
    <row r="640" spans="1:33" ht="15.75" customHeight="1" x14ac:dyDescent="0.2">
      <c r="A640"/>
      <c r="C640"/>
    </row>
    <row r="641" customFormat="1" ht="15.75" customHeight="1" x14ac:dyDescent="0.2"/>
    <row r="642" customFormat="1" ht="15.75" customHeight="1" x14ac:dyDescent="0.2"/>
    <row r="643" customFormat="1" ht="15.75" customHeight="1" x14ac:dyDescent="0.2"/>
    <row r="644" customFormat="1" ht="15.75" customHeight="1" x14ac:dyDescent="0.2"/>
    <row r="645" customFormat="1" ht="15.75" customHeight="1" x14ac:dyDescent="0.2"/>
    <row r="646" customFormat="1" ht="15.75" customHeight="1" x14ac:dyDescent="0.2"/>
    <row r="647" customFormat="1" ht="15.75" customHeight="1" x14ac:dyDescent="0.2"/>
    <row r="648" customFormat="1" ht="15.75" customHeight="1" x14ac:dyDescent="0.2"/>
    <row r="649" customFormat="1" ht="15.75" customHeight="1" x14ac:dyDescent="0.2"/>
    <row r="650" customFormat="1" ht="15.75" customHeight="1" x14ac:dyDescent="0.2"/>
    <row r="651" customFormat="1" ht="15.75" customHeight="1" x14ac:dyDescent="0.2"/>
    <row r="652" customFormat="1" ht="15.75" customHeight="1" x14ac:dyDescent="0.2"/>
    <row r="653" customFormat="1" ht="15.75" customHeight="1" x14ac:dyDescent="0.2"/>
    <row r="654" customFormat="1" ht="15.75" customHeight="1" x14ac:dyDescent="0.2"/>
    <row r="655" customFormat="1" ht="15.75" customHeight="1" x14ac:dyDescent="0.2"/>
    <row r="656" customFormat="1" ht="15.75" customHeight="1" x14ac:dyDescent="0.2"/>
    <row r="657" customFormat="1" ht="15.75" customHeight="1" x14ac:dyDescent="0.2"/>
    <row r="658" customFormat="1" ht="15.75" customHeight="1" x14ac:dyDescent="0.2"/>
    <row r="659" customFormat="1" ht="15.75" customHeight="1" x14ac:dyDescent="0.2"/>
    <row r="660" customFormat="1" ht="15.75" customHeight="1" x14ac:dyDescent="0.2"/>
    <row r="661" customFormat="1" ht="15.75" customHeight="1" x14ac:dyDescent="0.2"/>
    <row r="662" customFormat="1" ht="15.75" customHeight="1" x14ac:dyDescent="0.2"/>
    <row r="663" customFormat="1" ht="15.75" customHeight="1" x14ac:dyDescent="0.2"/>
    <row r="664" customFormat="1" ht="15.75" customHeight="1" x14ac:dyDescent="0.2"/>
    <row r="665" customFormat="1" ht="15.75" customHeight="1" x14ac:dyDescent="0.2"/>
    <row r="666" customFormat="1" ht="15.75" customHeight="1" x14ac:dyDescent="0.2"/>
    <row r="667" customFormat="1" ht="15.75" customHeight="1" x14ac:dyDescent="0.2"/>
    <row r="668" customFormat="1" ht="15.75" customHeight="1" x14ac:dyDescent="0.2"/>
    <row r="669" customFormat="1" ht="15.75" customHeight="1" x14ac:dyDescent="0.2"/>
    <row r="670" customFormat="1" ht="15.75" customHeight="1" x14ac:dyDescent="0.2"/>
    <row r="671" customFormat="1" ht="15.75" customHeight="1" x14ac:dyDescent="0.2"/>
    <row r="672" customFormat="1" ht="15.75" customHeight="1" x14ac:dyDescent="0.2"/>
    <row r="673" customFormat="1" ht="15.75" customHeight="1" x14ac:dyDescent="0.2"/>
    <row r="674" customFormat="1" ht="15.75" customHeight="1" x14ac:dyDescent="0.2"/>
    <row r="675" customFormat="1" ht="15.75" customHeight="1" x14ac:dyDescent="0.2"/>
    <row r="676" customFormat="1" ht="15.75" customHeight="1" x14ac:dyDescent="0.2"/>
    <row r="677" customFormat="1" ht="15.75" customHeight="1" x14ac:dyDescent="0.2"/>
    <row r="678" customFormat="1" ht="15.75" customHeight="1" x14ac:dyDescent="0.2"/>
    <row r="679" customFormat="1" ht="15.75" customHeight="1" x14ac:dyDescent="0.2"/>
    <row r="680" customFormat="1" ht="15.75" customHeight="1" x14ac:dyDescent="0.2"/>
    <row r="681" customFormat="1" ht="15.75" customHeight="1" x14ac:dyDescent="0.2"/>
    <row r="682" customFormat="1" ht="15.75" customHeight="1" x14ac:dyDescent="0.2"/>
    <row r="683" customFormat="1" ht="15.75" customHeight="1" x14ac:dyDescent="0.2"/>
    <row r="684" customFormat="1" ht="15.75" customHeight="1" x14ac:dyDescent="0.2"/>
    <row r="685" customFormat="1" ht="15.75" customHeight="1" x14ac:dyDescent="0.2"/>
    <row r="686" customFormat="1" ht="15.75" customHeight="1" x14ac:dyDescent="0.2"/>
    <row r="687" customFormat="1" ht="15.75" customHeight="1" x14ac:dyDescent="0.2"/>
    <row r="688" customFormat="1" ht="15.75" customHeight="1" x14ac:dyDescent="0.2"/>
    <row r="689" customFormat="1" ht="15.75" customHeight="1" x14ac:dyDescent="0.2"/>
    <row r="690" customFormat="1" ht="15.75" customHeight="1" x14ac:dyDescent="0.2"/>
    <row r="691" customFormat="1" ht="15.75" customHeight="1" x14ac:dyDescent="0.2"/>
    <row r="692" customFormat="1" ht="15.75" customHeight="1" x14ac:dyDescent="0.2"/>
    <row r="693" customFormat="1" ht="15.75" customHeight="1" x14ac:dyDescent="0.2"/>
    <row r="694" customFormat="1" ht="15.75" customHeight="1" x14ac:dyDescent="0.2"/>
    <row r="695" customFormat="1" ht="15.75" customHeight="1" x14ac:dyDescent="0.2"/>
    <row r="696" customFormat="1" ht="15.75" customHeight="1" x14ac:dyDescent="0.2"/>
    <row r="697" customFormat="1" ht="15.75" customHeight="1" x14ac:dyDescent="0.2"/>
    <row r="698" customFormat="1" ht="15.75" customHeight="1" x14ac:dyDescent="0.2"/>
    <row r="699" customFormat="1" ht="15.75" customHeight="1" x14ac:dyDescent="0.2"/>
    <row r="700" customFormat="1" ht="15.75" customHeight="1" x14ac:dyDescent="0.2"/>
    <row r="701" customFormat="1" ht="15.75" customHeight="1" x14ac:dyDescent="0.2"/>
    <row r="702" customFormat="1" ht="15.75" customHeight="1" x14ac:dyDescent="0.2"/>
    <row r="703" customFormat="1" ht="15.75" customHeight="1" x14ac:dyDescent="0.2"/>
    <row r="704" customFormat="1" ht="15.75" customHeight="1" x14ac:dyDescent="0.2"/>
    <row r="705" customFormat="1" ht="15.75" customHeight="1" x14ac:dyDescent="0.2"/>
    <row r="706" customFormat="1" ht="15.75" customHeight="1" x14ac:dyDescent="0.2"/>
    <row r="707" customFormat="1" ht="15.75" customHeight="1" x14ac:dyDescent="0.2"/>
    <row r="708" customFormat="1" ht="15.75" customHeight="1" x14ac:dyDescent="0.2"/>
    <row r="709" customFormat="1" ht="15.75" customHeight="1" x14ac:dyDescent="0.2"/>
    <row r="710" customFormat="1" ht="15.75" customHeight="1" x14ac:dyDescent="0.2"/>
    <row r="711" customFormat="1" ht="15.75" customHeight="1" x14ac:dyDescent="0.2"/>
    <row r="712" customFormat="1" ht="15.75" customHeight="1" x14ac:dyDescent="0.2"/>
    <row r="713" customFormat="1" ht="15.75" customHeight="1" x14ac:dyDescent="0.2"/>
    <row r="714" customFormat="1" ht="15.75" customHeight="1" x14ac:dyDescent="0.2"/>
    <row r="715" customFormat="1" ht="15.75" customHeight="1" x14ac:dyDescent="0.2"/>
    <row r="716" customFormat="1" ht="15.75" customHeight="1" x14ac:dyDescent="0.2"/>
    <row r="717" customFormat="1" ht="15.75" customHeight="1" x14ac:dyDescent="0.2"/>
    <row r="718" customFormat="1" ht="15.75" customHeight="1" x14ac:dyDescent="0.2"/>
    <row r="719" customFormat="1" ht="15.75" customHeight="1" x14ac:dyDescent="0.2"/>
    <row r="720" customFormat="1" ht="15.75" customHeight="1" x14ac:dyDescent="0.2"/>
    <row r="721" customFormat="1" ht="15.75" customHeight="1" x14ac:dyDescent="0.2"/>
    <row r="722" customFormat="1" ht="15.75" customHeight="1" x14ac:dyDescent="0.2"/>
    <row r="723" customFormat="1" ht="15.75" customHeight="1" x14ac:dyDescent="0.2"/>
    <row r="724" customFormat="1" ht="15.75" customHeight="1" x14ac:dyDescent="0.2"/>
    <row r="725" customFormat="1" ht="15.75" customHeight="1" x14ac:dyDescent="0.2"/>
    <row r="726" customFormat="1" ht="15.75" customHeight="1" x14ac:dyDescent="0.2"/>
    <row r="727" customFormat="1" ht="15.75" customHeight="1" x14ac:dyDescent="0.2"/>
    <row r="728" customFormat="1" ht="15.75" customHeight="1" x14ac:dyDescent="0.2"/>
    <row r="729" customFormat="1" ht="15.75" customHeight="1" x14ac:dyDescent="0.2"/>
  </sheetData>
  <mergeCells count="2">
    <mergeCell ref="A4:C4"/>
    <mergeCell ref="A5:C5"/>
  </mergeCells>
  <phoneticPr fontId="13" type="noConversion"/>
  <pageMargins left="0.51181102362204722" right="0.19685039370078741" top="0.35433070866141736" bottom="0.39370078740157483" header="0.31496062992125984" footer="0.51181102362204722"/>
  <pageSetup paperSize="9" scale="7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7"/>
  <sheetViews>
    <sheetView zoomScaleNormal="100" zoomScaleSheetLayoutView="90" workbookViewId="0">
      <selection activeCell="K16" sqref="K16"/>
    </sheetView>
  </sheetViews>
  <sheetFormatPr defaultColWidth="0" defaultRowHeight="12.75" x14ac:dyDescent="0.2"/>
  <cols>
    <col min="1" max="1" width="102.42578125" customWidth="1"/>
    <col min="2" max="2" width="16.7109375" customWidth="1"/>
    <col min="3" max="3" width="9.140625" customWidth="1"/>
    <col min="4" max="4" width="7.85546875" customWidth="1"/>
    <col min="5" max="5" width="15.28515625" customWidth="1"/>
    <col min="6" max="13" width="7.85546875" customWidth="1"/>
    <col min="14" max="219" width="9.140625" customWidth="1"/>
  </cols>
  <sheetData>
    <row r="1" spans="1:15" ht="15.75" customHeight="1" x14ac:dyDescent="0.2">
      <c r="A1" s="534"/>
      <c r="B1" s="177" t="s">
        <v>907</v>
      </c>
    </row>
    <row r="2" spans="1:15" x14ac:dyDescent="0.2">
      <c r="A2" s="534"/>
      <c r="B2" s="181" t="str">
        <f>'1.Bev-kiad.'!C2</f>
        <v>a /2023.() önkormányzati rendelethez</v>
      </c>
    </row>
    <row r="3" spans="1:15" ht="15.75" customHeight="1" x14ac:dyDescent="0.2">
      <c r="A3" s="534"/>
    </row>
    <row r="4" spans="1:15" ht="19.5" x14ac:dyDescent="0.2">
      <c r="A4" s="752" t="s">
        <v>394</v>
      </c>
      <c r="B4" s="752"/>
    </row>
    <row r="5" spans="1:15" ht="19.5" customHeight="1" x14ac:dyDescent="0.35">
      <c r="A5" s="751" t="s">
        <v>1304</v>
      </c>
      <c r="B5" s="751"/>
    </row>
    <row r="6" spans="1:15" ht="5.25" customHeight="1" x14ac:dyDescent="0.2">
      <c r="A6" s="53"/>
      <c r="B6" s="54"/>
    </row>
    <row r="7" spans="1:15" ht="13.5" thickBot="1" x14ac:dyDescent="0.25">
      <c r="A7" s="53"/>
      <c r="B7" s="177" t="s">
        <v>0</v>
      </c>
    </row>
    <row r="8" spans="1:15" s="4" customFormat="1" ht="48" thickBot="1" x14ac:dyDescent="0.3">
      <c r="A8" s="44" t="s">
        <v>14</v>
      </c>
      <c r="B8" s="45" t="str">
        <f>'1.Bev-kiad.'!C7</f>
        <v>2023. évi eredeti előirányzat</v>
      </c>
    </row>
    <row r="9" spans="1:15" s="4" customFormat="1" ht="18" customHeight="1" x14ac:dyDescent="0.25">
      <c r="A9" s="249" t="s">
        <v>15</v>
      </c>
      <c r="B9" s="250">
        <f>SUM(B10+B31+B32)</f>
        <v>344793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1:15" s="4" customFormat="1" ht="14.25" customHeight="1" x14ac:dyDescent="0.25">
      <c r="A10" s="17" t="s">
        <v>3</v>
      </c>
      <c r="B10" s="5">
        <f>SUM(B11+B16)</f>
        <v>314474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5" s="4" customFormat="1" ht="14.25" customHeight="1" x14ac:dyDescent="0.25">
      <c r="A11" s="17" t="s">
        <v>398</v>
      </c>
      <c r="B11" s="5">
        <f>SUM(B12:B15)</f>
        <v>278639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1:15" s="4" customFormat="1" ht="14.25" customHeight="1" x14ac:dyDescent="0.25">
      <c r="A12" s="15" t="s">
        <v>328</v>
      </c>
      <c r="B12" s="13">
        <f>SUM('2.működés'!C24)</f>
        <v>104531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s="4" customFormat="1" ht="14.25" customHeight="1" x14ac:dyDescent="0.25">
      <c r="A13" s="15" t="s">
        <v>451</v>
      </c>
      <c r="B13" s="13">
        <f>SUM('2.működés'!C35)</f>
        <v>69351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</row>
    <row r="14" spans="1:15" s="4" customFormat="1" ht="15" customHeight="1" x14ac:dyDescent="0.25">
      <c r="A14" s="15" t="s">
        <v>452</v>
      </c>
      <c r="B14" s="13">
        <f>SUM('2.működés'!C28+'2.működés'!C32)</f>
        <v>87703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</row>
    <row r="15" spans="1:15" s="4" customFormat="1" ht="15" customHeight="1" x14ac:dyDescent="0.25">
      <c r="A15" s="15" t="s">
        <v>1305</v>
      </c>
      <c r="B15" s="13">
        <f>'2.működés'!C52</f>
        <v>17054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</row>
    <row r="16" spans="1:15" s="4" customFormat="1" ht="28.5" customHeight="1" x14ac:dyDescent="0.25">
      <c r="A16" s="223" t="s">
        <v>410</v>
      </c>
      <c r="B16" s="5">
        <f>SUM(B17+B28+B29+B30)</f>
        <v>35835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</row>
    <row r="17" spans="1:15" s="4" customFormat="1" ht="14.25" customHeight="1" x14ac:dyDescent="0.25">
      <c r="A17" s="15" t="s">
        <v>17</v>
      </c>
      <c r="B17" s="753">
        <v>35000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</row>
    <row r="18" spans="1:15" s="4" customFormat="1" ht="14.25" customHeight="1" x14ac:dyDescent="0.25">
      <c r="A18" s="15" t="s">
        <v>18</v>
      </c>
      <c r="B18" s="754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1:15" s="4" customFormat="1" ht="14.25" customHeight="1" x14ac:dyDescent="0.25">
      <c r="A19" s="21" t="s">
        <v>19</v>
      </c>
      <c r="B19" s="754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1:15" s="4" customFormat="1" ht="14.25" hidden="1" customHeight="1" x14ac:dyDescent="0.25">
      <c r="A20" s="730" t="s">
        <v>20</v>
      </c>
      <c r="B20" s="754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</row>
    <row r="21" spans="1:15" s="4" customFormat="1" ht="14.25" customHeight="1" x14ac:dyDescent="0.25">
      <c r="A21" s="15" t="s">
        <v>461</v>
      </c>
      <c r="B21" s="754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</row>
    <row r="22" spans="1:15" s="4" customFormat="1" ht="14.25" customHeight="1" x14ac:dyDescent="0.25">
      <c r="A22" s="15" t="s">
        <v>21</v>
      </c>
      <c r="B22" s="754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</row>
    <row r="23" spans="1:15" s="4" customFormat="1" ht="14.25" customHeight="1" x14ac:dyDescent="0.25">
      <c r="A23" s="15" t="s">
        <v>22</v>
      </c>
      <c r="B23" s="754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</row>
    <row r="24" spans="1:15" s="4" customFormat="1" ht="14.25" customHeight="1" x14ac:dyDescent="0.25">
      <c r="A24" s="11" t="s">
        <v>23</v>
      </c>
      <c r="B24" s="754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</row>
    <row r="25" spans="1:15" s="4" customFormat="1" ht="14.25" customHeight="1" x14ac:dyDescent="0.25">
      <c r="A25" s="15" t="s">
        <v>24</v>
      </c>
      <c r="B25" s="754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6" spans="1:15" s="4" customFormat="1" ht="14.25" customHeight="1" x14ac:dyDescent="0.25">
      <c r="A26" s="15" t="s">
        <v>25</v>
      </c>
      <c r="B26" s="755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1:15" s="4" customFormat="1" ht="14.25" hidden="1" customHeight="1" x14ac:dyDescent="0.25">
      <c r="A27" s="15" t="s">
        <v>1254</v>
      </c>
      <c r="B27" s="587">
        <v>0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5" s="4" customFormat="1" ht="14.25" customHeight="1" x14ac:dyDescent="0.25">
      <c r="A28" s="15" t="s">
        <v>409</v>
      </c>
      <c r="B28" s="166">
        <v>103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1:15" s="4" customFormat="1" ht="14.25" customHeight="1" x14ac:dyDescent="0.25">
      <c r="A29" s="8" t="s">
        <v>485</v>
      </c>
      <c r="B29" s="13">
        <f>474+58</f>
        <v>532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  <row r="30" spans="1:15" s="4" customFormat="1" ht="14.25" customHeight="1" x14ac:dyDescent="0.25">
      <c r="A30" s="8" t="s">
        <v>1174</v>
      </c>
      <c r="B30" s="13">
        <v>200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</row>
    <row r="31" spans="1:15" s="4" customFormat="1" ht="14.25" customHeight="1" x14ac:dyDescent="0.25">
      <c r="A31" s="17" t="s">
        <v>923</v>
      </c>
      <c r="B31" s="167">
        <v>0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</row>
    <row r="32" spans="1:15" s="4" customFormat="1" ht="13.5" customHeight="1" thickBot="1" x14ac:dyDescent="0.3">
      <c r="A32" s="17" t="s">
        <v>1092</v>
      </c>
      <c r="B32" s="167">
        <v>30319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1:15" s="4" customFormat="1" ht="18.75" customHeight="1" thickBot="1" x14ac:dyDescent="0.3">
      <c r="A33" s="254" t="s">
        <v>16</v>
      </c>
      <c r="B33" s="255">
        <f>SUM(B34+B49+B50)</f>
        <v>125008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</row>
    <row r="34" spans="1:15" s="4" customFormat="1" ht="14.25" customHeight="1" x14ac:dyDescent="0.25">
      <c r="A34" s="16" t="s">
        <v>4</v>
      </c>
      <c r="B34" s="41">
        <f>SUM(B35+B36+B45+B46+B47)</f>
        <v>91758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5" s="4" customFormat="1" ht="14.25" customHeight="1" x14ac:dyDescent="0.25">
      <c r="A35" s="21" t="s">
        <v>974</v>
      </c>
      <c r="B35" s="13">
        <f>SUM(B37+B38+B41+B44)</f>
        <v>21758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36" spans="1:15" s="4" customFormat="1" ht="14.25" customHeight="1" x14ac:dyDescent="0.25">
      <c r="A36" s="21" t="s">
        <v>975</v>
      </c>
      <c r="B36" s="13">
        <v>70000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  <row r="37" spans="1:15" s="4" customFormat="1" ht="14.25" customHeight="1" x14ac:dyDescent="0.25">
      <c r="A37" s="21" t="s">
        <v>462</v>
      </c>
      <c r="B37" s="13">
        <v>0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8" spans="1:15" s="4" customFormat="1" ht="14.25" customHeight="1" x14ac:dyDescent="0.25">
      <c r="A38" s="21" t="s">
        <v>758</v>
      </c>
      <c r="B38" s="13">
        <f>B39</f>
        <v>5216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1:15" s="4" customFormat="1" ht="14.25" customHeight="1" x14ac:dyDescent="0.25">
      <c r="A39" s="21" t="s">
        <v>759</v>
      </c>
      <c r="B39" s="176">
        <f>SUM('2.működés'!C42)</f>
        <v>5216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</row>
    <row r="40" spans="1:15" s="4" customFormat="1" ht="14.25" hidden="1" customHeight="1" x14ac:dyDescent="0.25">
      <c r="A40" s="229" t="s">
        <v>463</v>
      </c>
      <c r="B40" s="270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</row>
    <row r="41" spans="1:15" s="4" customFormat="1" ht="13.5" customHeight="1" x14ac:dyDescent="0.25">
      <c r="A41" s="21" t="s">
        <v>828</v>
      </c>
      <c r="B41" s="13">
        <f>SUM(B42:B43)</f>
        <v>16542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1:15" s="4" customFormat="1" ht="13.5" customHeight="1" x14ac:dyDescent="0.25">
      <c r="A42" s="21" t="s">
        <v>464</v>
      </c>
      <c r="B42" s="176">
        <f>SUM('2.működés'!C14+'2.működés'!C16+'2.működés'!C17)-605</f>
        <v>16542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15" s="4" customFormat="1" ht="13.5" hidden="1" customHeight="1" x14ac:dyDescent="0.25">
      <c r="A43" s="229" t="s">
        <v>465</v>
      </c>
      <c r="B43" s="270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5" s="4" customFormat="1" ht="18" hidden="1" x14ac:dyDescent="0.25">
      <c r="A44" s="229"/>
      <c r="B44" s="194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</row>
    <row r="45" spans="1:15" s="4" customFormat="1" ht="15" hidden="1" customHeight="1" x14ac:dyDescent="0.25">
      <c r="A45" s="8" t="s">
        <v>1348</v>
      </c>
      <c r="B45" s="13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</row>
    <row r="46" spans="1:15" s="4" customFormat="1" ht="15" hidden="1" customHeight="1" x14ac:dyDescent="0.25">
      <c r="A46" s="8"/>
      <c r="B46" s="13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15" s="4" customFormat="1" ht="13.5" customHeight="1" x14ac:dyDescent="0.25">
      <c r="A47" s="15"/>
      <c r="B47" s="16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</row>
    <row r="48" spans="1:15" s="4" customFormat="1" ht="14.25" hidden="1" customHeight="1" x14ac:dyDescent="0.25">
      <c r="A48" s="8"/>
      <c r="B48" s="13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</row>
    <row r="49" spans="1:15" s="4" customFormat="1" ht="14.25" customHeight="1" x14ac:dyDescent="0.25">
      <c r="A49" s="17" t="s">
        <v>388</v>
      </c>
      <c r="B49" s="5">
        <v>0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</row>
    <row r="50" spans="1:15" s="4" customFormat="1" ht="14.25" customHeight="1" x14ac:dyDescent="0.25">
      <c r="A50" s="17" t="s">
        <v>26</v>
      </c>
      <c r="B50" s="5">
        <f>SUM(B51:B59)</f>
        <v>33250</v>
      </c>
      <c r="C50" s="37"/>
      <c r="D50" s="37"/>
      <c r="E50" s="37"/>
      <c r="F50" s="37"/>
      <c r="G50" s="597"/>
      <c r="H50" s="37"/>
      <c r="I50" s="37"/>
      <c r="J50" s="37"/>
      <c r="K50" s="37"/>
      <c r="L50" s="37"/>
      <c r="M50" s="37"/>
      <c r="N50" s="37"/>
      <c r="O50" s="37"/>
    </row>
    <row r="51" spans="1:15" s="4" customFormat="1" ht="13.5" customHeight="1" x14ac:dyDescent="0.25">
      <c r="A51" s="8" t="s">
        <v>840</v>
      </c>
      <c r="B51" s="13">
        <v>5000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</row>
    <row r="52" spans="1:15" s="4" customFormat="1" ht="13.5" hidden="1" customHeight="1" x14ac:dyDescent="0.25">
      <c r="A52" s="12" t="s">
        <v>888</v>
      </c>
      <c r="B52" s="32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</row>
    <row r="53" spans="1:15" s="4" customFormat="1" ht="13.5" hidden="1" customHeight="1" x14ac:dyDescent="0.25">
      <c r="A53" s="12" t="s">
        <v>887</v>
      </c>
      <c r="B53" s="32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</row>
    <row r="54" spans="1:15" ht="13.5" customHeight="1" x14ac:dyDescent="0.2">
      <c r="A54" s="165" t="s">
        <v>484</v>
      </c>
      <c r="B54" s="13">
        <v>23000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</row>
    <row r="55" spans="1:15" x14ac:dyDescent="0.2">
      <c r="A55" s="15" t="s">
        <v>1349</v>
      </c>
      <c r="B55" s="571">
        <v>5000</v>
      </c>
      <c r="C55" s="37"/>
      <c r="D55" s="37"/>
      <c r="E55" s="597"/>
      <c r="F55" s="37"/>
      <c r="G55" s="37"/>
      <c r="H55" s="37"/>
      <c r="I55" s="37"/>
      <c r="J55" s="37"/>
      <c r="K55" s="37"/>
      <c r="L55" s="37"/>
      <c r="M55" s="37"/>
      <c r="N55" s="37"/>
      <c r="O55" s="37"/>
    </row>
    <row r="56" spans="1:15" ht="12.75" customHeight="1" x14ac:dyDescent="0.2">
      <c r="A56" s="8" t="s">
        <v>1347</v>
      </c>
      <c r="B56" s="571">
        <v>250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</row>
    <row r="57" spans="1:15" ht="12.75" hidden="1" customHeight="1" x14ac:dyDescent="0.2">
      <c r="A57" s="8"/>
      <c r="B57" s="13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</row>
    <row r="58" spans="1:15" ht="12.75" hidden="1" customHeight="1" thickBot="1" x14ac:dyDescent="0.25">
      <c r="A58" s="8"/>
      <c r="B58" s="13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</row>
    <row r="59" spans="1:15" ht="12.75" customHeight="1" thickBot="1" x14ac:dyDescent="0.25">
      <c r="A59" s="12"/>
      <c r="B59" s="32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</row>
    <row r="60" spans="1:15" ht="16.5" thickBot="1" x14ac:dyDescent="0.25">
      <c r="A60" s="256" t="s">
        <v>435</v>
      </c>
      <c r="B60" s="312">
        <f>SUM(B61:B65)</f>
        <v>9756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5" x14ac:dyDescent="0.2">
      <c r="A61" s="8" t="s">
        <v>1359</v>
      </c>
      <c r="B61" s="13">
        <v>4756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</row>
    <row r="62" spans="1:15" x14ac:dyDescent="0.2">
      <c r="A62" s="8" t="s">
        <v>1392</v>
      </c>
      <c r="B62" s="13">
        <v>5000</v>
      </c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</row>
    <row r="63" spans="1:15" x14ac:dyDescent="0.2">
      <c r="A63" s="8" t="s">
        <v>1306</v>
      </c>
      <c r="B63" s="13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</row>
    <row r="64" spans="1:15" ht="13.5" thickBot="1" x14ac:dyDescent="0.25">
      <c r="A64" s="8" t="s">
        <v>1172</v>
      </c>
      <c r="B64" s="13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</row>
    <row r="65" spans="1:15" ht="13.5" hidden="1" thickBot="1" x14ac:dyDescent="0.25">
      <c r="A65" s="8" t="s">
        <v>1001</v>
      </c>
      <c r="B65" s="13">
        <v>0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</row>
    <row r="66" spans="1:15" ht="20.25" customHeight="1" thickBot="1" x14ac:dyDescent="0.3">
      <c r="A66" s="257" t="s">
        <v>436</v>
      </c>
      <c r="B66" s="255">
        <f>SUM(B9+B33+B60)</f>
        <v>479557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</row>
    <row r="67" spans="1:15" x14ac:dyDescent="0.2">
      <c r="A67" s="1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</row>
    <row r="68" spans="1:15" ht="15.75" x14ac:dyDescent="0.25">
      <c r="A68" s="162" t="s">
        <v>94</v>
      </c>
      <c r="B68" s="118">
        <v>0</v>
      </c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</row>
    <row r="69" spans="1:15" x14ac:dyDescent="0.2">
      <c r="A69" s="62" t="s">
        <v>95</v>
      </c>
      <c r="B69" s="61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</row>
    <row r="70" spans="1:15" x14ac:dyDescent="0.2">
      <c r="A70" s="62" t="s">
        <v>96</v>
      </c>
      <c r="B70" s="61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5" x14ac:dyDescent="0.2">
      <c r="A71" s="62" t="s">
        <v>97</v>
      </c>
      <c r="B71" s="58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</row>
    <row r="72" spans="1:15" x14ac:dyDescent="0.2">
      <c r="A72" s="62" t="s">
        <v>98</v>
      </c>
      <c r="B72" s="61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</row>
    <row r="73" spans="1:15" x14ac:dyDescent="0.2">
      <c r="A73" s="62" t="s">
        <v>104</v>
      </c>
      <c r="B73" s="58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</row>
    <row r="74" spans="1:15" x14ac:dyDescent="0.2">
      <c r="A74" s="61" t="s">
        <v>99</v>
      </c>
      <c r="B74" s="61"/>
    </row>
    <row r="75" spans="1:15" x14ac:dyDescent="0.2">
      <c r="A75" s="61" t="s">
        <v>100</v>
      </c>
      <c r="B75" s="61"/>
    </row>
    <row r="76" spans="1:15" x14ac:dyDescent="0.2">
      <c r="B76" s="75"/>
    </row>
    <row r="77" spans="1:15" x14ac:dyDescent="0.2">
      <c r="A77" s="266"/>
    </row>
  </sheetData>
  <mergeCells count="3">
    <mergeCell ref="A5:B5"/>
    <mergeCell ref="A4:B4"/>
    <mergeCell ref="B17:B26"/>
  </mergeCells>
  <phoneticPr fontId="13" type="noConversion"/>
  <pageMargins left="0.47244094488188981" right="0.19685039370078741" top="0.35433070866141736" bottom="0.39370078740157483" header="0.31496062992125984" footer="0.51181102362204722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1"/>
  <sheetViews>
    <sheetView zoomScale="80" zoomScaleNormal="80" workbookViewId="0">
      <selection activeCell="F16" sqref="F16"/>
    </sheetView>
  </sheetViews>
  <sheetFormatPr defaultRowHeight="12.75" x14ac:dyDescent="0.2"/>
  <cols>
    <col min="1" max="1" width="51" style="68" customWidth="1"/>
    <col min="2" max="2" width="13" style="585" customWidth="1"/>
    <col min="3" max="3" width="12" style="585" customWidth="1"/>
    <col min="4" max="4" width="10.7109375" style="585" customWidth="1"/>
    <col min="5" max="6" width="10.42578125" style="585" customWidth="1"/>
    <col min="7" max="7" width="11.42578125" style="586" customWidth="1"/>
    <col min="8" max="8" width="9.85546875" style="585" customWidth="1"/>
    <col min="9" max="9" width="12" style="585" customWidth="1"/>
    <col min="10" max="10" width="11.42578125" style="585" customWidth="1"/>
    <col min="11" max="11" width="11.140625" style="585" customWidth="1"/>
    <col min="12" max="13" width="12.28515625" style="585" customWidth="1"/>
    <col min="14" max="16384" width="9.140625" style="68"/>
  </cols>
  <sheetData>
    <row r="1" spans="1:25" x14ac:dyDescent="0.2">
      <c r="A1" s="757" t="s">
        <v>256</v>
      </c>
      <c r="B1" s="757"/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</row>
    <row r="2" spans="1:25" x14ac:dyDescent="0.2">
      <c r="A2" s="728"/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9" t="str">
        <f>'1.Bev-kiad.'!C2</f>
        <v>a /2023.() önkormányzati rendelethez</v>
      </c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1:25" x14ac:dyDescent="0.2">
      <c r="A3" s="584"/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181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</row>
    <row r="4" spans="1:25" x14ac:dyDescent="0.2">
      <c r="A4" s="584"/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181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</row>
    <row r="5" spans="1:25" ht="15" customHeight="1" x14ac:dyDescent="0.2">
      <c r="A5" s="758" t="s">
        <v>1307</v>
      </c>
      <c r="B5" s="758"/>
      <c r="C5" s="758"/>
      <c r="D5" s="758"/>
      <c r="E5" s="758"/>
      <c r="F5" s="758"/>
      <c r="G5" s="758"/>
      <c r="H5" s="758"/>
      <c r="I5" s="758"/>
      <c r="J5" s="758"/>
      <c r="K5" s="758"/>
      <c r="L5" s="758"/>
      <c r="M5" s="758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</row>
    <row r="6" spans="1:25" ht="12.95" customHeight="1" thickBot="1" x14ac:dyDescent="0.25">
      <c r="M6" s="580" t="s">
        <v>0</v>
      </c>
    </row>
    <row r="7" spans="1:25" ht="16.5" customHeight="1" x14ac:dyDescent="0.2">
      <c r="A7" s="759"/>
      <c r="B7" s="761" t="s">
        <v>62</v>
      </c>
      <c r="C7" s="761"/>
      <c r="D7" s="761"/>
      <c r="E7" s="761"/>
      <c r="F7" s="761"/>
      <c r="G7" s="761"/>
      <c r="H7" s="761" t="s">
        <v>373</v>
      </c>
      <c r="I7" s="761"/>
      <c r="J7" s="761"/>
      <c r="K7" s="761"/>
      <c r="L7" s="761"/>
      <c r="M7" s="762" t="s">
        <v>63</v>
      </c>
    </row>
    <row r="8" spans="1:25" ht="27.75" customHeight="1" x14ac:dyDescent="0.2">
      <c r="A8" s="760"/>
      <c r="B8" s="756" t="s">
        <v>368</v>
      </c>
      <c r="C8" s="756" t="s">
        <v>412</v>
      </c>
      <c r="D8" s="756"/>
      <c r="E8" s="764" t="s">
        <v>470</v>
      </c>
      <c r="F8" s="756" t="s">
        <v>422</v>
      </c>
      <c r="G8" s="756" t="s">
        <v>6</v>
      </c>
      <c r="H8" s="756" t="s">
        <v>387</v>
      </c>
      <c r="I8" s="756" t="s">
        <v>369</v>
      </c>
      <c r="J8" s="756" t="s">
        <v>425</v>
      </c>
      <c r="K8" s="766" t="s">
        <v>474</v>
      </c>
      <c r="L8" s="756" t="s">
        <v>11</v>
      </c>
      <c r="M8" s="763"/>
    </row>
    <row r="9" spans="1:25" ht="39" thickBot="1" x14ac:dyDescent="0.25">
      <c r="A9" s="760"/>
      <c r="B9" s="756"/>
      <c r="C9" s="66" t="s">
        <v>468</v>
      </c>
      <c r="D9" s="66" t="s">
        <v>469</v>
      </c>
      <c r="E9" s="765"/>
      <c r="F9" s="756"/>
      <c r="G9" s="756"/>
      <c r="H9" s="756"/>
      <c r="I9" s="756"/>
      <c r="J9" s="756"/>
      <c r="K9" s="767"/>
      <c r="L9" s="756"/>
      <c r="M9" s="763"/>
    </row>
    <row r="10" spans="1:25" ht="18" customHeight="1" thickBot="1" x14ac:dyDescent="0.25">
      <c r="A10" s="123" t="s">
        <v>1308</v>
      </c>
      <c r="B10" s="131">
        <f t="shared" ref="B10:L10" si="0">B16+B23</f>
        <v>1183110</v>
      </c>
      <c r="C10" s="131">
        <f t="shared" si="0"/>
        <v>0</v>
      </c>
      <c r="D10" s="131">
        <f t="shared" si="0"/>
        <v>0</v>
      </c>
      <c r="E10" s="131" t="e">
        <f t="shared" si="0"/>
        <v>#REF!</v>
      </c>
      <c r="F10" s="131">
        <f t="shared" si="0"/>
        <v>193937</v>
      </c>
      <c r="G10" s="131" t="e">
        <f t="shared" si="0"/>
        <v>#REF!</v>
      </c>
      <c r="H10" s="131">
        <f t="shared" si="0"/>
        <v>0</v>
      </c>
      <c r="I10" s="131">
        <f t="shared" si="0"/>
        <v>50800</v>
      </c>
      <c r="J10" s="131">
        <f t="shared" si="0"/>
        <v>518711</v>
      </c>
      <c r="K10" s="131">
        <f t="shared" si="0"/>
        <v>0</v>
      </c>
      <c r="L10" s="131">
        <f t="shared" si="0"/>
        <v>569511</v>
      </c>
      <c r="M10" s="125" t="e">
        <f>SUM(L10,G10)</f>
        <v>#REF!</v>
      </c>
    </row>
    <row r="11" spans="1:25" ht="17.25" hidden="1" customHeight="1" thickBot="1" x14ac:dyDescent="0.25">
      <c r="A11" s="123" t="s">
        <v>1196</v>
      </c>
      <c r="B11" s="131" t="e">
        <f t="shared" ref="B11:L11" si="1">B17+B24</f>
        <v>#REF!</v>
      </c>
      <c r="C11" s="131">
        <f t="shared" si="1"/>
        <v>0</v>
      </c>
      <c r="D11" s="131" t="e">
        <f t="shared" si="1"/>
        <v>#REF!</v>
      </c>
      <c r="E11" s="131" t="e">
        <f t="shared" si="1"/>
        <v>#REF!</v>
      </c>
      <c r="F11" s="131" t="e">
        <f t="shared" si="1"/>
        <v>#REF!</v>
      </c>
      <c r="G11" s="131" t="e">
        <f t="shared" si="1"/>
        <v>#REF!</v>
      </c>
      <c r="H11" s="131" t="e">
        <f t="shared" si="1"/>
        <v>#REF!</v>
      </c>
      <c r="I11" s="131" t="e">
        <f t="shared" si="1"/>
        <v>#REF!</v>
      </c>
      <c r="J11" s="131" t="e">
        <f t="shared" si="1"/>
        <v>#REF!</v>
      </c>
      <c r="K11" s="131" t="e">
        <f t="shared" si="1"/>
        <v>#REF!</v>
      </c>
      <c r="L11" s="131" t="e">
        <f t="shared" si="1"/>
        <v>#REF!</v>
      </c>
      <c r="M11" s="125" t="e">
        <f t="shared" ref="M11:M15" si="2">SUM(L11,G11)</f>
        <v>#REF!</v>
      </c>
    </row>
    <row r="12" spans="1:25" ht="16.5" hidden="1" customHeight="1" thickBot="1" x14ac:dyDescent="0.25">
      <c r="A12" s="123" t="s">
        <v>1290</v>
      </c>
      <c r="B12" s="131" t="e">
        <f t="shared" ref="B12:L12" si="3">B18+B25</f>
        <v>#REF!</v>
      </c>
      <c r="C12" s="131">
        <f t="shared" si="3"/>
        <v>0</v>
      </c>
      <c r="D12" s="131" t="e">
        <f t="shared" si="3"/>
        <v>#REF!</v>
      </c>
      <c r="E12" s="131" t="e">
        <f t="shared" si="3"/>
        <v>#REF!</v>
      </c>
      <c r="F12" s="131" t="e">
        <f t="shared" si="3"/>
        <v>#REF!</v>
      </c>
      <c r="G12" s="131" t="e">
        <f t="shared" si="3"/>
        <v>#REF!</v>
      </c>
      <c r="H12" s="131" t="e">
        <f t="shared" si="3"/>
        <v>#REF!</v>
      </c>
      <c r="I12" s="131" t="e">
        <f t="shared" si="3"/>
        <v>#REF!</v>
      </c>
      <c r="J12" s="131" t="e">
        <f t="shared" si="3"/>
        <v>#REF!</v>
      </c>
      <c r="K12" s="131" t="e">
        <f t="shared" si="3"/>
        <v>#REF!</v>
      </c>
      <c r="L12" s="131" t="e">
        <f t="shared" si="3"/>
        <v>#REF!</v>
      </c>
      <c r="M12" s="125" t="e">
        <f t="shared" si="2"/>
        <v>#REF!</v>
      </c>
    </row>
    <row r="13" spans="1:25" ht="16.5" hidden="1" customHeight="1" thickBot="1" x14ac:dyDescent="0.25">
      <c r="A13" s="123" t="s">
        <v>929</v>
      </c>
      <c r="B13" s="131" t="e">
        <f t="shared" ref="B13:L13" si="4">B19+B26</f>
        <v>#REF!</v>
      </c>
      <c r="C13" s="131">
        <f t="shared" si="4"/>
        <v>0</v>
      </c>
      <c r="D13" s="131" t="e">
        <f t="shared" si="4"/>
        <v>#REF!</v>
      </c>
      <c r="E13" s="131" t="e">
        <f t="shared" si="4"/>
        <v>#REF!</v>
      </c>
      <c r="F13" s="131" t="e">
        <f t="shared" si="4"/>
        <v>#REF!</v>
      </c>
      <c r="G13" s="131" t="e">
        <f t="shared" si="4"/>
        <v>#REF!</v>
      </c>
      <c r="H13" s="131" t="e">
        <f t="shared" si="4"/>
        <v>#REF!</v>
      </c>
      <c r="I13" s="131" t="e">
        <f t="shared" si="4"/>
        <v>#REF!</v>
      </c>
      <c r="J13" s="131" t="e">
        <f t="shared" si="4"/>
        <v>#REF!</v>
      </c>
      <c r="K13" s="131" t="e">
        <f t="shared" si="4"/>
        <v>#REF!</v>
      </c>
      <c r="L13" s="131" t="e">
        <f t="shared" si="4"/>
        <v>#REF!</v>
      </c>
      <c r="M13" s="125" t="e">
        <f t="shared" si="2"/>
        <v>#REF!</v>
      </c>
    </row>
    <row r="14" spans="1:25" ht="16.5" hidden="1" customHeight="1" thickBot="1" x14ac:dyDescent="0.25">
      <c r="A14" s="123"/>
      <c r="B14" s="131">
        <f t="shared" ref="B14:L14" si="5">B20+B27</f>
        <v>0</v>
      </c>
      <c r="C14" s="131">
        <f t="shared" si="5"/>
        <v>0</v>
      </c>
      <c r="D14" s="131">
        <f t="shared" si="5"/>
        <v>0</v>
      </c>
      <c r="E14" s="131">
        <f t="shared" si="5"/>
        <v>0</v>
      </c>
      <c r="F14" s="131">
        <f t="shared" si="5"/>
        <v>0</v>
      </c>
      <c r="G14" s="131">
        <f t="shared" si="5"/>
        <v>0</v>
      </c>
      <c r="H14" s="131">
        <f t="shared" si="5"/>
        <v>0</v>
      </c>
      <c r="I14" s="131">
        <f t="shared" si="5"/>
        <v>0</v>
      </c>
      <c r="J14" s="131">
        <f t="shared" si="5"/>
        <v>0</v>
      </c>
      <c r="K14" s="131">
        <f t="shared" si="5"/>
        <v>0</v>
      </c>
      <c r="L14" s="131">
        <f t="shared" si="5"/>
        <v>0</v>
      </c>
      <c r="M14" s="125">
        <f t="shared" si="2"/>
        <v>0</v>
      </c>
    </row>
    <row r="15" spans="1:25" ht="16.5" hidden="1" customHeight="1" thickBot="1" x14ac:dyDescent="0.25">
      <c r="A15" s="123" t="s">
        <v>936</v>
      </c>
      <c r="B15" s="131" t="e">
        <f t="shared" ref="B15:L15" si="6">B21+B28</f>
        <v>#REF!</v>
      </c>
      <c r="C15" s="131">
        <f t="shared" si="6"/>
        <v>0</v>
      </c>
      <c r="D15" s="131" t="e">
        <f t="shared" si="6"/>
        <v>#REF!</v>
      </c>
      <c r="E15" s="131" t="e">
        <f t="shared" si="6"/>
        <v>#REF!</v>
      </c>
      <c r="F15" s="131" t="e">
        <f t="shared" si="6"/>
        <v>#REF!</v>
      </c>
      <c r="G15" s="131" t="e">
        <f t="shared" si="6"/>
        <v>#REF!</v>
      </c>
      <c r="H15" s="131" t="e">
        <f t="shared" si="6"/>
        <v>#REF!</v>
      </c>
      <c r="I15" s="131" t="e">
        <f t="shared" si="6"/>
        <v>#REF!</v>
      </c>
      <c r="J15" s="131" t="e">
        <f t="shared" si="6"/>
        <v>#REF!</v>
      </c>
      <c r="K15" s="131" t="e">
        <f t="shared" si="6"/>
        <v>#REF!</v>
      </c>
      <c r="L15" s="131" t="e">
        <f t="shared" si="6"/>
        <v>#REF!</v>
      </c>
      <c r="M15" s="125" t="e">
        <f t="shared" si="2"/>
        <v>#REF!</v>
      </c>
    </row>
    <row r="16" spans="1:25" ht="16.5" customHeight="1" x14ac:dyDescent="0.2">
      <c r="A16" s="297" t="s">
        <v>1309</v>
      </c>
      <c r="B16" s="261">
        <f>SUM('7.finanszírozás.'!C10)</f>
        <v>1183110</v>
      </c>
      <c r="C16" s="587"/>
      <c r="D16" s="261">
        <v>0</v>
      </c>
      <c r="E16" s="261" t="e">
        <f>'2.működés'!#REF!</f>
        <v>#REF!</v>
      </c>
      <c r="F16" s="732">
        <f>SUM('2.működés'!C102)-3400</f>
        <v>193937</v>
      </c>
      <c r="G16" s="261" t="e">
        <f>SUM(B16:F16)</f>
        <v>#REF!</v>
      </c>
      <c r="H16" s="261"/>
      <c r="I16" s="261"/>
      <c r="J16" s="261">
        <f>SUM('3.felh'!C37)</f>
        <v>518711</v>
      </c>
      <c r="K16" s="261"/>
      <c r="L16" s="261">
        <f>SUM(H16:K16)</f>
        <v>518711</v>
      </c>
      <c r="M16" s="588" t="e">
        <f>SUM(L16,G16)</f>
        <v>#REF!</v>
      </c>
    </row>
    <row r="17" spans="1:13" ht="16.5" hidden="1" customHeight="1" x14ac:dyDescent="0.2">
      <c r="A17" s="297" t="s">
        <v>1197</v>
      </c>
      <c r="B17" s="261" t="e">
        <f>SUM('7.finanszírozás.'!C11-'2.működés'!#REF!)</f>
        <v>#REF!</v>
      </c>
      <c r="C17" s="587"/>
      <c r="D17" s="261" t="e">
        <f>SUM('2.működés'!#REF!)</f>
        <v>#REF!</v>
      </c>
      <c r="E17" s="261" t="e">
        <f>'2.működés'!#REF!</f>
        <v>#REF!</v>
      </c>
      <c r="F17" s="261" t="e">
        <f>SUM('2.működés'!#REF!-'7.finanszírozás.'!D35)</f>
        <v>#REF!</v>
      </c>
      <c r="G17" s="261" t="e">
        <f t="shared" ref="G17:G29" si="7">SUM(B17:F17)</f>
        <v>#REF!</v>
      </c>
      <c r="H17" s="261"/>
      <c r="I17" s="261"/>
      <c r="J17" s="261" t="e">
        <f>'1.Bev-kiad.'!#REF!</f>
        <v>#REF!</v>
      </c>
      <c r="K17" s="261"/>
      <c r="L17" s="261" t="e">
        <f t="shared" ref="L17:L29" si="8">SUM(H17:K17)</f>
        <v>#REF!</v>
      </c>
      <c r="M17" s="588" t="e">
        <f t="shared" ref="M17:M29" si="9">SUM(L17,G17)</f>
        <v>#REF!</v>
      </c>
    </row>
    <row r="18" spans="1:13" ht="16.5" hidden="1" customHeight="1" x14ac:dyDescent="0.2">
      <c r="A18" s="297" t="s">
        <v>1287</v>
      </c>
      <c r="B18" s="261" t="e">
        <f>SUM('7.finanszírozás.'!C12-'2.működés'!#REF!)</f>
        <v>#REF!</v>
      </c>
      <c r="C18" s="587"/>
      <c r="D18" s="261" t="e">
        <f>SUM('2.működés'!#REF!)</f>
        <v>#REF!</v>
      </c>
      <c r="E18" s="261" t="e">
        <f>'2.működés'!#REF!</f>
        <v>#REF!</v>
      </c>
      <c r="F18" s="261" t="e">
        <f>SUM('2.működés'!#REF!-'7.finanszírozás.'!D36)</f>
        <v>#REF!</v>
      </c>
      <c r="G18" s="261" t="e">
        <f t="shared" ref="G18" si="10">SUM(B18:F18)</f>
        <v>#REF!</v>
      </c>
      <c r="H18" s="261"/>
      <c r="I18" s="261"/>
      <c r="J18" s="261" t="e">
        <f>'1.Bev-kiad.'!#REF!</f>
        <v>#REF!</v>
      </c>
      <c r="K18" s="261"/>
      <c r="L18" s="261" t="e">
        <f t="shared" ref="L18" si="11">SUM(H18:K18)</f>
        <v>#REF!</v>
      </c>
      <c r="M18" s="588" t="e">
        <f t="shared" ref="M18" si="12">SUM(L18,G18)</f>
        <v>#REF!</v>
      </c>
    </row>
    <row r="19" spans="1:13" ht="16.5" hidden="1" customHeight="1" x14ac:dyDescent="0.2">
      <c r="A19" s="297" t="s">
        <v>930</v>
      </c>
      <c r="B19" s="261" t="e">
        <f>SUM('7.finanszírozás.'!C13-'2.működés'!#REF!)</f>
        <v>#REF!</v>
      </c>
      <c r="C19" s="587"/>
      <c r="D19" s="261" t="e">
        <f>SUM('2.működés'!#REF!)</f>
        <v>#REF!</v>
      </c>
      <c r="E19" s="261" t="e">
        <f>'2.működés'!#REF!</f>
        <v>#REF!</v>
      </c>
      <c r="F19" s="261" t="e">
        <f>SUM('2.működés'!#REF!-'7.finanszírozás.'!D37)</f>
        <v>#REF!</v>
      </c>
      <c r="G19" s="261" t="e">
        <f t="shared" si="7"/>
        <v>#REF!</v>
      </c>
      <c r="H19" s="261"/>
      <c r="I19" s="261"/>
      <c r="J19" s="261" t="e">
        <f>'1.Bev-kiad.'!#REF!</f>
        <v>#REF!</v>
      </c>
      <c r="K19" s="261"/>
      <c r="L19" s="261" t="e">
        <f t="shared" si="8"/>
        <v>#REF!</v>
      </c>
      <c r="M19" s="588" t="e">
        <f t="shared" si="9"/>
        <v>#REF!</v>
      </c>
    </row>
    <row r="20" spans="1:13" ht="16.5" hidden="1" customHeight="1" x14ac:dyDescent="0.2">
      <c r="A20" s="297"/>
      <c r="B20" s="261"/>
      <c r="C20" s="587"/>
      <c r="D20" s="261"/>
      <c r="E20" s="261"/>
      <c r="F20" s="261"/>
      <c r="G20" s="261">
        <f t="shared" si="7"/>
        <v>0</v>
      </c>
      <c r="H20" s="261"/>
      <c r="I20" s="261"/>
      <c r="J20" s="261"/>
      <c r="K20" s="261"/>
      <c r="L20" s="261">
        <f t="shared" si="8"/>
        <v>0</v>
      </c>
      <c r="M20" s="588">
        <f>SUM(L20,G20)</f>
        <v>0</v>
      </c>
    </row>
    <row r="21" spans="1:13" ht="16.5" hidden="1" customHeight="1" x14ac:dyDescent="0.2">
      <c r="A21" s="297" t="s">
        <v>935</v>
      </c>
      <c r="B21" s="261" t="e">
        <f>SUM('7.finanszírozás.'!C15-'2.működés'!#REF!)</f>
        <v>#REF!</v>
      </c>
      <c r="C21" s="587"/>
      <c r="D21" s="261" t="e">
        <f>SUM('2.működés'!#REF!)</f>
        <v>#REF!</v>
      </c>
      <c r="E21" s="261" t="e">
        <f>'2.működés'!#REF!</f>
        <v>#REF!</v>
      </c>
      <c r="F21" s="261" t="e">
        <f>SUM('2.működés'!#REF!-'7.finanszírozás.'!D39)</f>
        <v>#REF!</v>
      </c>
      <c r="G21" s="261" t="e">
        <f>SUM(B21:F21)</f>
        <v>#REF!</v>
      </c>
      <c r="H21" s="261"/>
      <c r="I21" s="261"/>
      <c r="J21" s="261" t="e">
        <f>'1.Bev-kiad.'!#REF!</f>
        <v>#REF!</v>
      </c>
      <c r="K21" s="261"/>
      <c r="L21" s="261" t="e">
        <f>SUM(H21:K21)</f>
        <v>#REF!</v>
      </c>
      <c r="M21" s="588" t="e">
        <f>SUM(L21,G21)</f>
        <v>#REF!</v>
      </c>
    </row>
    <row r="22" spans="1:13" ht="16.5" hidden="1" customHeight="1" x14ac:dyDescent="0.2">
      <c r="B22" s="261"/>
      <c r="C22" s="587"/>
      <c r="D22" s="261"/>
      <c r="E22" s="261"/>
      <c r="F22" s="261"/>
      <c r="G22" s="261">
        <f t="shared" si="7"/>
        <v>0</v>
      </c>
      <c r="H22" s="261"/>
      <c r="I22" s="261"/>
      <c r="J22" s="261"/>
      <c r="K22" s="261"/>
      <c r="L22" s="261">
        <f t="shared" si="8"/>
        <v>0</v>
      </c>
      <c r="M22" s="588">
        <f>SUM(L22,G22)</f>
        <v>0</v>
      </c>
    </row>
    <row r="23" spans="1:13" ht="16.5" customHeight="1" x14ac:dyDescent="0.2">
      <c r="A23" s="297" t="s">
        <v>1310</v>
      </c>
      <c r="B23" s="130"/>
      <c r="C23" s="130"/>
      <c r="D23" s="130"/>
      <c r="E23" s="130"/>
      <c r="F23" s="130"/>
      <c r="G23" s="82">
        <f>SUM(B23:F23)</f>
        <v>0</v>
      </c>
      <c r="H23" s="166">
        <v>0</v>
      </c>
      <c r="I23" s="166">
        <f>SUM('3.felh'!C13+'3.felh'!C25+'3.felh'!C31)</f>
        <v>50800</v>
      </c>
      <c r="J23" s="83"/>
      <c r="K23" s="82">
        <f>SUM('3.felh'!C40)</f>
        <v>0</v>
      </c>
      <c r="L23" s="82">
        <f>SUM(H23:K23)</f>
        <v>50800</v>
      </c>
      <c r="M23" s="298">
        <f>SUM(L23,G23)</f>
        <v>50800</v>
      </c>
    </row>
    <row r="24" spans="1:13" ht="16.5" hidden="1" customHeight="1" x14ac:dyDescent="0.2">
      <c r="A24" s="297" t="s">
        <v>1198</v>
      </c>
      <c r="B24" s="130"/>
      <c r="C24" s="130"/>
      <c r="D24" s="130"/>
      <c r="E24" s="130"/>
      <c r="F24" s="130"/>
      <c r="G24" s="82">
        <f>SUM(B24:F24)</f>
        <v>0</v>
      </c>
      <c r="H24" s="166" t="e">
        <f>'3.felh'!#REF!</f>
        <v>#REF!</v>
      </c>
      <c r="I24" s="166" t="e">
        <f>'3.felh'!#REF!+'3.felh'!#REF!</f>
        <v>#REF!</v>
      </c>
      <c r="J24" s="83"/>
      <c r="K24" s="82" t="e">
        <f>SUM('3.felh'!#REF!)</f>
        <v>#REF!</v>
      </c>
      <c r="L24" s="82" t="e">
        <f t="shared" si="8"/>
        <v>#REF!</v>
      </c>
      <c r="M24" s="298" t="e">
        <f t="shared" si="9"/>
        <v>#REF!</v>
      </c>
    </row>
    <row r="25" spans="1:13" ht="16.5" hidden="1" customHeight="1" x14ac:dyDescent="0.2">
      <c r="A25" s="297" t="s">
        <v>1289</v>
      </c>
      <c r="B25" s="130"/>
      <c r="C25" s="130"/>
      <c r="D25" s="130"/>
      <c r="E25" s="130"/>
      <c r="F25" s="130"/>
      <c r="G25" s="82"/>
      <c r="H25" s="166" t="e">
        <f>'3.felh'!#REF!</f>
        <v>#REF!</v>
      </c>
      <c r="I25" s="166" t="e">
        <f>'3.felh'!#REF!+'3.felh'!#REF!</f>
        <v>#REF!</v>
      </c>
      <c r="J25" s="83"/>
      <c r="K25" s="82" t="e">
        <f>SUM('3.felh'!#REF!)</f>
        <v>#REF!</v>
      </c>
      <c r="L25" s="82" t="e">
        <f t="shared" ref="L25" si="13">SUM(H25:K25)</f>
        <v>#REF!</v>
      </c>
      <c r="M25" s="298" t="e">
        <f t="shared" ref="M25" si="14">SUM(L25,G25)</f>
        <v>#REF!</v>
      </c>
    </row>
    <row r="26" spans="1:13" ht="16.5" hidden="1" customHeight="1" x14ac:dyDescent="0.2">
      <c r="A26" s="297" t="s">
        <v>931</v>
      </c>
      <c r="B26" s="130"/>
      <c r="C26" s="130"/>
      <c r="D26" s="130"/>
      <c r="E26" s="130"/>
      <c r="F26" s="130"/>
      <c r="G26" s="82">
        <f t="shared" si="7"/>
        <v>0</v>
      </c>
      <c r="H26" s="166" t="e">
        <f>'3.felh'!#REF!</f>
        <v>#REF!</v>
      </c>
      <c r="I26" s="166" t="e">
        <f>'3.felh'!#REF!+'3.felh'!#REF!</f>
        <v>#REF!</v>
      </c>
      <c r="J26" s="83"/>
      <c r="K26" s="82" t="e">
        <f>SUM('3.felh'!#REF!)</f>
        <v>#REF!</v>
      </c>
      <c r="L26" s="82" t="e">
        <f t="shared" si="8"/>
        <v>#REF!</v>
      </c>
      <c r="M26" s="298" t="e">
        <f t="shared" si="9"/>
        <v>#REF!</v>
      </c>
    </row>
    <row r="27" spans="1:13" ht="16.5" hidden="1" customHeight="1" x14ac:dyDescent="0.2">
      <c r="A27" s="297"/>
      <c r="B27" s="130"/>
      <c r="C27" s="130"/>
      <c r="D27" s="130"/>
      <c r="E27" s="130"/>
      <c r="F27" s="130"/>
      <c r="G27" s="82">
        <f t="shared" si="7"/>
        <v>0</v>
      </c>
      <c r="H27" s="166"/>
      <c r="I27" s="166"/>
      <c r="J27" s="83"/>
      <c r="K27" s="82"/>
      <c r="L27" s="82">
        <f t="shared" si="8"/>
        <v>0</v>
      </c>
      <c r="M27" s="298">
        <f>SUM(L27,G27)</f>
        <v>0</v>
      </c>
    </row>
    <row r="28" spans="1:13" ht="16.5" hidden="1" customHeight="1" x14ac:dyDescent="0.2">
      <c r="A28" s="297" t="str">
        <f>A21</f>
        <v xml:space="preserve">       Teljesítés 2021.12.31.</v>
      </c>
      <c r="B28" s="130"/>
      <c r="C28" s="130"/>
      <c r="D28" s="130"/>
      <c r="E28" s="130"/>
      <c r="F28" s="130"/>
      <c r="G28" s="82">
        <f t="shared" si="7"/>
        <v>0</v>
      </c>
      <c r="H28" s="166" t="e">
        <f>'3.felh'!#REF!</f>
        <v>#REF!</v>
      </c>
      <c r="I28" s="166" t="e">
        <f>'3.felh'!#REF!+'3.felh'!#REF!</f>
        <v>#REF!</v>
      </c>
      <c r="J28" s="83"/>
      <c r="K28" s="82" t="e">
        <f>SUM('3.felh'!#REF!)</f>
        <v>#REF!</v>
      </c>
      <c r="L28" s="82" t="e">
        <f t="shared" si="8"/>
        <v>#REF!</v>
      </c>
      <c r="M28" s="298" t="e">
        <f>SUM(L28,G27)</f>
        <v>#REF!</v>
      </c>
    </row>
    <row r="29" spans="1:13" ht="19.5" customHeight="1" thickBot="1" x14ac:dyDescent="0.25">
      <c r="A29" s="589" t="str">
        <f>A43</f>
        <v xml:space="preserve">       Államigazgatási feladatok (eredeti előirányzat 2023. év)</v>
      </c>
      <c r="B29" s="590"/>
      <c r="C29" s="590"/>
      <c r="D29" s="590"/>
      <c r="E29" s="590"/>
      <c r="F29" s="590"/>
      <c r="G29" s="82">
        <f t="shared" si="7"/>
        <v>0</v>
      </c>
      <c r="H29" s="590"/>
      <c r="I29" s="590"/>
      <c r="J29" s="590"/>
      <c r="K29" s="590"/>
      <c r="L29" s="82">
        <f t="shared" si="8"/>
        <v>0</v>
      </c>
      <c r="M29" s="298">
        <f t="shared" si="9"/>
        <v>0</v>
      </c>
    </row>
    <row r="30" spans="1:13" ht="15.75" customHeight="1" thickBot="1" x14ac:dyDescent="0.25">
      <c r="A30" s="123" t="s">
        <v>1314</v>
      </c>
      <c r="B30" s="131">
        <f>SUM(B36)</f>
        <v>54069</v>
      </c>
      <c r="C30" s="131">
        <f>SUM(C36)</f>
        <v>133919</v>
      </c>
      <c r="D30" s="131">
        <f>SUM(D38)</f>
        <v>0</v>
      </c>
      <c r="E30" s="131">
        <f>SUM(E36)</f>
        <v>51996</v>
      </c>
      <c r="F30" s="131">
        <f>SUM(F36)</f>
        <v>16067</v>
      </c>
      <c r="G30" s="131">
        <f>SUM(G36)</f>
        <v>256051</v>
      </c>
      <c r="H30" s="131"/>
      <c r="I30" s="131"/>
      <c r="J30" s="131"/>
      <c r="K30" s="131"/>
      <c r="L30" s="131">
        <v>0</v>
      </c>
      <c r="M30" s="125">
        <f>SUM(G30)</f>
        <v>256051</v>
      </c>
    </row>
    <row r="31" spans="1:13" ht="15.75" hidden="1" customHeight="1" thickBot="1" x14ac:dyDescent="0.25">
      <c r="A31" s="123" t="s">
        <v>1199</v>
      </c>
      <c r="B31" s="131" t="e">
        <f t="shared" ref="B31:C31" si="15">SUM(B37)</f>
        <v>#REF!</v>
      </c>
      <c r="C31" s="131" t="e">
        <f t="shared" si="15"/>
        <v>#REF!</v>
      </c>
      <c r="D31" s="131">
        <f t="shared" ref="D31:D35" si="16">SUM(D39)</f>
        <v>0</v>
      </c>
      <c r="E31" s="131" t="e">
        <f t="shared" ref="E31:G31" si="17">SUM(E37)</f>
        <v>#REF!</v>
      </c>
      <c r="F31" s="131" t="e">
        <f t="shared" si="17"/>
        <v>#REF!</v>
      </c>
      <c r="G31" s="131" t="e">
        <f t="shared" si="17"/>
        <v>#REF!</v>
      </c>
      <c r="H31" s="131"/>
      <c r="I31" s="131"/>
      <c r="J31" s="131"/>
      <c r="K31" s="131"/>
      <c r="L31" s="131">
        <v>0</v>
      </c>
      <c r="M31" s="125" t="e">
        <f t="shared" ref="M31:M35" si="18">SUM(G31)</f>
        <v>#REF!</v>
      </c>
    </row>
    <row r="32" spans="1:13" ht="15.75" hidden="1" customHeight="1" thickBot="1" x14ac:dyDescent="0.25">
      <c r="A32" s="123" t="s">
        <v>1291</v>
      </c>
      <c r="B32" s="131" t="e">
        <f t="shared" ref="B32:C32" si="19">SUM(B38)</f>
        <v>#REF!</v>
      </c>
      <c r="C32" s="131" t="e">
        <f t="shared" si="19"/>
        <v>#REF!</v>
      </c>
      <c r="D32" s="131">
        <f t="shared" si="16"/>
        <v>0</v>
      </c>
      <c r="E32" s="131" t="e">
        <f t="shared" ref="E32:G32" si="20">SUM(E38)</f>
        <v>#REF!</v>
      </c>
      <c r="F32" s="131" t="e">
        <f t="shared" si="20"/>
        <v>#REF!</v>
      </c>
      <c r="G32" s="131" t="e">
        <f t="shared" si="20"/>
        <v>#REF!</v>
      </c>
      <c r="H32" s="131"/>
      <c r="I32" s="131"/>
      <c r="J32" s="131"/>
      <c r="K32" s="131"/>
      <c r="L32" s="131"/>
      <c r="M32" s="125" t="e">
        <f t="shared" si="18"/>
        <v>#REF!</v>
      </c>
    </row>
    <row r="33" spans="1:13" ht="15.75" hidden="1" customHeight="1" thickBot="1" x14ac:dyDescent="0.25">
      <c r="A33" s="123" t="s">
        <v>932</v>
      </c>
      <c r="B33" s="131" t="e">
        <f t="shared" ref="B33:C33" si="21">SUM(B39)</f>
        <v>#REF!</v>
      </c>
      <c r="C33" s="131" t="e">
        <f t="shared" si="21"/>
        <v>#REF!</v>
      </c>
      <c r="D33" s="131">
        <f t="shared" si="16"/>
        <v>0</v>
      </c>
      <c r="E33" s="131" t="e">
        <f t="shared" ref="E33:G33" si="22">SUM(E39)</f>
        <v>#REF!</v>
      </c>
      <c r="F33" s="131" t="e">
        <f t="shared" si="22"/>
        <v>#REF!</v>
      </c>
      <c r="G33" s="131" t="e">
        <f t="shared" si="22"/>
        <v>#REF!</v>
      </c>
      <c r="H33" s="131"/>
      <c r="I33" s="131"/>
      <c r="J33" s="131"/>
      <c r="K33" s="131"/>
      <c r="L33" s="131"/>
      <c r="M33" s="125" t="e">
        <f t="shared" si="18"/>
        <v>#REF!</v>
      </c>
    </row>
    <row r="34" spans="1:13" ht="15.75" hidden="1" customHeight="1" thickBot="1" x14ac:dyDescent="0.25">
      <c r="A34" s="123"/>
      <c r="B34" s="131">
        <f t="shared" ref="B34:C34" si="23">SUM(B40)</f>
        <v>0</v>
      </c>
      <c r="C34" s="131">
        <f t="shared" si="23"/>
        <v>0</v>
      </c>
      <c r="D34" s="131">
        <f t="shared" si="16"/>
        <v>0</v>
      </c>
      <c r="E34" s="131">
        <f t="shared" ref="E34:G34" si="24">SUM(E40)</f>
        <v>0</v>
      </c>
      <c r="F34" s="131">
        <f t="shared" si="24"/>
        <v>0</v>
      </c>
      <c r="G34" s="131">
        <f t="shared" si="24"/>
        <v>0</v>
      </c>
      <c r="H34" s="131"/>
      <c r="I34" s="131"/>
      <c r="J34" s="131"/>
      <c r="K34" s="131"/>
      <c r="L34" s="131"/>
      <c r="M34" s="125">
        <f t="shared" si="18"/>
        <v>0</v>
      </c>
    </row>
    <row r="35" spans="1:13" ht="15.75" hidden="1" customHeight="1" thickBot="1" x14ac:dyDescent="0.25">
      <c r="A35" s="123" t="s">
        <v>937</v>
      </c>
      <c r="B35" s="131" t="e">
        <f t="shared" ref="B35:C35" si="25">SUM(B41)</f>
        <v>#REF!</v>
      </c>
      <c r="C35" s="131" t="e">
        <f t="shared" si="25"/>
        <v>#REF!</v>
      </c>
      <c r="D35" s="131">
        <f t="shared" si="16"/>
        <v>0</v>
      </c>
      <c r="E35" s="131" t="e">
        <f t="shared" ref="E35:G35" si="26">SUM(E41)</f>
        <v>#REF!</v>
      </c>
      <c r="F35" s="131" t="e">
        <f t="shared" si="26"/>
        <v>#REF!</v>
      </c>
      <c r="G35" s="131" t="e">
        <f t="shared" si="26"/>
        <v>#REF!</v>
      </c>
      <c r="H35" s="131"/>
      <c r="I35" s="131"/>
      <c r="J35" s="131"/>
      <c r="K35" s="131"/>
      <c r="L35" s="131"/>
      <c r="M35" s="125" t="e">
        <f t="shared" si="18"/>
        <v>#REF!</v>
      </c>
    </row>
    <row r="36" spans="1:13" ht="15.75" customHeight="1" x14ac:dyDescent="0.2">
      <c r="A36" s="591" t="str">
        <f>A16</f>
        <v xml:space="preserve">       Kötelező (eredeti előirányzat 2023. év)</v>
      </c>
      <c r="B36" s="82">
        <f>SUM('7.finanszírozás.'!D10)</f>
        <v>54069</v>
      </c>
      <c r="C36" s="82">
        <f>SUM('7.finanszírozás.'!D42)</f>
        <v>133919</v>
      </c>
      <c r="D36" s="82"/>
      <c r="E36" s="82">
        <f>SUM('7.finanszírozás.'!D50)</f>
        <v>51996</v>
      </c>
      <c r="F36" s="82">
        <f>SUM('7.finanszírozás.'!D34)</f>
        <v>16067</v>
      </c>
      <c r="G36" s="82">
        <f t="shared" ref="G36:G43" si="27">SUM(B36:F36)</f>
        <v>256051</v>
      </c>
      <c r="H36" s="129"/>
      <c r="I36" s="129"/>
      <c r="J36" s="129"/>
      <c r="K36" s="129"/>
      <c r="L36" s="129">
        <v>0</v>
      </c>
      <c r="M36" s="298">
        <f t="shared" ref="M36:M43" si="28">SUM(G36)</f>
        <v>256051</v>
      </c>
    </row>
    <row r="37" spans="1:13" ht="15.75" hidden="1" customHeight="1" x14ac:dyDescent="0.2">
      <c r="A37" s="591" t="str">
        <f>A17</f>
        <v xml:space="preserve">       Kötelező (módosított előirányzat 2022.06. havi)</v>
      </c>
      <c r="B37" s="82" t="e">
        <f>SUM('7.finanszírozás.'!D11)</f>
        <v>#REF!</v>
      </c>
      <c r="C37" s="82" t="e">
        <f>SUM('7.finanszírozás.'!D43)</f>
        <v>#REF!</v>
      </c>
      <c r="D37" s="82"/>
      <c r="E37" s="82" t="e">
        <f>SUM('7.finanszírozás.'!D51)</f>
        <v>#REF!</v>
      </c>
      <c r="F37" s="82" t="e">
        <f>SUM('7.finanszírozás.'!D35)</f>
        <v>#REF!</v>
      </c>
      <c r="G37" s="82" t="e">
        <f t="shared" si="27"/>
        <v>#REF!</v>
      </c>
      <c r="H37" s="129"/>
      <c r="I37" s="129"/>
      <c r="J37" s="129"/>
      <c r="K37" s="129"/>
      <c r="L37" s="129">
        <v>0</v>
      </c>
      <c r="M37" s="298" t="e">
        <f t="shared" si="28"/>
        <v>#REF!</v>
      </c>
    </row>
    <row r="38" spans="1:13" ht="15.75" hidden="1" customHeight="1" x14ac:dyDescent="0.2">
      <c r="A38" s="591" t="str">
        <f>A18</f>
        <v xml:space="preserve">       Kötelező (módosított előirányzat 2022.10. havi)</v>
      </c>
      <c r="B38" s="82" t="e">
        <f>SUM('7.finanszírozás.'!D12)</f>
        <v>#REF!</v>
      </c>
      <c r="C38" s="82" t="e">
        <f>SUM('7.finanszírozás.'!D44)</f>
        <v>#REF!</v>
      </c>
      <c r="D38" s="82"/>
      <c r="E38" s="82" t="e">
        <f>SUM('7.finanszírozás.'!D52)</f>
        <v>#REF!</v>
      </c>
      <c r="F38" s="82" t="e">
        <f>SUM('7.finanszírozás.'!D36)</f>
        <v>#REF!</v>
      </c>
      <c r="G38" s="82" t="e">
        <f t="shared" si="27"/>
        <v>#REF!</v>
      </c>
      <c r="H38" s="129"/>
      <c r="I38" s="129"/>
      <c r="J38" s="129"/>
      <c r="K38" s="129"/>
      <c r="L38" s="129"/>
      <c r="M38" s="298" t="e">
        <f t="shared" si="28"/>
        <v>#REF!</v>
      </c>
    </row>
    <row r="39" spans="1:13" ht="15.75" hidden="1" customHeight="1" x14ac:dyDescent="0.2">
      <c r="A39" s="591" t="str">
        <f>A19</f>
        <v xml:space="preserve">       Kötelező (módosított előirányzat 2021. .havi)</v>
      </c>
      <c r="B39" s="82" t="e">
        <f>SUM('7.finanszírozás.'!D13)</f>
        <v>#REF!</v>
      </c>
      <c r="C39" s="82" t="e">
        <f>SUM('7.finanszírozás.'!D45)</f>
        <v>#REF!</v>
      </c>
      <c r="D39" s="82"/>
      <c r="E39" s="82" t="e">
        <f>SUM('7.finanszírozás.'!D53)</f>
        <v>#REF!</v>
      </c>
      <c r="F39" s="82" t="e">
        <f>SUM('7.finanszírozás.'!D37)</f>
        <v>#REF!</v>
      </c>
      <c r="G39" s="82" t="e">
        <f t="shared" si="27"/>
        <v>#REF!</v>
      </c>
      <c r="H39" s="129"/>
      <c r="I39" s="129"/>
      <c r="J39" s="129"/>
      <c r="K39" s="129"/>
      <c r="L39" s="129"/>
      <c r="M39" s="298" t="e">
        <f t="shared" si="28"/>
        <v>#REF!</v>
      </c>
    </row>
    <row r="40" spans="1:13" ht="15.75" hidden="1" customHeight="1" x14ac:dyDescent="0.2">
      <c r="A40" s="591"/>
      <c r="B40" s="82">
        <f>SUM('7.finanszírozás.'!D14)</f>
        <v>0</v>
      </c>
      <c r="C40" s="82">
        <f>SUM('7.finanszírozás.'!D46)</f>
        <v>0</v>
      </c>
      <c r="D40" s="82"/>
      <c r="E40" s="82">
        <f>SUM('7.finanszírozás.'!D54)</f>
        <v>0</v>
      </c>
      <c r="F40" s="82">
        <f>SUM('7.finanszírozás.'!D38)</f>
        <v>0</v>
      </c>
      <c r="G40" s="82">
        <f t="shared" si="27"/>
        <v>0</v>
      </c>
      <c r="H40" s="129"/>
      <c r="I40" s="129"/>
      <c r="J40" s="129"/>
      <c r="K40" s="129"/>
      <c r="L40" s="129"/>
      <c r="M40" s="298">
        <f t="shared" si="28"/>
        <v>0</v>
      </c>
    </row>
    <row r="41" spans="1:13" ht="15.75" hidden="1" customHeight="1" x14ac:dyDescent="0.2">
      <c r="A41" s="591" t="str">
        <f>A21</f>
        <v xml:space="preserve">       Teljesítés 2021.12.31.</v>
      </c>
      <c r="B41" s="82" t="e">
        <f>SUM('7.finanszírozás.'!D15)</f>
        <v>#REF!</v>
      </c>
      <c r="C41" s="82" t="e">
        <f>SUM('7.finanszírozás.'!D47)</f>
        <v>#REF!</v>
      </c>
      <c r="D41" s="82"/>
      <c r="E41" s="82" t="e">
        <f>SUM('7.finanszírozás.'!D55)</f>
        <v>#REF!</v>
      </c>
      <c r="F41" s="82" t="e">
        <f>SUM('7.finanszírozás.'!D39)</f>
        <v>#REF!</v>
      </c>
      <c r="G41" s="82" t="e">
        <f t="shared" si="27"/>
        <v>#REF!</v>
      </c>
      <c r="H41" s="129"/>
      <c r="I41" s="129"/>
      <c r="J41" s="129"/>
      <c r="K41" s="129"/>
      <c r="L41" s="129"/>
      <c r="M41" s="298" t="e">
        <f t="shared" si="28"/>
        <v>#REF!</v>
      </c>
    </row>
    <row r="42" spans="1:13" ht="20.25" customHeight="1" x14ac:dyDescent="0.2">
      <c r="A42" s="297" t="str">
        <f>A23</f>
        <v xml:space="preserve">       Nem kötelező (eredeti előirányzat 2023. év)</v>
      </c>
      <c r="B42" s="82"/>
      <c r="C42" s="82"/>
      <c r="D42" s="82"/>
      <c r="E42" s="82"/>
      <c r="F42" s="82"/>
      <c r="G42" s="82">
        <f t="shared" si="27"/>
        <v>0</v>
      </c>
      <c r="H42" s="82"/>
      <c r="I42" s="82"/>
      <c r="J42" s="82"/>
      <c r="K42" s="82"/>
      <c r="L42" s="82">
        <v>0</v>
      </c>
      <c r="M42" s="298">
        <f t="shared" si="28"/>
        <v>0</v>
      </c>
    </row>
    <row r="43" spans="1:13" ht="19.5" customHeight="1" thickBot="1" x14ac:dyDescent="0.25">
      <c r="A43" s="589" t="s">
        <v>1311</v>
      </c>
      <c r="B43" s="82"/>
      <c r="C43" s="82"/>
      <c r="D43" s="82"/>
      <c r="E43" s="82"/>
      <c r="F43" s="82"/>
      <c r="G43" s="82">
        <f t="shared" si="27"/>
        <v>0</v>
      </c>
      <c r="H43" s="82"/>
      <c r="I43" s="82"/>
      <c r="J43" s="82"/>
      <c r="K43" s="82"/>
      <c r="L43" s="82">
        <v>0</v>
      </c>
      <c r="M43" s="298">
        <f t="shared" si="28"/>
        <v>0</v>
      </c>
    </row>
    <row r="44" spans="1:13" ht="16.5" thickBot="1" x14ac:dyDescent="0.25">
      <c r="A44" s="592" t="s">
        <v>1312</v>
      </c>
      <c r="B44" s="133">
        <f t="shared" ref="B44:L44" si="29">SUM(B10+B30)</f>
        <v>1237179</v>
      </c>
      <c r="C44" s="133">
        <f t="shared" si="29"/>
        <v>133919</v>
      </c>
      <c r="D44" s="133">
        <f t="shared" si="29"/>
        <v>0</v>
      </c>
      <c r="E44" s="133" t="e">
        <f t="shared" si="29"/>
        <v>#REF!</v>
      </c>
      <c r="F44" s="133">
        <f t="shared" si="29"/>
        <v>210004</v>
      </c>
      <c r="G44" s="133" t="e">
        <f t="shared" si="29"/>
        <v>#REF!</v>
      </c>
      <c r="H44" s="133">
        <f t="shared" si="29"/>
        <v>0</v>
      </c>
      <c r="I44" s="133">
        <f t="shared" si="29"/>
        <v>50800</v>
      </c>
      <c r="J44" s="133">
        <f t="shared" si="29"/>
        <v>518711</v>
      </c>
      <c r="K44" s="133">
        <f t="shared" si="29"/>
        <v>0</v>
      </c>
      <c r="L44" s="133">
        <f t="shared" si="29"/>
        <v>569511</v>
      </c>
      <c r="M44" s="134" t="e">
        <f>SUM(L44,G44)</f>
        <v>#REF!</v>
      </c>
    </row>
    <row r="45" spans="1:13" ht="16.5" hidden="1" thickBot="1" x14ac:dyDescent="0.25">
      <c r="A45" s="592" t="s">
        <v>1200</v>
      </c>
      <c r="B45" s="133" t="e">
        <f t="shared" ref="B45:L45" si="30">SUM(B11+B31)</f>
        <v>#REF!</v>
      </c>
      <c r="C45" s="133" t="e">
        <f t="shared" si="30"/>
        <v>#REF!</v>
      </c>
      <c r="D45" s="133" t="e">
        <f t="shared" si="30"/>
        <v>#REF!</v>
      </c>
      <c r="E45" s="133" t="e">
        <f t="shared" si="30"/>
        <v>#REF!</v>
      </c>
      <c r="F45" s="133" t="e">
        <f t="shared" si="30"/>
        <v>#REF!</v>
      </c>
      <c r="G45" s="133" t="e">
        <f t="shared" si="30"/>
        <v>#REF!</v>
      </c>
      <c r="H45" s="133" t="e">
        <f t="shared" si="30"/>
        <v>#REF!</v>
      </c>
      <c r="I45" s="133" t="e">
        <f t="shared" si="30"/>
        <v>#REF!</v>
      </c>
      <c r="J45" s="133" t="e">
        <f t="shared" si="30"/>
        <v>#REF!</v>
      </c>
      <c r="K45" s="133" t="e">
        <f t="shared" si="30"/>
        <v>#REF!</v>
      </c>
      <c r="L45" s="133" t="e">
        <f t="shared" si="30"/>
        <v>#REF!</v>
      </c>
      <c r="M45" s="134" t="e">
        <f t="shared" ref="M45:M49" si="31">SUM(L45,G45)</f>
        <v>#REF!</v>
      </c>
    </row>
    <row r="46" spans="1:13" ht="16.5" hidden="1" thickBot="1" x14ac:dyDescent="0.25">
      <c r="A46" s="592" t="s">
        <v>1292</v>
      </c>
      <c r="B46" s="133" t="e">
        <f t="shared" ref="B46:L46" si="32">SUM(B12+B32)</f>
        <v>#REF!</v>
      </c>
      <c r="C46" s="133" t="e">
        <f t="shared" si="32"/>
        <v>#REF!</v>
      </c>
      <c r="D46" s="133" t="e">
        <f t="shared" si="32"/>
        <v>#REF!</v>
      </c>
      <c r="E46" s="133" t="e">
        <f t="shared" si="32"/>
        <v>#REF!</v>
      </c>
      <c r="F46" s="133" t="e">
        <f t="shared" si="32"/>
        <v>#REF!</v>
      </c>
      <c r="G46" s="133" t="e">
        <f t="shared" si="32"/>
        <v>#REF!</v>
      </c>
      <c r="H46" s="133" t="e">
        <f t="shared" si="32"/>
        <v>#REF!</v>
      </c>
      <c r="I46" s="133" t="e">
        <f t="shared" si="32"/>
        <v>#REF!</v>
      </c>
      <c r="J46" s="133" t="e">
        <f t="shared" si="32"/>
        <v>#REF!</v>
      </c>
      <c r="K46" s="133" t="e">
        <f t="shared" si="32"/>
        <v>#REF!</v>
      </c>
      <c r="L46" s="133" t="e">
        <f t="shared" si="32"/>
        <v>#REF!</v>
      </c>
      <c r="M46" s="134" t="e">
        <f t="shared" si="31"/>
        <v>#REF!</v>
      </c>
    </row>
    <row r="47" spans="1:13" ht="16.5" hidden="1" thickBot="1" x14ac:dyDescent="0.25">
      <c r="A47" s="592" t="s">
        <v>933</v>
      </c>
      <c r="B47" s="133" t="e">
        <f t="shared" ref="B47:L47" si="33">SUM(B13+B33)</f>
        <v>#REF!</v>
      </c>
      <c r="C47" s="133" t="e">
        <f t="shared" si="33"/>
        <v>#REF!</v>
      </c>
      <c r="D47" s="133" t="e">
        <f t="shared" si="33"/>
        <v>#REF!</v>
      </c>
      <c r="E47" s="133" t="e">
        <f t="shared" si="33"/>
        <v>#REF!</v>
      </c>
      <c r="F47" s="133" t="e">
        <f t="shared" si="33"/>
        <v>#REF!</v>
      </c>
      <c r="G47" s="133" t="e">
        <f t="shared" si="33"/>
        <v>#REF!</v>
      </c>
      <c r="H47" s="133" t="e">
        <f t="shared" si="33"/>
        <v>#REF!</v>
      </c>
      <c r="I47" s="133" t="e">
        <f t="shared" si="33"/>
        <v>#REF!</v>
      </c>
      <c r="J47" s="133" t="e">
        <f t="shared" si="33"/>
        <v>#REF!</v>
      </c>
      <c r="K47" s="133" t="e">
        <f t="shared" si="33"/>
        <v>#REF!</v>
      </c>
      <c r="L47" s="133" t="e">
        <f t="shared" si="33"/>
        <v>#REF!</v>
      </c>
      <c r="M47" s="134" t="e">
        <f t="shared" si="31"/>
        <v>#REF!</v>
      </c>
    </row>
    <row r="48" spans="1:13" ht="16.5" hidden="1" thickBot="1" x14ac:dyDescent="0.25">
      <c r="A48" s="592"/>
      <c r="B48" s="133">
        <f t="shared" ref="B48:L48" si="34">SUM(B14+B34)</f>
        <v>0</v>
      </c>
      <c r="C48" s="133">
        <f t="shared" si="34"/>
        <v>0</v>
      </c>
      <c r="D48" s="133">
        <f t="shared" si="34"/>
        <v>0</v>
      </c>
      <c r="E48" s="133">
        <f t="shared" si="34"/>
        <v>0</v>
      </c>
      <c r="F48" s="133">
        <f t="shared" si="34"/>
        <v>0</v>
      </c>
      <c r="G48" s="133">
        <f t="shared" si="34"/>
        <v>0</v>
      </c>
      <c r="H48" s="133">
        <f t="shared" si="34"/>
        <v>0</v>
      </c>
      <c r="I48" s="133">
        <f t="shared" si="34"/>
        <v>0</v>
      </c>
      <c r="J48" s="133">
        <f t="shared" si="34"/>
        <v>0</v>
      </c>
      <c r="K48" s="133">
        <f t="shared" si="34"/>
        <v>0</v>
      </c>
      <c r="L48" s="133">
        <f t="shared" si="34"/>
        <v>0</v>
      </c>
      <c r="M48" s="134">
        <f t="shared" si="31"/>
        <v>0</v>
      </c>
    </row>
    <row r="49" spans="1:13" ht="16.5" hidden="1" thickBot="1" x14ac:dyDescent="0.25">
      <c r="A49" s="592" t="s">
        <v>934</v>
      </c>
      <c r="B49" s="133" t="e">
        <f t="shared" ref="B49:L49" si="35">SUM(B15+B35)</f>
        <v>#REF!</v>
      </c>
      <c r="C49" s="133" t="e">
        <f t="shared" si="35"/>
        <v>#REF!</v>
      </c>
      <c r="D49" s="133" t="e">
        <f t="shared" si="35"/>
        <v>#REF!</v>
      </c>
      <c r="E49" s="133" t="e">
        <f t="shared" si="35"/>
        <v>#REF!</v>
      </c>
      <c r="F49" s="133" t="e">
        <f t="shared" si="35"/>
        <v>#REF!</v>
      </c>
      <c r="G49" s="133" t="e">
        <f t="shared" si="35"/>
        <v>#REF!</v>
      </c>
      <c r="H49" s="133" t="e">
        <f t="shared" si="35"/>
        <v>#REF!</v>
      </c>
      <c r="I49" s="133" t="e">
        <f t="shared" si="35"/>
        <v>#REF!</v>
      </c>
      <c r="J49" s="133" t="e">
        <f t="shared" si="35"/>
        <v>#REF!</v>
      </c>
      <c r="K49" s="133" t="e">
        <f t="shared" si="35"/>
        <v>#REF!</v>
      </c>
      <c r="L49" s="133" t="e">
        <f t="shared" si="35"/>
        <v>#REF!</v>
      </c>
      <c r="M49" s="134" t="e">
        <f t="shared" si="31"/>
        <v>#REF!</v>
      </c>
    </row>
    <row r="50" spans="1:13" ht="12.95" customHeight="1" x14ac:dyDescent="0.2">
      <c r="A50" s="68" t="s">
        <v>411</v>
      </c>
      <c r="M50" s="585" t="e">
        <f>SUM('7.finanszírozás.'!F74)</f>
        <v>#REF!</v>
      </c>
    </row>
    <row r="51" spans="1:13" ht="12.95" customHeight="1" x14ac:dyDescent="0.2">
      <c r="A51" s="68" t="s">
        <v>415</v>
      </c>
      <c r="M51" s="586" t="e">
        <f>SUM(M44+M50)</f>
        <v>#REF!</v>
      </c>
    </row>
  </sheetData>
  <mergeCells count="16">
    <mergeCell ref="L8:L9"/>
    <mergeCell ref="A1:M1"/>
    <mergeCell ref="A5:M5"/>
    <mergeCell ref="A7:A9"/>
    <mergeCell ref="B7:G7"/>
    <mergeCell ref="H7:L7"/>
    <mergeCell ref="M7:M9"/>
    <mergeCell ref="B8:B9"/>
    <mergeCell ref="C8:D8"/>
    <mergeCell ref="E8:E9"/>
    <mergeCell ref="F8:F9"/>
    <mergeCell ref="G8:G9"/>
    <mergeCell ref="H8:H9"/>
    <mergeCell ref="I8:I9"/>
    <mergeCell ref="J8:J9"/>
    <mergeCell ref="K8:K9"/>
  </mergeCells>
  <pageMargins left="0.31496062992125984" right="0.31496062992125984" top="0.74803149606299213" bottom="0.74803149606299213" header="0.31496062992125984" footer="0.31496062992125984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60"/>
  <sheetViews>
    <sheetView zoomScale="80" zoomScaleNormal="80" workbookViewId="0">
      <selection activeCell="O50" sqref="O50"/>
    </sheetView>
  </sheetViews>
  <sheetFormatPr defaultRowHeight="12.75" x14ac:dyDescent="0.2"/>
  <cols>
    <col min="1" max="1" width="47.140625" style="70" customWidth="1"/>
    <col min="2" max="2" width="10" style="65" bestFit="1" customWidth="1"/>
    <col min="3" max="3" width="9.42578125" style="65" bestFit="1" customWidth="1"/>
    <col min="4" max="4" width="10" style="65" bestFit="1" customWidth="1"/>
    <col min="5" max="6" width="9.42578125" style="65" bestFit="1" customWidth="1"/>
    <col min="7" max="7" width="11.28515625" style="65" customWidth="1"/>
    <col min="8" max="8" width="12" style="65" customWidth="1"/>
    <col min="9" max="9" width="10.28515625" style="65" customWidth="1"/>
    <col min="10" max="10" width="11.42578125" style="65" customWidth="1"/>
    <col min="11" max="11" width="10" style="65" customWidth="1"/>
    <col min="12" max="12" width="11.42578125" style="65" customWidth="1"/>
    <col min="13" max="13" width="9.42578125" style="65" bestFit="1" customWidth="1"/>
    <col min="14" max="14" width="11.5703125" style="65" customWidth="1"/>
    <col min="15" max="15" width="12.140625" style="65" customWidth="1"/>
    <col min="16" max="16" width="7" style="64" bestFit="1" customWidth="1"/>
    <col min="17" max="16384" width="9.140625" style="64"/>
  </cols>
  <sheetData>
    <row r="1" spans="1:19" ht="15" customHeight="1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1" t="s">
        <v>257</v>
      </c>
      <c r="P1" s="63"/>
      <c r="Q1" s="63"/>
      <c r="R1" s="63"/>
      <c r="S1" s="63"/>
    </row>
    <row r="2" spans="1:19" x14ac:dyDescent="0.2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581" t="str">
        <f>'1.Bev-kiad.'!C2</f>
        <v>a /2023.() önkormányzati rendelethez</v>
      </c>
      <c r="P2" s="63"/>
      <c r="Q2" s="63"/>
      <c r="R2" s="63"/>
      <c r="S2" s="63"/>
    </row>
    <row r="3" spans="1:19" ht="15" customHeight="1" x14ac:dyDescent="0.2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81"/>
      <c r="P3" s="63"/>
      <c r="Q3" s="63"/>
      <c r="R3" s="63"/>
      <c r="S3" s="63"/>
    </row>
    <row r="4" spans="1:19" ht="38.25" customHeight="1" x14ac:dyDescent="0.2">
      <c r="A4" s="771" t="s">
        <v>1313</v>
      </c>
      <c r="B4" s="772"/>
      <c r="C4" s="772"/>
      <c r="D4" s="772"/>
      <c r="E4" s="772"/>
      <c r="F4" s="772"/>
      <c r="G4" s="772"/>
      <c r="H4" s="772"/>
      <c r="I4" s="772"/>
      <c r="J4" s="772"/>
      <c r="K4" s="772"/>
      <c r="L4" s="772"/>
      <c r="M4" s="772"/>
      <c r="N4" s="772"/>
      <c r="O4" s="772"/>
      <c r="P4" s="63"/>
      <c r="Q4" s="63"/>
      <c r="R4" s="63"/>
      <c r="S4" s="63"/>
    </row>
    <row r="5" spans="1:19" ht="13.5" thickBot="1" x14ac:dyDescent="0.25">
      <c r="A5" s="214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301" t="s">
        <v>477</v>
      </c>
    </row>
    <row r="6" spans="1:19" s="68" customFormat="1" ht="14.25" customHeight="1" x14ac:dyDescent="0.2">
      <c r="A6" s="759"/>
      <c r="B6" s="774" t="s">
        <v>35</v>
      </c>
      <c r="C6" s="775"/>
      <c r="D6" s="775"/>
      <c r="E6" s="775"/>
      <c r="F6" s="775"/>
      <c r="G6" s="775"/>
      <c r="H6" s="775"/>
      <c r="I6" s="776"/>
      <c r="J6" s="761" t="s">
        <v>36</v>
      </c>
      <c r="K6" s="761" t="s">
        <v>37</v>
      </c>
      <c r="L6" s="761"/>
      <c r="M6" s="761"/>
      <c r="N6" s="761"/>
      <c r="O6" s="762" t="s">
        <v>7</v>
      </c>
      <c r="P6" s="778"/>
    </row>
    <row r="7" spans="1:19" s="68" customFormat="1" ht="63.75" customHeight="1" x14ac:dyDescent="0.2">
      <c r="A7" s="760"/>
      <c r="B7" s="766" t="s">
        <v>38</v>
      </c>
      <c r="C7" s="766" t="s">
        <v>102</v>
      </c>
      <c r="D7" s="766" t="s">
        <v>39</v>
      </c>
      <c r="E7" s="766" t="s">
        <v>439</v>
      </c>
      <c r="F7" s="766" t="s">
        <v>40</v>
      </c>
      <c r="G7" s="769" t="s">
        <v>57</v>
      </c>
      <c r="H7" s="770"/>
      <c r="I7" s="766" t="s">
        <v>370</v>
      </c>
      <c r="J7" s="756"/>
      <c r="K7" s="766" t="s">
        <v>41</v>
      </c>
      <c r="L7" s="766" t="s">
        <v>42</v>
      </c>
      <c r="M7" s="766" t="s">
        <v>43</v>
      </c>
      <c r="N7" s="756" t="s">
        <v>12</v>
      </c>
      <c r="O7" s="763"/>
      <c r="P7" s="778"/>
    </row>
    <row r="8" spans="1:19" ht="35.25" customHeight="1" thickBot="1" x14ac:dyDescent="0.25">
      <c r="A8" s="773"/>
      <c r="B8" s="768"/>
      <c r="C8" s="768"/>
      <c r="D8" s="768"/>
      <c r="E8" s="768"/>
      <c r="F8" s="768"/>
      <c r="G8" s="220" t="s">
        <v>423</v>
      </c>
      <c r="H8" s="220" t="s">
        <v>424</v>
      </c>
      <c r="I8" s="768"/>
      <c r="J8" s="777"/>
      <c r="K8" s="768"/>
      <c r="L8" s="768"/>
      <c r="M8" s="768"/>
      <c r="N8" s="777"/>
      <c r="O8" s="779"/>
      <c r="P8" s="778"/>
    </row>
    <row r="9" spans="1:19" ht="21.75" customHeight="1" thickBot="1" x14ac:dyDescent="0.25">
      <c r="A9" s="296" t="str">
        <f>'5.Bev.össz'!A10</f>
        <v>Önkormányzat (eredeti előirányzat 2023. év)</v>
      </c>
      <c r="B9" s="126">
        <f t="shared" ref="B9:I9" si="0">B15+B21</f>
        <v>45999</v>
      </c>
      <c r="C9" s="126">
        <f t="shared" si="0"/>
        <v>6321</v>
      </c>
      <c r="D9" s="126">
        <f t="shared" si="0"/>
        <v>441542</v>
      </c>
      <c r="E9" s="126" t="e">
        <f t="shared" si="0"/>
        <v>#REF!</v>
      </c>
      <c r="F9" s="126">
        <f t="shared" si="0"/>
        <v>479557</v>
      </c>
      <c r="G9" s="126">
        <f t="shared" si="0"/>
        <v>185915</v>
      </c>
      <c r="H9" s="126">
        <f t="shared" si="0"/>
        <v>77996</v>
      </c>
      <c r="I9" s="126">
        <f t="shared" si="0"/>
        <v>135521</v>
      </c>
      <c r="J9" s="126" t="e">
        <f>B9+C9+D9+E9+F9+G9+H9+I9</f>
        <v>#REF!</v>
      </c>
      <c r="K9" s="126">
        <f t="shared" ref="K9:M11" si="1">K15+K21</f>
        <v>4648</v>
      </c>
      <c r="L9" s="126">
        <f t="shared" si="1"/>
        <v>544892</v>
      </c>
      <c r="M9" s="126">
        <f t="shared" si="1"/>
        <v>0</v>
      </c>
      <c r="N9" s="126">
        <f>K9+L9+M9</f>
        <v>549540</v>
      </c>
      <c r="O9" s="127" t="e">
        <f>J9+N9</f>
        <v>#REF!</v>
      </c>
      <c r="P9" s="300">
        <f>P15</f>
        <v>8</v>
      </c>
    </row>
    <row r="10" spans="1:19" ht="30" hidden="1" customHeight="1" thickBot="1" x14ac:dyDescent="0.25">
      <c r="A10" s="296" t="str">
        <f>'5.Bev.össz'!A11</f>
        <v>Önkormányzat (módosított előirányzat 2022.06.havi)</v>
      </c>
      <c r="B10" s="126" t="e">
        <f t="shared" ref="B10:I11" si="2">B16+B22</f>
        <v>#REF!</v>
      </c>
      <c r="C10" s="126" t="e">
        <f t="shared" si="2"/>
        <v>#REF!</v>
      </c>
      <c r="D10" s="126" t="e">
        <f t="shared" si="2"/>
        <v>#REF!</v>
      </c>
      <c r="E10" s="126" t="e">
        <f t="shared" si="2"/>
        <v>#REF!</v>
      </c>
      <c r="F10" s="126" t="e">
        <f t="shared" si="2"/>
        <v>#REF!</v>
      </c>
      <c r="G10" s="126" t="e">
        <f t="shared" si="2"/>
        <v>#REF!</v>
      </c>
      <c r="H10" s="126" t="e">
        <f t="shared" si="2"/>
        <v>#REF!</v>
      </c>
      <c r="I10" s="126" t="e">
        <f t="shared" si="2"/>
        <v>#REF!</v>
      </c>
      <c r="J10" s="126" t="e">
        <f t="shared" ref="J10:J14" si="3">B10+C10+D10+E10+F10+G10+H10+I10</f>
        <v>#REF!</v>
      </c>
      <c r="K10" s="126" t="e">
        <f t="shared" si="1"/>
        <v>#REF!</v>
      </c>
      <c r="L10" s="126" t="e">
        <f t="shared" si="1"/>
        <v>#REF!</v>
      </c>
      <c r="M10" s="126" t="e">
        <f t="shared" si="1"/>
        <v>#REF!</v>
      </c>
      <c r="N10" s="126" t="e">
        <f>K10+L10+M10</f>
        <v>#REF!</v>
      </c>
      <c r="O10" s="127" t="e">
        <f>J10+N10</f>
        <v>#REF!</v>
      </c>
      <c r="P10" s="300">
        <f t="shared" ref="P10:P14" si="4">P16</f>
        <v>8</v>
      </c>
    </row>
    <row r="11" spans="1:19" ht="21.75" hidden="1" customHeight="1" thickBot="1" x14ac:dyDescent="0.25">
      <c r="A11" s="296" t="str">
        <f>'5.Bev.össz'!A12</f>
        <v>Önkormányzat (módosított előirányzat 2022.10.havi)</v>
      </c>
      <c r="B11" s="126" t="e">
        <f t="shared" si="2"/>
        <v>#REF!</v>
      </c>
      <c r="C11" s="126" t="e">
        <f t="shared" si="2"/>
        <v>#REF!</v>
      </c>
      <c r="D11" s="126" t="e">
        <f t="shared" si="2"/>
        <v>#REF!</v>
      </c>
      <c r="E11" s="126" t="e">
        <f t="shared" si="2"/>
        <v>#REF!</v>
      </c>
      <c r="F11" s="126" t="e">
        <f t="shared" si="2"/>
        <v>#REF!</v>
      </c>
      <c r="G11" s="126" t="e">
        <f t="shared" si="2"/>
        <v>#REF!</v>
      </c>
      <c r="H11" s="126" t="e">
        <f t="shared" si="2"/>
        <v>#REF!</v>
      </c>
      <c r="I11" s="126" t="e">
        <f t="shared" si="2"/>
        <v>#REF!</v>
      </c>
      <c r="J11" s="126" t="e">
        <f t="shared" ref="J11" si="5">B11+C11+D11+E11+F11+G11+H11+I11</f>
        <v>#REF!</v>
      </c>
      <c r="K11" s="126" t="e">
        <f t="shared" si="1"/>
        <v>#REF!</v>
      </c>
      <c r="L11" s="126" t="e">
        <f t="shared" si="1"/>
        <v>#REF!</v>
      </c>
      <c r="M11" s="126" t="e">
        <f t="shared" si="1"/>
        <v>#REF!</v>
      </c>
      <c r="N11" s="126" t="e">
        <f>K11+L11+M11</f>
        <v>#REF!</v>
      </c>
      <c r="O11" s="127" t="e">
        <f>J11+N11</f>
        <v>#REF!</v>
      </c>
      <c r="P11" s="300">
        <f t="shared" si="4"/>
        <v>8</v>
      </c>
    </row>
    <row r="12" spans="1:19" ht="21.75" hidden="1" customHeight="1" thickBot="1" x14ac:dyDescent="0.25">
      <c r="A12" s="296" t="str">
        <f>'5.Bev.össz'!A13</f>
        <v>Önkormányzat (módosított előirányzat 2021. .havi)</v>
      </c>
      <c r="B12" s="126" t="e">
        <f t="shared" ref="B12:I12" si="6">B18+B24</f>
        <v>#REF!</v>
      </c>
      <c r="C12" s="126" t="e">
        <f t="shared" si="6"/>
        <v>#REF!</v>
      </c>
      <c r="D12" s="126" t="e">
        <f t="shared" si="6"/>
        <v>#REF!</v>
      </c>
      <c r="E12" s="126" t="e">
        <f t="shared" si="6"/>
        <v>#REF!</v>
      </c>
      <c r="F12" s="126" t="e">
        <f t="shared" si="6"/>
        <v>#REF!</v>
      </c>
      <c r="G12" s="126" t="e">
        <f t="shared" si="6"/>
        <v>#REF!</v>
      </c>
      <c r="H12" s="126" t="e">
        <f t="shared" si="6"/>
        <v>#REF!</v>
      </c>
      <c r="I12" s="126" t="e">
        <f t="shared" si="6"/>
        <v>#REF!</v>
      </c>
      <c r="J12" s="126" t="e">
        <f t="shared" si="3"/>
        <v>#REF!</v>
      </c>
      <c r="K12" s="126" t="e">
        <f t="shared" ref="K12:M14" si="7">K18+K24</f>
        <v>#REF!</v>
      </c>
      <c r="L12" s="126" t="e">
        <f t="shared" si="7"/>
        <v>#REF!</v>
      </c>
      <c r="M12" s="126" t="e">
        <f t="shared" si="7"/>
        <v>#REF!</v>
      </c>
      <c r="N12" s="126" t="e">
        <f t="shared" ref="N12:N14" si="8">K12+L12+M12</f>
        <v>#REF!</v>
      </c>
      <c r="O12" s="127" t="e">
        <f t="shared" ref="O12:O14" si="9">J12+N12</f>
        <v>#REF!</v>
      </c>
      <c r="P12" s="300">
        <f t="shared" si="4"/>
        <v>16</v>
      </c>
    </row>
    <row r="13" spans="1:19" ht="21.75" hidden="1" customHeight="1" thickBot="1" x14ac:dyDescent="0.25">
      <c r="A13" s="296">
        <f>'5.Bev.össz'!A14</f>
        <v>0</v>
      </c>
      <c r="B13" s="126">
        <f t="shared" ref="B13:I13" si="10">B19+B25</f>
        <v>0</v>
      </c>
      <c r="C13" s="126">
        <f t="shared" si="10"/>
        <v>0</v>
      </c>
      <c r="D13" s="126">
        <f t="shared" si="10"/>
        <v>0</v>
      </c>
      <c r="E13" s="126">
        <f t="shared" si="10"/>
        <v>0</v>
      </c>
      <c r="F13" s="126">
        <f t="shared" si="10"/>
        <v>0</v>
      </c>
      <c r="G13" s="126">
        <f t="shared" si="10"/>
        <v>0</v>
      </c>
      <c r="H13" s="126">
        <f t="shared" si="10"/>
        <v>0</v>
      </c>
      <c r="I13" s="126">
        <f t="shared" si="10"/>
        <v>0</v>
      </c>
      <c r="J13" s="126">
        <f t="shared" si="3"/>
        <v>0</v>
      </c>
      <c r="K13" s="126">
        <f t="shared" si="7"/>
        <v>0</v>
      </c>
      <c r="L13" s="126">
        <f t="shared" si="7"/>
        <v>0</v>
      </c>
      <c r="M13" s="126">
        <f t="shared" si="7"/>
        <v>0</v>
      </c>
      <c r="N13" s="126">
        <f t="shared" si="8"/>
        <v>0</v>
      </c>
      <c r="O13" s="127">
        <f t="shared" si="9"/>
        <v>0</v>
      </c>
      <c r="P13" s="300">
        <f t="shared" si="4"/>
        <v>0</v>
      </c>
    </row>
    <row r="14" spans="1:19" ht="13.5" hidden="1" thickBot="1" x14ac:dyDescent="0.25">
      <c r="A14" s="296" t="str">
        <f>'5.Bev.össz'!A15</f>
        <v>Önkormányzat: Teljesítés 2021.12.31.</v>
      </c>
      <c r="B14" s="126" t="e">
        <f t="shared" ref="B14:I14" si="11">B20+B26</f>
        <v>#REF!</v>
      </c>
      <c r="C14" s="126" t="e">
        <f t="shared" si="11"/>
        <v>#REF!</v>
      </c>
      <c r="D14" s="126" t="e">
        <f t="shared" si="11"/>
        <v>#REF!</v>
      </c>
      <c r="E14" s="126" t="e">
        <f t="shared" si="11"/>
        <v>#REF!</v>
      </c>
      <c r="F14" s="126" t="e">
        <f t="shared" si="11"/>
        <v>#REF!</v>
      </c>
      <c r="G14" s="126" t="e">
        <f t="shared" si="11"/>
        <v>#REF!</v>
      </c>
      <c r="H14" s="126" t="e">
        <f t="shared" si="11"/>
        <v>#REF!</v>
      </c>
      <c r="I14" s="126" t="e">
        <f t="shared" si="11"/>
        <v>#REF!</v>
      </c>
      <c r="J14" s="126" t="e">
        <f t="shared" si="3"/>
        <v>#REF!</v>
      </c>
      <c r="K14" s="126" t="e">
        <f t="shared" si="7"/>
        <v>#REF!</v>
      </c>
      <c r="L14" s="126" t="e">
        <f t="shared" si="7"/>
        <v>#REF!</v>
      </c>
      <c r="M14" s="126" t="e">
        <f t="shared" si="7"/>
        <v>#REF!</v>
      </c>
      <c r="N14" s="126" t="e">
        <f t="shared" si="8"/>
        <v>#REF!</v>
      </c>
      <c r="O14" s="127" t="e">
        <f t="shared" si="9"/>
        <v>#REF!</v>
      </c>
      <c r="P14" s="300">
        <f t="shared" si="4"/>
        <v>16</v>
      </c>
    </row>
    <row r="15" spans="1:19" ht="23.25" customHeight="1" x14ac:dyDescent="0.2">
      <c r="A15" s="305" t="str">
        <f>'5.Bev.össz'!A16</f>
        <v xml:space="preserve">       Kötelező (eredeti előirányzat 2023. év)</v>
      </c>
      <c r="B15" s="128">
        <f>SUM('7.finanszírozás.'!C94)</f>
        <v>45999</v>
      </c>
      <c r="C15" s="128">
        <f>SUM('7.finanszírozás.'!C101)</f>
        <v>6321</v>
      </c>
      <c r="D15" s="128">
        <f>SUM('7.finanszírozás.'!C108)</f>
        <v>441542</v>
      </c>
      <c r="E15" s="128" t="e">
        <f>SUM('7.finanszírozás.'!C124)</f>
        <v>#REF!</v>
      </c>
      <c r="F15" s="128">
        <f>SUM('4. Átadott p.eszk.'!B66-'4. Átadott p.eszk.'!B55-'4. Átadott p.eszk.'!B56)</f>
        <v>474307</v>
      </c>
      <c r="G15" s="128">
        <f>SUM('7.finanszírozás.'!F50+'7.finanszírozás.'!F42)</f>
        <v>185915</v>
      </c>
      <c r="H15" s="128">
        <f>SUM('1.Bev-kiad.'!C78)</f>
        <v>77996</v>
      </c>
      <c r="I15" s="128">
        <f>SUM('2.működés'!C124)</f>
        <v>135521</v>
      </c>
      <c r="J15" s="136" t="e">
        <f>SUM(B15:I15)</f>
        <v>#REF!</v>
      </c>
      <c r="K15" s="128">
        <f>SUM('3.felh'!C45)</f>
        <v>4648</v>
      </c>
      <c r="L15" s="128">
        <f>SUM('3.felh'!C66)</f>
        <v>544892</v>
      </c>
      <c r="M15" s="128">
        <f>SUM('3.felh'!C80)</f>
        <v>0</v>
      </c>
      <c r="N15" s="136">
        <f>SUM(K15:M15)</f>
        <v>549540</v>
      </c>
      <c r="O15" s="306" t="e">
        <f>SUM(J15+N15)</f>
        <v>#REF!</v>
      </c>
      <c r="P15" s="299">
        <v>8</v>
      </c>
    </row>
    <row r="16" spans="1:19" hidden="1" x14ac:dyDescent="0.2">
      <c r="A16" s="305" t="str">
        <f>'5.Bev.össz'!A17</f>
        <v xml:space="preserve">       Kötelező (módosított előirányzat 2022.06. havi)</v>
      </c>
      <c r="B16" s="128" t="e">
        <f>SUM('7.finanszírozás.'!C95)</f>
        <v>#REF!</v>
      </c>
      <c r="C16" s="128" t="e">
        <f>SUM('7.finanszírozás.'!C102)</f>
        <v>#REF!</v>
      </c>
      <c r="D16" s="128" t="e">
        <f>SUM('7.finanszírozás.'!C109)</f>
        <v>#REF!</v>
      </c>
      <c r="E16" s="128" t="e">
        <f>SUM('7.finanszírozás.'!C123)</f>
        <v>#REF!</v>
      </c>
      <c r="F16" s="128" t="e">
        <f>SUM('4. Átadott p.eszk.'!#REF!)-'4. Átadott p.eszk.'!#REF!</f>
        <v>#REF!</v>
      </c>
      <c r="G16" s="128" t="e">
        <f>SUM('7.finanszírozás.'!E43+'7.finanszírozás.'!E51)</f>
        <v>#REF!</v>
      </c>
      <c r="H16" s="128" t="e">
        <f>SUM('1.Bev-kiad.'!#REF!)</f>
        <v>#REF!</v>
      </c>
      <c r="I16" s="128" t="e">
        <f>SUM('2.működés'!#REF!)</f>
        <v>#REF!</v>
      </c>
      <c r="J16" s="136" t="e">
        <f>SUM(B16:I16)</f>
        <v>#REF!</v>
      </c>
      <c r="K16" s="128" t="e">
        <f>SUM('3.felh'!#REF!)</f>
        <v>#REF!</v>
      </c>
      <c r="L16" s="128" t="e">
        <f>SUM('3.felh'!#REF!)</f>
        <v>#REF!</v>
      </c>
      <c r="M16" s="128" t="e">
        <f>'3.felh'!#REF!</f>
        <v>#REF!</v>
      </c>
      <c r="N16" s="136" t="e">
        <f>SUM(K16:M16)</f>
        <v>#REF!</v>
      </c>
      <c r="O16" s="306" t="e">
        <f>SUM(J22+N16)</f>
        <v>#REF!</v>
      </c>
      <c r="P16" s="299">
        <v>8</v>
      </c>
    </row>
    <row r="17" spans="1:16" ht="15.75" hidden="1" customHeight="1" x14ac:dyDescent="0.2">
      <c r="A17" s="305" t="str">
        <f>'5.Bev.össz'!A18</f>
        <v xml:space="preserve">       Kötelező (módosított előirányzat 2022.10. havi)</v>
      </c>
      <c r="B17" s="128" t="e">
        <f>SUM('7.finanszírozás.'!C96)</f>
        <v>#REF!</v>
      </c>
      <c r="C17" s="128" t="e">
        <f>SUM('7.finanszírozás.'!C103)</f>
        <v>#REF!</v>
      </c>
      <c r="D17" s="128" t="e">
        <f>SUM('7.finanszírozás.'!C110)</f>
        <v>#REF!</v>
      </c>
      <c r="E17" s="128" t="e">
        <f>SUM('7.finanszírozás.'!C124)</f>
        <v>#REF!</v>
      </c>
      <c r="F17" s="128" t="e">
        <f>SUM('4. Átadott p.eszk.'!#REF!)-'4. Átadott p.eszk.'!#REF!</f>
        <v>#REF!</v>
      </c>
      <c r="G17" s="128" t="e">
        <f>SUM('7.finanszírozás.'!E44+'7.finanszírozás.'!E52)</f>
        <v>#REF!</v>
      </c>
      <c r="H17" s="128" t="e">
        <f>SUM('1.Bev-kiad.'!#REF!)</f>
        <v>#REF!</v>
      </c>
      <c r="I17" s="128" t="e">
        <f>SUM('2.működés'!#REF!)</f>
        <v>#REF!</v>
      </c>
      <c r="J17" s="136" t="e">
        <f>SUM(B17:I17)</f>
        <v>#REF!</v>
      </c>
      <c r="K17" s="128" t="e">
        <f>SUM('3.felh'!#REF!)</f>
        <v>#REF!</v>
      </c>
      <c r="L17" s="128" t="e">
        <f>SUM('3.felh'!#REF!)</f>
        <v>#REF!</v>
      </c>
      <c r="M17" s="128" t="e">
        <f>'3.felh'!#REF!</f>
        <v>#REF!</v>
      </c>
      <c r="N17" s="136" t="e">
        <f>SUM(K17:M17)</f>
        <v>#REF!</v>
      </c>
      <c r="O17" s="306" t="e">
        <f>SUM(J23+N17)</f>
        <v>#REF!</v>
      </c>
      <c r="P17" s="299">
        <v>8</v>
      </c>
    </row>
    <row r="18" spans="1:16" hidden="1" x14ac:dyDescent="0.2">
      <c r="A18" s="305" t="str">
        <f>'5.Bev.össz'!A19</f>
        <v xml:space="preserve">       Kötelező (módosított előirányzat 2021. .havi)</v>
      </c>
      <c r="B18" s="128" t="e">
        <f>SUM('7.finanszírozás.'!C97)</f>
        <v>#REF!</v>
      </c>
      <c r="C18" s="128" t="e">
        <f>SUM('7.finanszírozás.'!C104)</f>
        <v>#REF!</v>
      </c>
      <c r="D18" s="128" t="e">
        <f>SUM('7.finanszírozás.'!C111)</f>
        <v>#REF!</v>
      </c>
      <c r="E18" s="128" t="e">
        <f>SUM('7.finanszírozás.'!C125)</f>
        <v>#REF!</v>
      </c>
      <c r="F18" s="128" t="e">
        <f>SUM('4. Átadott p.eszk.'!#REF!)</f>
        <v>#REF!</v>
      </c>
      <c r="G18" s="128" t="e">
        <f>SUM('7.finanszírozás.'!E45+'7.finanszírozás.'!E53)</f>
        <v>#REF!</v>
      </c>
      <c r="H18" s="128" t="e">
        <f>SUM('1.Bev-kiad.'!#REF!)</f>
        <v>#REF!</v>
      </c>
      <c r="I18" s="128" t="e">
        <f>SUM('2.működés'!#REF!)</f>
        <v>#REF!</v>
      </c>
      <c r="J18" s="136" t="e">
        <f>SUM(B18:I18)</f>
        <v>#REF!</v>
      </c>
      <c r="K18" s="128"/>
      <c r="L18" s="128"/>
      <c r="M18" s="128"/>
      <c r="N18" s="136">
        <f t="shared" ref="N18:N26" si="12">SUM(K18:M18)</f>
        <v>0</v>
      </c>
      <c r="O18" s="306" t="e">
        <f t="shared" ref="O18:O26" si="13">SUM(J18+N18)</f>
        <v>#REF!</v>
      </c>
      <c r="P18" s="299">
        <v>16</v>
      </c>
    </row>
    <row r="19" spans="1:16" hidden="1" x14ac:dyDescent="0.2">
      <c r="A19" s="305">
        <f>'5.Bev.össz'!A20</f>
        <v>0</v>
      </c>
      <c r="B19" s="128"/>
      <c r="C19" s="128"/>
      <c r="D19" s="128"/>
      <c r="E19" s="128"/>
      <c r="F19" s="128">
        <v>0</v>
      </c>
      <c r="G19" s="128"/>
      <c r="H19" s="128"/>
      <c r="I19" s="128"/>
      <c r="J19" s="136">
        <f>SUM(B19:I19)</f>
        <v>0</v>
      </c>
      <c r="K19" s="128"/>
      <c r="L19" s="128"/>
      <c r="M19" s="128"/>
      <c r="N19" s="136">
        <f t="shared" si="12"/>
        <v>0</v>
      </c>
      <c r="O19" s="306">
        <f t="shared" si="13"/>
        <v>0</v>
      </c>
      <c r="P19" s="299"/>
    </row>
    <row r="20" spans="1:16" hidden="1" x14ac:dyDescent="0.2">
      <c r="A20" s="305" t="str">
        <f>'5.Bev.össz'!A21</f>
        <v xml:space="preserve">       Teljesítés 2021.12.31.</v>
      </c>
      <c r="B20" s="128" t="e">
        <f>SUM('7.finanszírozás.'!C99)</f>
        <v>#REF!</v>
      </c>
      <c r="C20" s="128" t="e">
        <f>SUM('7.finanszírozás.'!C106)</f>
        <v>#REF!</v>
      </c>
      <c r="D20" s="128" t="e">
        <f>SUM('7.finanszírozás.'!C113)</f>
        <v>#REF!</v>
      </c>
      <c r="E20" s="128" t="e">
        <f>SUM('7.finanszírozás.'!C127)</f>
        <v>#REF!</v>
      </c>
      <c r="F20" s="128" t="e">
        <f>SUM('4. Átadott p.eszk.'!#REF!)</f>
        <v>#REF!</v>
      </c>
      <c r="G20" s="128" t="e">
        <f>SUM('7.finanszírozás.'!E47+'7.finanszírozás.'!E55)</f>
        <v>#REF!</v>
      </c>
      <c r="H20" s="128" t="e">
        <f>SUM('1.Bev-kiad.'!#REF!)</f>
        <v>#REF!</v>
      </c>
      <c r="I20" s="128" t="e">
        <f>SUM('2.működés'!#REF!)</f>
        <v>#REF!</v>
      </c>
      <c r="J20" s="136" t="e">
        <f t="shared" ref="J20:J26" si="14">SUM(B20:I20)</f>
        <v>#REF!</v>
      </c>
      <c r="K20" s="128"/>
      <c r="L20" s="128"/>
      <c r="M20" s="128"/>
      <c r="N20" s="136">
        <f t="shared" si="12"/>
        <v>0</v>
      </c>
      <c r="O20" s="306" t="e">
        <f t="shared" si="13"/>
        <v>#REF!</v>
      </c>
      <c r="P20" s="299">
        <v>16</v>
      </c>
    </row>
    <row r="21" spans="1:16" ht="20.25" customHeight="1" x14ac:dyDescent="0.2">
      <c r="A21" s="305" t="str">
        <f>'5.Bev.össz'!A23</f>
        <v xml:space="preserve">       Nem kötelező (eredeti előirányzat 2023. év)</v>
      </c>
      <c r="B21" s="69"/>
      <c r="C21" s="69"/>
      <c r="D21" s="69"/>
      <c r="E21" s="69"/>
      <c r="F21" s="67">
        <f>SUM('4. Átadott p.eszk.'!B55+'4. Átadott p.eszk.'!B56)</f>
        <v>5250</v>
      </c>
      <c r="G21" s="67"/>
      <c r="H21" s="67"/>
      <c r="I21" s="67"/>
      <c r="J21" s="136">
        <f>SUM(B21:I21)</f>
        <v>5250</v>
      </c>
      <c r="K21" s="128">
        <v>0</v>
      </c>
      <c r="L21" s="128">
        <v>0</v>
      </c>
      <c r="M21" s="128">
        <v>0</v>
      </c>
      <c r="N21" s="136">
        <f>SUM(K21:M21)</f>
        <v>0</v>
      </c>
      <c r="O21" s="306">
        <f>SUM(J21+N21)</f>
        <v>5250</v>
      </c>
      <c r="P21" s="303"/>
    </row>
    <row r="22" spans="1:16" hidden="1" x14ac:dyDescent="0.2">
      <c r="A22" s="305" t="str">
        <f>'5.Bev.össz'!A24</f>
        <v xml:space="preserve">       Nem kötelező (módosított előirányzat 2022.06. havi)</v>
      </c>
      <c r="B22" s="67"/>
      <c r="C22" s="67"/>
      <c r="D22" s="67"/>
      <c r="E22" s="67"/>
      <c r="F22" s="67" t="e">
        <f>'4. Átadott p.eszk.'!#REF!</f>
        <v>#REF!</v>
      </c>
      <c r="G22" s="67"/>
      <c r="H22" s="67"/>
      <c r="I22" s="67"/>
      <c r="J22" s="136" t="e">
        <f t="shared" si="14"/>
        <v>#REF!</v>
      </c>
      <c r="K22" s="128">
        <v>0</v>
      </c>
      <c r="L22" s="128">
        <v>0</v>
      </c>
      <c r="M22" s="128">
        <v>0</v>
      </c>
      <c r="N22" s="136">
        <v>0</v>
      </c>
      <c r="O22" s="306" t="e">
        <f>SUM(J22+N22)</f>
        <v>#REF!</v>
      </c>
      <c r="P22" s="303"/>
    </row>
    <row r="23" spans="1:16" ht="27" hidden="1" customHeight="1" x14ac:dyDescent="0.2">
      <c r="A23" s="305" t="str">
        <f>'5.Bev.össz'!A25</f>
        <v xml:space="preserve">       Nem kötelező (módosított előirányzat 2022.10. havi)</v>
      </c>
      <c r="B23" s="69"/>
      <c r="C23" s="69"/>
      <c r="D23" s="69"/>
      <c r="E23" s="69"/>
      <c r="F23" s="67" t="e">
        <f>'4. Átadott p.eszk.'!#REF!</f>
        <v>#REF!</v>
      </c>
      <c r="G23" s="67"/>
      <c r="H23" s="67"/>
      <c r="I23" s="67"/>
      <c r="J23" s="136" t="e">
        <f t="shared" ref="J23" si="15">SUM(B23:I23)</f>
        <v>#REF!</v>
      </c>
      <c r="K23" s="128">
        <v>0</v>
      </c>
      <c r="L23" s="128">
        <v>0</v>
      </c>
      <c r="M23" s="128">
        <v>0</v>
      </c>
      <c r="N23" s="136">
        <v>0</v>
      </c>
      <c r="O23" s="306" t="e">
        <f>SUM(J23+N23)</f>
        <v>#REF!</v>
      </c>
      <c r="P23" s="303"/>
    </row>
    <row r="24" spans="1:16" hidden="1" x14ac:dyDescent="0.2">
      <c r="A24" s="305" t="str">
        <f>'5.Bev.össz'!A26</f>
        <v xml:space="preserve">       Nem kötelező (módosított előirányzat 2021. . havi)</v>
      </c>
      <c r="B24" s="69"/>
      <c r="C24" s="69"/>
      <c r="D24" s="69"/>
      <c r="E24" s="69"/>
      <c r="F24" s="67" t="e">
        <f>SUM('4. Átadott p.eszk.'!#REF!+'4. Átadott p.eszk.'!#REF!)</f>
        <v>#REF!</v>
      </c>
      <c r="G24" s="67"/>
      <c r="H24" s="67"/>
      <c r="I24" s="67"/>
      <c r="J24" s="136" t="e">
        <f t="shared" si="14"/>
        <v>#REF!</v>
      </c>
      <c r="K24" s="128" t="e">
        <f>SUM('3.felh'!#REF!)</f>
        <v>#REF!</v>
      </c>
      <c r="L24" s="128" t="e">
        <f>SUM('3.felh'!#REF!)</f>
        <v>#REF!</v>
      </c>
      <c r="M24" s="128" t="e">
        <f>'3.felh'!#REF!</f>
        <v>#REF!</v>
      </c>
      <c r="N24" s="136" t="e">
        <f t="shared" si="12"/>
        <v>#REF!</v>
      </c>
      <c r="O24" s="306" t="e">
        <f t="shared" si="13"/>
        <v>#REF!</v>
      </c>
      <c r="P24" s="303"/>
    </row>
    <row r="25" spans="1:16" hidden="1" x14ac:dyDescent="0.2">
      <c r="A25" s="305">
        <f>'5.Bev.össz'!A27</f>
        <v>0</v>
      </c>
      <c r="B25" s="69"/>
      <c r="C25" s="69"/>
      <c r="D25" s="69"/>
      <c r="E25" s="69"/>
      <c r="F25" s="67"/>
      <c r="G25" s="67"/>
      <c r="H25" s="67"/>
      <c r="I25" s="67"/>
      <c r="J25" s="136">
        <f t="shared" si="14"/>
        <v>0</v>
      </c>
      <c r="K25" s="128"/>
      <c r="L25" s="128"/>
      <c r="M25" s="128"/>
      <c r="N25" s="136">
        <f t="shared" si="12"/>
        <v>0</v>
      </c>
      <c r="O25" s="306">
        <f t="shared" si="13"/>
        <v>0</v>
      </c>
      <c r="P25" s="303"/>
    </row>
    <row r="26" spans="1:16" hidden="1" x14ac:dyDescent="0.2">
      <c r="A26" s="305" t="str">
        <f>'5.Bev.össz'!A28</f>
        <v xml:space="preserve">       Teljesítés 2021.12.31.</v>
      </c>
      <c r="B26" s="69"/>
      <c r="C26" s="69"/>
      <c r="D26" s="69"/>
      <c r="E26" s="69"/>
      <c r="F26" s="67" t="e">
        <f>SUM('4. Átadott p.eszk.'!#REF!+'4. Átadott p.eszk.'!#REF!)</f>
        <v>#REF!</v>
      </c>
      <c r="G26" s="69"/>
      <c r="H26" s="69"/>
      <c r="I26" s="69"/>
      <c r="J26" s="136" t="e">
        <f t="shared" si="14"/>
        <v>#REF!</v>
      </c>
      <c r="K26" s="574" t="e">
        <f>SUM('3.felh'!#REF!)</f>
        <v>#REF!</v>
      </c>
      <c r="L26" s="574" t="e">
        <f>SUM('3.felh'!#REF!)</f>
        <v>#REF!</v>
      </c>
      <c r="M26" s="574" t="e">
        <f>SUM('3.felh'!#REF!)</f>
        <v>#REF!</v>
      </c>
      <c r="N26" s="136" t="e">
        <f t="shared" si="12"/>
        <v>#REF!</v>
      </c>
      <c r="O26" s="306" t="e">
        <f t="shared" si="13"/>
        <v>#REF!</v>
      </c>
      <c r="P26" s="303"/>
    </row>
    <row r="27" spans="1:16" ht="33" customHeight="1" thickBot="1" x14ac:dyDescent="0.25">
      <c r="A27" s="307" t="str">
        <f>'5.Bev.össz'!A29</f>
        <v xml:space="preserve">       Államigazgatási feladatok (eredeti előirányzat 2023. év)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306"/>
      <c r="P27" s="303"/>
    </row>
    <row r="28" spans="1:16" s="68" customFormat="1" ht="21" customHeight="1" thickBot="1" x14ac:dyDescent="0.25">
      <c r="A28" s="296" t="str">
        <f>'5.Bev.össz'!A30</f>
        <v>KÖH (eredeti előirányzat 2023. év)</v>
      </c>
      <c r="B28" s="131">
        <f t="shared" ref="B28:J28" si="16">SUM(B34)</f>
        <v>192994</v>
      </c>
      <c r="C28" s="131">
        <f t="shared" si="16"/>
        <v>25300</v>
      </c>
      <c r="D28" s="131">
        <f t="shared" si="16"/>
        <v>36245</v>
      </c>
      <c r="E28" s="131">
        <f t="shared" si="16"/>
        <v>0</v>
      </c>
      <c r="F28" s="131" t="e">
        <f t="shared" si="16"/>
        <v>#REF!</v>
      </c>
      <c r="G28" s="131">
        <f t="shared" si="16"/>
        <v>0</v>
      </c>
      <c r="H28" s="131">
        <f t="shared" si="16"/>
        <v>0</v>
      </c>
      <c r="I28" s="131">
        <f t="shared" si="16"/>
        <v>0</v>
      </c>
      <c r="J28" s="124" t="e">
        <f t="shared" si="16"/>
        <v>#REF!</v>
      </c>
      <c r="K28" s="124" t="e">
        <f>K34</f>
        <v>#REF!</v>
      </c>
      <c r="L28" s="124">
        <f>L34</f>
        <v>0</v>
      </c>
      <c r="M28" s="124">
        <f>M34</f>
        <v>0</v>
      </c>
      <c r="N28" s="124" t="e">
        <f>K28+L28+M28</f>
        <v>#REF!</v>
      </c>
      <c r="O28" s="137" t="e">
        <f>(N28+J28)</f>
        <v>#REF!</v>
      </c>
      <c r="P28" s="302">
        <f>P34</f>
        <v>40</v>
      </c>
    </row>
    <row r="29" spans="1:16" s="68" customFormat="1" ht="21" hidden="1" customHeight="1" thickBot="1" x14ac:dyDescent="0.25">
      <c r="A29" s="296" t="str">
        <f>'5.Bev.össz'!A31</f>
        <v>KÖH (módosított előirányzat 2022.06. havi)</v>
      </c>
      <c r="B29" s="131" t="e">
        <f t="shared" ref="B29:J30" si="17">SUM(B35)</f>
        <v>#REF!</v>
      </c>
      <c r="C29" s="131" t="e">
        <f t="shared" si="17"/>
        <v>#REF!</v>
      </c>
      <c r="D29" s="131" t="e">
        <f t="shared" si="17"/>
        <v>#REF!</v>
      </c>
      <c r="E29" s="131">
        <f t="shared" si="17"/>
        <v>0</v>
      </c>
      <c r="F29" s="131" t="e">
        <f t="shared" si="17"/>
        <v>#REF!</v>
      </c>
      <c r="G29" s="131">
        <f t="shared" si="17"/>
        <v>0</v>
      </c>
      <c r="H29" s="131">
        <f t="shared" si="17"/>
        <v>0</v>
      </c>
      <c r="I29" s="131">
        <f t="shared" si="17"/>
        <v>0</v>
      </c>
      <c r="J29" s="124" t="e">
        <f t="shared" si="17"/>
        <v>#REF!</v>
      </c>
      <c r="K29" s="124" t="e">
        <f t="shared" ref="K29:M33" si="18">K35</f>
        <v>#REF!</v>
      </c>
      <c r="L29" s="124">
        <f t="shared" si="18"/>
        <v>0</v>
      </c>
      <c r="M29" s="124">
        <f t="shared" si="18"/>
        <v>0</v>
      </c>
      <c r="N29" s="124" t="e">
        <f t="shared" ref="N29:N33" si="19">K29+L29+M29</f>
        <v>#REF!</v>
      </c>
      <c r="O29" s="137" t="e">
        <f t="shared" ref="O29:O33" si="20">(N29+J29)</f>
        <v>#REF!</v>
      </c>
      <c r="P29" s="302">
        <f t="shared" ref="P29:P33" si="21">P35</f>
        <v>40</v>
      </c>
    </row>
    <row r="30" spans="1:16" s="68" customFormat="1" ht="21" hidden="1" customHeight="1" thickBot="1" x14ac:dyDescent="0.25">
      <c r="A30" s="296" t="str">
        <f>'5.Bev.össz'!A32</f>
        <v>KÖH (módosított előirányzat 2022.10. havi)</v>
      </c>
      <c r="B30" s="131" t="e">
        <f t="shared" si="17"/>
        <v>#REF!</v>
      </c>
      <c r="C30" s="131" t="e">
        <f t="shared" si="17"/>
        <v>#REF!</v>
      </c>
      <c r="D30" s="131" t="e">
        <f t="shared" si="17"/>
        <v>#REF!</v>
      </c>
      <c r="E30" s="131">
        <f t="shared" si="17"/>
        <v>0</v>
      </c>
      <c r="F30" s="131" t="e">
        <f t="shared" si="17"/>
        <v>#REF!</v>
      </c>
      <c r="G30" s="131">
        <f t="shared" si="17"/>
        <v>0</v>
      </c>
      <c r="H30" s="131">
        <f t="shared" si="17"/>
        <v>0</v>
      </c>
      <c r="I30" s="131">
        <f t="shared" si="17"/>
        <v>0</v>
      </c>
      <c r="J30" s="124" t="e">
        <f t="shared" si="17"/>
        <v>#REF!</v>
      </c>
      <c r="K30" s="124" t="e">
        <f t="shared" si="18"/>
        <v>#REF!</v>
      </c>
      <c r="L30" s="124">
        <f t="shared" si="18"/>
        <v>0</v>
      </c>
      <c r="M30" s="124">
        <f t="shared" si="18"/>
        <v>0</v>
      </c>
      <c r="N30" s="124" t="e">
        <f t="shared" ref="N30" si="22">K30+L30+M30</f>
        <v>#REF!</v>
      </c>
      <c r="O30" s="137" t="e">
        <f t="shared" ref="O30" si="23">(N30+J30)</f>
        <v>#REF!</v>
      </c>
      <c r="P30" s="302">
        <f t="shared" si="21"/>
        <v>40</v>
      </c>
    </row>
    <row r="31" spans="1:16" s="68" customFormat="1" ht="21" hidden="1" customHeight="1" thickBot="1" x14ac:dyDescent="0.25">
      <c r="A31" s="296" t="str">
        <f>'5.Bev.össz'!A33</f>
        <v>KÖH (módosított előirányzat 2021. .havi)</v>
      </c>
      <c r="B31" s="131" t="e">
        <f t="shared" ref="B31:J31" si="24">SUM(B37)</f>
        <v>#REF!</v>
      </c>
      <c r="C31" s="131" t="e">
        <f t="shared" si="24"/>
        <v>#REF!</v>
      </c>
      <c r="D31" s="131" t="e">
        <f t="shared" si="24"/>
        <v>#REF!</v>
      </c>
      <c r="E31" s="131">
        <f t="shared" si="24"/>
        <v>0</v>
      </c>
      <c r="F31" s="131" t="e">
        <f t="shared" si="24"/>
        <v>#REF!</v>
      </c>
      <c r="G31" s="131">
        <f t="shared" si="24"/>
        <v>0</v>
      </c>
      <c r="H31" s="131">
        <f t="shared" si="24"/>
        <v>0</v>
      </c>
      <c r="I31" s="131">
        <f t="shared" si="24"/>
        <v>0</v>
      </c>
      <c r="J31" s="124" t="e">
        <f t="shared" si="24"/>
        <v>#REF!</v>
      </c>
      <c r="K31" s="124" t="e">
        <f t="shared" si="18"/>
        <v>#REF!</v>
      </c>
      <c r="L31" s="124">
        <f t="shared" si="18"/>
        <v>0</v>
      </c>
      <c r="M31" s="124">
        <f t="shared" si="18"/>
        <v>0</v>
      </c>
      <c r="N31" s="124" t="e">
        <f t="shared" si="19"/>
        <v>#REF!</v>
      </c>
      <c r="O31" s="137" t="e">
        <f t="shared" si="20"/>
        <v>#REF!</v>
      </c>
      <c r="P31" s="302">
        <f t="shared" si="21"/>
        <v>40</v>
      </c>
    </row>
    <row r="32" spans="1:16" s="68" customFormat="1" ht="13.5" hidden="1" thickBot="1" x14ac:dyDescent="0.25">
      <c r="A32" s="296">
        <f>'5.Bev.össz'!A34</f>
        <v>0</v>
      </c>
      <c r="B32" s="131">
        <f t="shared" ref="B32:J32" si="25">SUM(B38)</f>
        <v>0</v>
      </c>
      <c r="C32" s="131">
        <f t="shared" si="25"/>
        <v>0</v>
      </c>
      <c r="D32" s="131">
        <f t="shared" si="25"/>
        <v>0</v>
      </c>
      <c r="E32" s="131">
        <f t="shared" si="25"/>
        <v>0</v>
      </c>
      <c r="F32" s="131">
        <f t="shared" si="25"/>
        <v>0</v>
      </c>
      <c r="G32" s="131">
        <f t="shared" si="25"/>
        <v>0</v>
      </c>
      <c r="H32" s="131">
        <f t="shared" si="25"/>
        <v>0</v>
      </c>
      <c r="I32" s="131">
        <f t="shared" si="25"/>
        <v>0</v>
      </c>
      <c r="J32" s="124">
        <f t="shared" si="25"/>
        <v>0</v>
      </c>
      <c r="K32" s="124">
        <f t="shared" si="18"/>
        <v>0</v>
      </c>
      <c r="L32" s="124">
        <f t="shared" si="18"/>
        <v>0</v>
      </c>
      <c r="M32" s="124">
        <f t="shared" si="18"/>
        <v>0</v>
      </c>
      <c r="N32" s="124">
        <f t="shared" si="19"/>
        <v>0</v>
      </c>
      <c r="O32" s="137">
        <f t="shared" si="20"/>
        <v>0</v>
      </c>
      <c r="P32" s="302">
        <f t="shared" si="21"/>
        <v>0</v>
      </c>
    </row>
    <row r="33" spans="1:17" s="68" customFormat="1" ht="13.5" hidden="1" thickBot="1" x14ac:dyDescent="0.25">
      <c r="A33" s="296" t="str">
        <f>'5.Bev.össz'!A35</f>
        <v>KÖH: Teljesítés 2021.12.31.</v>
      </c>
      <c r="B33" s="131" t="e">
        <f t="shared" ref="B33:J33" si="26">SUM(B39)</f>
        <v>#REF!</v>
      </c>
      <c r="C33" s="131" t="e">
        <f t="shared" si="26"/>
        <v>#REF!</v>
      </c>
      <c r="D33" s="131" t="e">
        <f t="shared" si="26"/>
        <v>#REF!</v>
      </c>
      <c r="E33" s="131">
        <f t="shared" si="26"/>
        <v>0</v>
      </c>
      <c r="F33" s="131" t="e">
        <f t="shared" si="26"/>
        <v>#REF!</v>
      </c>
      <c r="G33" s="131">
        <f t="shared" si="26"/>
        <v>0</v>
      </c>
      <c r="H33" s="131">
        <f t="shared" si="26"/>
        <v>0</v>
      </c>
      <c r="I33" s="131">
        <f t="shared" si="26"/>
        <v>0</v>
      </c>
      <c r="J33" s="124" t="e">
        <f t="shared" si="26"/>
        <v>#REF!</v>
      </c>
      <c r="K33" s="124" t="e">
        <f t="shared" si="18"/>
        <v>#REF!</v>
      </c>
      <c r="L33" s="124">
        <f t="shared" si="18"/>
        <v>0</v>
      </c>
      <c r="M33" s="124">
        <f t="shared" si="18"/>
        <v>0</v>
      </c>
      <c r="N33" s="124" t="e">
        <f t="shared" si="19"/>
        <v>#REF!</v>
      </c>
      <c r="O33" s="137" t="e">
        <f t="shared" si="20"/>
        <v>#REF!</v>
      </c>
      <c r="P33" s="302">
        <f t="shared" si="21"/>
        <v>40</v>
      </c>
    </row>
    <row r="34" spans="1:17" s="68" customFormat="1" ht="20.25" customHeight="1" x14ac:dyDescent="0.2">
      <c r="A34" s="297" t="str">
        <f>A15</f>
        <v xml:space="preserve">       Kötelező (eredeti előirányzat 2023. év)</v>
      </c>
      <c r="B34" s="67">
        <f>SUM('7.finanszírozás.'!D94)</f>
        <v>192994</v>
      </c>
      <c r="C34" s="67">
        <f>SUM('7.finanszírozás.'!D101)</f>
        <v>25300</v>
      </c>
      <c r="D34" s="67">
        <f>SUM('7.finanszírozás.'!D108)</f>
        <v>36245</v>
      </c>
      <c r="E34" s="67"/>
      <c r="F34" s="67" t="e">
        <f>'7.finanszírozás.'!D131</f>
        <v>#REF!</v>
      </c>
      <c r="G34" s="67"/>
      <c r="H34" s="67"/>
      <c r="I34" s="67"/>
      <c r="J34" s="135" t="e">
        <f>SUM(B34:I34)</f>
        <v>#REF!</v>
      </c>
      <c r="K34" s="67" t="e">
        <f>'7.finanszírozás.'!D117</f>
        <v>#REF!</v>
      </c>
      <c r="L34" s="67"/>
      <c r="M34" s="67"/>
      <c r="N34" s="136" t="e">
        <f>SUM(K34:M34)</f>
        <v>#REF!</v>
      </c>
      <c r="O34" s="298" t="e">
        <f>SUM(J34+N34)</f>
        <v>#REF!</v>
      </c>
      <c r="P34" s="299">
        <v>40</v>
      </c>
    </row>
    <row r="35" spans="1:17" s="68" customFormat="1" hidden="1" x14ac:dyDescent="0.2">
      <c r="A35" s="297" t="str">
        <f>'5.Bev.össz'!A37</f>
        <v xml:space="preserve">       Kötelező (módosított előirányzat 2022.06. havi)</v>
      </c>
      <c r="B35" s="67" t="e">
        <f>SUM('7.finanszírozás.'!D95)</f>
        <v>#REF!</v>
      </c>
      <c r="C35" s="67" t="e">
        <f>SUM('7.finanszírozás.'!D102)</f>
        <v>#REF!</v>
      </c>
      <c r="D35" s="67" t="e">
        <f>SUM('7.finanszírozás.'!D109)</f>
        <v>#REF!</v>
      </c>
      <c r="E35" s="67"/>
      <c r="F35" s="67" t="e">
        <f>'7.finanszírozás.'!D130</f>
        <v>#REF!</v>
      </c>
      <c r="G35" s="67"/>
      <c r="H35" s="67"/>
      <c r="I35" s="67"/>
      <c r="J35" s="135" t="e">
        <f t="shared" ref="J35:J39" si="27">SUM(B35:I35)</f>
        <v>#REF!</v>
      </c>
      <c r="K35" s="67" t="e">
        <f>'7.finanszírozás.'!D116</f>
        <v>#REF!</v>
      </c>
      <c r="L35" s="67"/>
      <c r="M35" s="67"/>
      <c r="N35" s="136" t="e">
        <f t="shared" ref="N35:N39" si="28">SUM(K35:M35)</f>
        <v>#REF!</v>
      </c>
      <c r="O35" s="298" t="e">
        <f t="shared" ref="O35:O39" si="29">SUM(J35+N35)</f>
        <v>#REF!</v>
      </c>
      <c r="P35" s="299">
        <v>40</v>
      </c>
    </row>
    <row r="36" spans="1:17" s="68" customFormat="1" ht="15.75" hidden="1" customHeight="1" x14ac:dyDescent="0.2">
      <c r="A36" s="297" t="str">
        <f>'5.Bev.össz'!A38</f>
        <v xml:space="preserve">       Kötelező (módosított előirányzat 2022.10. havi)</v>
      </c>
      <c r="B36" s="67" t="e">
        <f>SUM('7.finanszírozás.'!D96)</f>
        <v>#REF!</v>
      </c>
      <c r="C36" s="67" t="e">
        <f>SUM('7.finanszírozás.'!D103)</f>
        <v>#REF!</v>
      </c>
      <c r="D36" s="67" t="e">
        <f>SUM('7.finanszírozás.'!D110)</f>
        <v>#REF!</v>
      </c>
      <c r="E36" s="67"/>
      <c r="F36" s="67" t="e">
        <f>'7.finanszírozás.'!D131</f>
        <v>#REF!</v>
      </c>
      <c r="G36" s="67"/>
      <c r="H36" s="67"/>
      <c r="I36" s="67"/>
      <c r="J36" s="135" t="e">
        <f t="shared" ref="J36" si="30">SUM(B36:I36)</f>
        <v>#REF!</v>
      </c>
      <c r="K36" s="67" t="e">
        <f>'7.finanszírozás.'!D117</f>
        <v>#REF!</v>
      </c>
      <c r="L36" s="67"/>
      <c r="M36" s="67"/>
      <c r="N36" s="136" t="e">
        <f t="shared" ref="N36" si="31">SUM(K36:M36)</f>
        <v>#REF!</v>
      </c>
      <c r="O36" s="298" t="e">
        <f t="shared" ref="O36" si="32">SUM(J36+N36)</f>
        <v>#REF!</v>
      </c>
      <c r="P36" s="299">
        <v>40</v>
      </c>
    </row>
    <row r="37" spans="1:17" s="68" customFormat="1" hidden="1" x14ac:dyDescent="0.2">
      <c r="A37" s="297" t="str">
        <f>'5.Bev.össz'!A39</f>
        <v xml:space="preserve">       Kötelező (módosított előirányzat 2021. .havi)</v>
      </c>
      <c r="B37" s="67" t="e">
        <f>SUM('7.finanszírozás.'!D97)</f>
        <v>#REF!</v>
      </c>
      <c r="C37" s="67" t="e">
        <f>SUM('7.finanszírozás.'!D104)</f>
        <v>#REF!</v>
      </c>
      <c r="D37" s="67" t="e">
        <f>SUM('7.finanszírozás.'!D111)</f>
        <v>#REF!</v>
      </c>
      <c r="E37" s="67"/>
      <c r="F37" s="67" t="e">
        <f>'7.finanszírozás.'!D132</f>
        <v>#REF!</v>
      </c>
      <c r="G37" s="67"/>
      <c r="H37" s="67"/>
      <c r="I37" s="67"/>
      <c r="J37" s="135" t="e">
        <f t="shared" si="27"/>
        <v>#REF!</v>
      </c>
      <c r="K37" s="67" t="e">
        <f>'7.finanszírozás.'!D118</f>
        <v>#REF!</v>
      </c>
      <c r="L37" s="67"/>
      <c r="M37" s="67"/>
      <c r="N37" s="136" t="e">
        <f t="shared" si="28"/>
        <v>#REF!</v>
      </c>
      <c r="O37" s="298" t="e">
        <f t="shared" si="29"/>
        <v>#REF!</v>
      </c>
      <c r="P37" s="299">
        <v>40</v>
      </c>
    </row>
    <row r="38" spans="1:17" s="68" customFormat="1" hidden="1" x14ac:dyDescent="0.2">
      <c r="A38" s="297">
        <f>'5.Bev.össz'!A40</f>
        <v>0</v>
      </c>
      <c r="B38" s="67">
        <f>SUM('7.finanszírozás.'!D98)</f>
        <v>0</v>
      </c>
      <c r="C38" s="67">
        <f>SUM('7.finanszírozás.'!D105)</f>
        <v>0</v>
      </c>
      <c r="D38" s="67">
        <f>SUM('7.finanszírozás.'!D112)</f>
        <v>0</v>
      </c>
      <c r="E38" s="67"/>
      <c r="F38" s="67">
        <f>'7.finanszírozás.'!D133</f>
        <v>0</v>
      </c>
      <c r="G38" s="67"/>
      <c r="H38" s="67"/>
      <c r="I38" s="67"/>
      <c r="J38" s="135">
        <f t="shared" si="27"/>
        <v>0</v>
      </c>
      <c r="K38" s="67">
        <f>'7.finanszírozás.'!D119</f>
        <v>0</v>
      </c>
      <c r="L38" s="67"/>
      <c r="M38" s="67"/>
      <c r="N38" s="136">
        <f t="shared" si="28"/>
        <v>0</v>
      </c>
      <c r="O38" s="298">
        <f t="shared" si="29"/>
        <v>0</v>
      </c>
      <c r="P38" s="299"/>
    </row>
    <row r="39" spans="1:17" s="68" customFormat="1" hidden="1" x14ac:dyDescent="0.2">
      <c r="A39" s="297" t="str">
        <f>'5.Bev.össz'!A41</f>
        <v xml:space="preserve">       Teljesítés 2021.12.31.</v>
      </c>
      <c r="B39" s="67" t="e">
        <f>SUM('7.finanszírozás.'!D99)</f>
        <v>#REF!</v>
      </c>
      <c r="C39" s="67" t="e">
        <f>SUM('7.finanszírozás.'!D106)</f>
        <v>#REF!</v>
      </c>
      <c r="D39" s="67" t="e">
        <f>SUM('7.finanszírozás.'!D113)</f>
        <v>#REF!</v>
      </c>
      <c r="E39" s="67"/>
      <c r="F39" s="67" t="e">
        <f>'7.finanszírozás.'!D134</f>
        <v>#REF!</v>
      </c>
      <c r="G39" s="67"/>
      <c r="H39" s="67"/>
      <c r="I39" s="67"/>
      <c r="J39" s="135" t="e">
        <f t="shared" si="27"/>
        <v>#REF!</v>
      </c>
      <c r="K39" s="67" t="e">
        <f>'7.finanszírozás.'!D120</f>
        <v>#REF!</v>
      </c>
      <c r="L39" s="67"/>
      <c r="M39" s="67"/>
      <c r="N39" s="136" t="e">
        <f t="shared" si="28"/>
        <v>#REF!</v>
      </c>
      <c r="O39" s="298" t="e">
        <f t="shared" si="29"/>
        <v>#REF!</v>
      </c>
      <c r="P39" s="299">
        <v>40</v>
      </c>
    </row>
    <row r="40" spans="1:17" s="68" customFormat="1" ht="18.75" customHeight="1" x14ac:dyDescent="0.2">
      <c r="A40" s="297" t="str">
        <f>'5.Bev.össz'!A42</f>
        <v xml:space="preserve">       Nem kötelező (eredeti előirányzat 2023. év)</v>
      </c>
      <c r="B40" s="67"/>
      <c r="C40" s="67"/>
      <c r="D40" s="67"/>
      <c r="E40" s="67"/>
      <c r="F40" s="67"/>
      <c r="G40" s="67"/>
      <c r="H40" s="67"/>
      <c r="I40" s="67"/>
      <c r="J40" s="135"/>
      <c r="K40" s="67"/>
      <c r="L40" s="67"/>
      <c r="M40" s="67"/>
      <c r="N40" s="136"/>
      <c r="O40" s="298"/>
      <c r="P40" s="299"/>
    </row>
    <row r="41" spans="1:17" s="68" customFormat="1" ht="31.5" customHeight="1" thickBot="1" x14ac:dyDescent="0.25">
      <c r="A41" s="297" t="str">
        <f>'5.Bev.össz'!A43</f>
        <v xml:space="preserve">       Államigazgatási feladatok (eredeti előirányzat 2023. év)</v>
      </c>
      <c r="B41" s="574"/>
      <c r="C41" s="574"/>
      <c r="D41" s="574"/>
      <c r="E41" s="574"/>
      <c r="F41" s="574"/>
      <c r="G41" s="574"/>
      <c r="H41" s="574"/>
      <c r="I41" s="574"/>
      <c r="J41" s="573"/>
      <c r="K41" s="574"/>
      <c r="L41" s="574"/>
      <c r="M41" s="574"/>
      <c r="N41" s="573"/>
      <c r="O41" s="572"/>
      <c r="P41" s="299"/>
    </row>
    <row r="42" spans="1:17" s="68" customFormat="1" ht="35.25" customHeight="1" thickBot="1" x14ac:dyDescent="0.25">
      <c r="A42" s="132" t="str">
        <f>'5.Bev.össz'!A44</f>
        <v>Önk.mindösszesen (eredeti előirányzat 2023. év)</v>
      </c>
      <c r="B42" s="133">
        <f t="shared" ref="B42:O42" si="33">SUM(B9+B28)</f>
        <v>238993</v>
      </c>
      <c r="C42" s="133">
        <f t="shared" si="33"/>
        <v>31621</v>
      </c>
      <c r="D42" s="133">
        <f t="shared" si="33"/>
        <v>477787</v>
      </c>
      <c r="E42" s="133" t="e">
        <f t="shared" si="33"/>
        <v>#REF!</v>
      </c>
      <c r="F42" s="133" t="e">
        <f t="shared" si="33"/>
        <v>#REF!</v>
      </c>
      <c r="G42" s="133">
        <f t="shared" si="33"/>
        <v>185915</v>
      </c>
      <c r="H42" s="133">
        <f t="shared" si="33"/>
        <v>77996</v>
      </c>
      <c r="I42" s="133">
        <f t="shared" si="33"/>
        <v>135521</v>
      </c>
      <c r="J42" s="133" t="e">
        <f t="shared" si="33"/>
        <v>#REF!</v>
      </c>
      <c r="K42" s="133" t="e">
        <f t="shared" si="33"/>
        <v>#REF!</v>
      </c>
      <c r="L42" s="133">
        <f t="shared" si="33"/>
        <v>544892</v>
      </c>
      <c r="M42" s="133">
        <f t="shared" si="33"/>
        <v>0</v>
      </c>
      <c r="N42" s="133" t="e">
        <f t="shared" si="33"/>
        <v>#REF!</v>
      </c>
      <c r="O42" s="134" t="e">
        <f t="shared" si="33"/>
        <v>#REF!</v>
      </c>
      <c r="P42" s="304">
        <f>P9+P28</f>
        <v>48</v>
      </c>
      <c r="Q42" s="221"/>
    </row>
    <row r="43" spans="1:17" s="68" customFormat="1" ht="32.25" hidden="1" thickBot="1" x14ac:dyDescent="0.25">
      <c r="A43" s="132" t="str">
        <f>'5.Bev.össz'!A45</f>
        <v>Önk.mindösszesen (módosított ei. 2022.06. havi)</v>
      </c>
      <c r="B43" s="133" t="e">
        <f t="shared" ref="B43:O44" si="34">SUM(B10+B29)</f>
        <v>#REF!</v>
      </c>
      <c r="C43" s="133" t="e">
        <f t="shared" si="34"/>
        <v>#REF!</v>
      </c>
      <c r="D43" s="133" t="e">
        <f t="shared" si="34"/>
        <v>#REF!</v>
      </c>
      <c r="E43" s="133" t="e">
        <f t="shared" si="34"/>
        <v>#REF!</v>
      </c>
      <c r="F43" s="133" t="e">
        <f t="shared" si="34"/>
        <v>#REF!</v>
      </c>
      <c r="G43" s="133" t="e">
        <f t="shared" si="34"/>
        <v>#REF!</v>
      </c>
      <c r="H43" s="133" t="e">
        <f t="shared" si="34"/>
        <v>#REF!</v>
      </c>
      <c r="I43" s="133" t="e">
        <f t="shared" si="34"/>
        <v>#REF!</v>
      </c>
      <c r="J43" s="133" t="e">
        <f t="shared" si="34"/>
        <v>#REF!</v>
      </c>
      <c r="K43" s="133" t="e">
        <f t="shared" si="34"/>
        <v>#REF!</v>
      </c>
      <c r="L43" s="133" t="e">
        <f t="shared" si="34"/>
        <v>#REF!</v>
      </c>
      <c r="M43" s="133" t="e">
        <f t="shared" si="34"/>
        <v>#REF!</v>
      </c>
      <c r="N43" s="133" t="e">
        <f t="shared" si="34"/>
        <v>#REF!</v>
      </c>
      <c r="O43" s="134" t="e">
        <f t="shared" si="34"/>
        <v>#REF!</v>
      </c>
      <c r="P43" s="304">
        <f t="shared" ref="P43:P47" si="35">P10+P29</f>
        <v>48</v>
      </c>
      <c r="Q43" s="221"/>
    </row>
    <row r="44" spans="1:17" s="68" customFormat="1" ht="29.25" hidden="1" customHeight="1" thickBot="1" x14ac:dyDescent="0.25">
      <c r="A44" s="132" t="str">
        <f>'5.Bev.össz'!A46</f>
        <v>Önk.mindösszesen (módosított ei. 2022.10. havi)</v>
      </c>
      <c r="B44" s="133" t="e">
        <f t="shared" si="34"/>
        <v>#REF!</v>
      </c>
      <c r="C44" s="133" t="e">
        <f t="shared" si="34"/>
        <v>#REF!</v>
      </c>
      <c r="D44" s="133" t="e">
        <f t="shared" si="34"/>
        <v>#REF!</v>
      </c>
      <c r="E44" s="133" t="e">
        <f t="shared" si="34"/>
        <v>#REF!</v>
      </c>
      <c r="F44" s="133" t="e">
        <f t="shared" si="34"/>
        <v>#REF!</v>
      </c>
      <c r="G44" s="133" t="e">
        <f t="shared" si="34"/>
        <v>#REF!</v>
      </c>
      <c r="H44" s="133" t="e">
        <f t="shared" si="34"/>
        <v>#REF!</v>
      </c>
      <c r="I44" s="133" t="e">
        <f t="shared" si="34"/>
        <v>#REF!</v>
      </c>
      <c r="J44" s="133" t="e">
        <f t="shared" si="34"/>
        <v>#REF!</v>
      </c>
      <c r="K44" s="133" t="e">
        <f t="shared" si="34"/>
        <v>#REF!</v>
      </c>
      <c r="L44" s="133" t="e">
        <f t="shared" si="34"/>
        <v>#REF!</v>
      </c>
      <c r="M44" s="133" t="e">
        <f t="shared" si="34"/>
        <v>#REF!</v>
      </c>
      <c r="N44" s="133" t="e">
        <f t="shared" si="34"/>
        <v>#REF!</v>
      </c>
      <c r="O44" s="134" t="e">
        <f t="shared" si="34"/>
        <v>#REF!</v>
      </c>
      <c r="P44" s="304">
        <f t="shared" si="35"/>
        <v>48</v>
      </c>
      <c r="Q44" s="221"/>
    </row>
    <row r="45" spans="1:17" s="68" customFormat="1" ht="24" hidden="1" customHeight="1" thickBot="1" x14ac:dyDescent="0.25">
      <c r="A45" s="132" t="str">
        <f>'5.Bev.össz'!A47</f>
        <v>Önk.mindösszesen (módosított ei. 2021. .havi)</v>
      </c>
      <c r="B45" s="133" t="e">
        <f t="shared" ref="B45:O45" si="36">SUM(B12+B31)</f>
        <v>#REF!</v>
      </c>
      <c r="C45" s="133" t="e">
        <f t="shared" si="36"/>
        <v>#REF!</v>
      </c>
      <c r="D45" s="133" t="e">
        <f t="shared" si="36"/>
        <v>#REF!</v>
      </c>
      <c r="E45" s="133" t="e">
        <f t="shared" si="36"/>
        <v>#REF!</v>
      </c>
      <c r="F45" s="133" t="e">
        <f t="shared" si="36"/>
        <v>#REF!</v>
      </c>
      <c r="G45" s="133" t="e">
        <f t="shared" si="36"/>
        <v>#REF!</v>
      </c>
      <c r="H45" s="133" t="e">
        <f t="shared" si="36"/>
        <v>#REF!</v>
      </c>
      <c r="I45" s="133" t="e">
        <f t="shared" si="36"/>
        <v>#REF!</v>
      </c>
      <c r="J45" s="133" t="e">
        <f t="shared" si="36"/>
        <v>#REF!</v>
      </c>
      <c r="K45" s="133" t="e">
        <f t="shared" si="36"/>
        <v>#REF!</v>
      </c>
      <c r="L45" s="133" t="e">
        <f t="shared" si="36"/>
        <v>#REF!</v>
      </c>
      <c r="M45" s="133" t="e">
        <f t="shared" si="36"/>
        <v>#REF!</v>
      </c>
      <c r="N45" s="133" t="e">
        <f t="shared" si="36"/>
        <v>#REF!</v>
      </c>
      <c r="O45" s="134" t="e">
        <f t="shared" si="36"/>
        <v>#REF!</v>
      </c>
      <c r="P45" s="304">
        <f t="shared" si="35"/>
        <v>56</v>
      </c>
      <c r="Q45" s="221"/>
    </row>
    <row r="46" spans="1:17" s="68" customFormat="1" ht="24" hidden="1" customHeight="1" thickBot="1" x14ac:dyDescent="0.25">
      <c r="A46" s="132">
        <f>'5.Bev.össz'!A48</f>
        <v>0</v>
      </c>
      <c r="B46" s="133">
        <f t="shared" ref="B46:O46" si="37">SUM(B13+B32)</f>
        <v>0</v>
      </c>
      <c r="C46" s="133">
        <f t="shared" si="37"/>
        <v>0</v>
      </c>
      <c r="D46" s="133">
        <f t="shared" si="37"/>
        <v>0</v>
      </c>
      <c r="E46" s="133">
        <f t="shared" si="37"/>
        <v>0</v>
      </c>
      <c r="F46" s="133">
        <f t="shared" si="37"/>
        <v>0</v>
      </c>
      <c r="G46" s="133">
        <f t="shared" si="37"/>
        <v>0</v>
      </c>
      <c r="H46" s="133">
        <f t="shared" si="37"/>
        <v>0</v>
      </c>
      <c r="I46" s="133">
        <f t="shared" si="37"/>
        <v>0</v>
      </c>
      <c r="J46" s="133">
        <f t="shared" si="37"/>
        <v>0</v>
      </c>
      <c r="K46" s="133">
        <f t="shared" si="37"/>
        <v>0</v>
      </c>
      <c r="L46" s="133">
        <f t="shared" si="37"/>
        <v>0</v>
      </c>
      <c r="M46" s="133">
        <f t="shared" si="37"/>
        <v>0</v>
      </c>
      <c r="N46" s="133">
        <f t="shared" si="37"/>
        <v>0</v>
      </c>
      <c r="O46" s="134">
        <f t="shared" si="37"/>
        <v>0</v>
      </c>
      <c r="P46" s="304">
        <f t="shared" si="35"/>
        <v>0</v>
      </c>
      <c r="Q46" s="221"/>
    </row>
    <row r="47" spans="1:17" s="68" customFormat="1" ht="15.75" hidden="1" customHeight="1" thickBot="1" x14ac:dyDescent="0.25">
      <c r="A47" s="132" t="str">
        <f>'5.Bev.össz'!A49</f>
        <v>Önk.mindösszesen (Teljesítés 2021.12.31.)</v>
      </c>
      <c r="B47" s="133" t="e">
        <f t="shared" ref="B47:O47" si="38">SUM(B14+B33)</f>
        <v>#REF!</v>
      </c>
      <c r="C47" s="133" t="e">
        <f t="shared" si="38"/>
        <v>#REF!</v>
      </c>
      <c r="D47" s="133" t="e">
        <f t="shared" si="38"/>
        <v>#REF!</v>
      </c>
      <c r="E47" s="133" t="e">
        <f t="shared" si="38"/>
        <v>#REF!</v>
      </c>
      <c r="F47" s="133" t="e">
        <f t="shared" si="38"/>
        <v>#REF!</v>
      </c>
      <c r="G47" s="133" t="e">
        <f t="shared" si="38"/>
        <v>#REF!</v>
      </c>
      <c r="H47" s="133" t="e">
        <f t="shared" si="38"/>
        <v>#REF!</v>
      </c>
      <c r="I47" s="133" t="e">
        <f t="shared" si="38"/>
        <v>#REF!</v>
      </c>
      <c r="J47" s="133" t="e">
        <f t="shared" si="38"/>
        <v>#REF!</v>
      </c>
      <c r="K47" s="133" t="e">
        <f t="shared" si="38"/>
        <v>#REF!</v>
      </c>
      <c r="L47" s="133" t="e">
        <f t="shared" si="38"/>
        <v>#REF!</v>
      </c>
      <c r="M47" s="133" t="e">
        <f t="shared" si="38"/>
        <v>#REF!</v>
      </c>
      <c r="N47" s="133" t="e">
        <f t="shared" si="38"/>
        <v>#REF!</v>
      </c>
      <c r="O47" s="134" t="e">
        <f t="shared" si="38"/>
        <v>#REF!</v>
      </c>
      <c r="P47" s="304">
        <f t="shared" si="35"/>
        <v>56</v>
      </c>
      <c r="Q47" s="221"/>
    </row>
    <row r="48" spans="1:17" x14ac:dyDescent="0.2">
      <c r="A48" s="70" t="s">
        <v>411</v>
      </c>
      <c r="O48" s="65" t="e">
        <f>SUM('7.finanszírozás.'!F88)</f>
        <v>#REF!</v>
      </c>
    </row>
    <row r="49" spans="1:15" x14ac:dyDescent="0.2">
      <c r="A49" s="70" t="s">
        <v>416</v>
      </c>
      <c r="O49" s="586" t="e">
        <f>SUM(O42+O48)</f>
        <v>#REF!</v>
      </c>
    </row>
    <row r="50" spans="1:15" x14ac:dyDescent="0.2">
      <c r="A50" s="70" t="s">
        <v>414</v>
      </c>
    </row>
    <row r="60" spans="1:15" x14ac:dyDescent="0.2">
      <c r="D60" s="65" t="s">
        <v>903</v>
      </c>
    </row>
  </sheetData>
  <mergeCells count="18">
    <mergeCell ref="P6:P8"/>
    <mergeCell ref="K6:N6"/>
    <mergeCell ref="O6:O8"/>
    <mergeCell ref="N7:N8"/>
    <mergeCell ref="K7:K8"/>
    <mergeCell ref="L7:L8"/>
    <mergeCell ref="M7:M8"/>
    <mergeCell ref="I7:I8"/>
    <mergeCell ref="G7:H7"/>
    <mergeCell ref="A4:O4"/>
    <mergeCell ref="A6:A8"/>
    <mergeCell ref="B6:I6"/>
    <mergeCell ref="J6:J8"/>
    <mergeCell ref="B7:B8"/>
    <mergeCell ref="C7:C8"/>
    <mergeCell ref="D7:D8"/>
    <mergeCell ref="E7:E8"/>
    <mergeCell ref="F7:F8"/>
  </mergeCells>
  <printOptions horizontalCentered="1"/>
  <pageMargins left="0.15748031496062992" right="0.15748031496062992" top="0.15748031496062992" bottom="0.15748031496062992" header="0.15748031496062992" footer="0.11811023622047245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49"/>
  <sheetViews>
    <sheetView topLeftCell="A24" zoomScaleNormal="100" zoomScaleSheetLayoutView="70" workbookViewId="0">
      <selection activeCell="A144" sqref="A144:XFD145"/>
    </sheetView>
  </sheetViews>
  <sheetFormatPr defaultRowHeight="12.75" x14ac:dyDescent="0.2"/>
  <cols>
    <col min="1" max="1" width="2" style="54" customWidth="1"/>
    <col min="2" max="2" width="43.85546875" customWidth="1"/>
    <col min="3" max="5" width="16.140625" customWidth="1"/>
    <col min="6" max="6" width="18.28515625" customWidth="1"/>
    <col min="7" max="7" width="8.7109375" style="9" hidden="1" customWidth="1"/>
    <col min="8" max="8" width="9.140625" hidden="1" customWidth="1"/>
    <col min="9" max="9" width="13.42578125" hidden="1" customWidth="1"/>
    <col min="11" max="11" width="13.7109375" customWidth="1"/>
  </cols>
  <sheetData>
    <row r="1" spans="2:8" x14ac:dyDescent="0.2">
      <c r="B1" s="3"/>
      <c r="C1" s="3"/>
      <c r="D1" s="3"/>
      <c r="E1" s="3"/>
      <c r="F1" s="111" t="s">
        <v>258</v>
      </c>
    </row>
    <row r="2" spans="2:8" x14ac:dyDescent="0.2">
      <c r="B2" s="3"/>
      <c r="C2" s="3"/>
      <c r="D2" s="3"/>
      <c r="E2" s="3"/>
      <c r="F2" s="581" t="str">
        <f>'1.Bev-kiad.'!C2</f>
        <v>a /2023.() önkormányzati rendelethez</v>
      </c>
    </row>
    <row r="3" spans="2:8" ht="12" customHeight="1" x14ac:dyDescent="0.2">
      <c r="B3" s="3"/>
      <c r="C3" s="3"/>
      <c r="D3" s="3"/>
      <c r="E3" s="3"/>
      <c r="F3" s="181"/>
    </row>
    <row r="4" spans="2:8" hidden="1" x14ac:dyDescent="0.2">
      <c r="B4" s="3"/>
      <c r="C4" s="3"/>
      <c r="D4" s="3"/>
      <c r="E4" s="3"/>
      <c r="F4" s="181"/>
    </row>
    <row r="5" spans="2:8" ht="42.75" customHeight="1" x14ac:dyDescent="0.2">
      <c r="B5" s="782" t="s">
        <v>1315</v>
      </c>
      <c r="C5" s="783"/>
      <c r="D5" s="783"/>
      <c r="E5" s="783"/>
      <c r="F5" s="783"/>
    </row>
    <row r="6" spans="2:8" ht="11.25" customHeight="1" thickBot="1" x14ac:dyDescent="0.25">
      <c r="B6" s="3"/>
      <c r="C6" s="3"/>
      <c r="D6" s="3"/>
      <c r="E6" s="3"/>
      <c r="F6" s="57" t="s">
        <v>0</v>
      </c>
    </row>
    <row r="7" spans="2:8" ht="12.75" customHeight="1" x14ac:dyDescent="0.2">
      <c r="B7" s="784" t="s">
        <v>46</v>
      </c>
      <c r="C7" s="786" t="s">
        <v>44</v>
      </c>
      <c r="D7" s="286" t="s">
        <v>45</v>
      </c>
      <c r="E7" s="786" t="s">
        <v>101</v>
      </c>
      <c r="F7" s="780" t="s">
        <v>48</v>
      </c>
      <c r="G7" s="28"/>
    </row>
    <row r="8" spans="2:8" ht="21.75" customHeight="1" thickBot="1" x14ac:dyDescent="0.25">
      <c r="B8" s="785"/>
      <c r="C8" s="787"/>
      <c r="D8" s="71" t="s">
        <v>49</v>
      </c>
      <c r="E8" s="787"/>
      <c r="F8" s="781"/>
      <c r="G8" s="28"/>
    </row>
    <row r="9" spans="2:8" ht="13.5" customHeight="1" x14ac:dyDescent="0.2">
      <c r="B9" s="274" t="s">
        <v>413</v>
      </c>
      <c r="C9" s="116"/>
      <c r="D9" s="117"/>
      <c r="E9" s="117"/>
      <c r="F9" s="117"/>
      <c r="G9" s="28"/>
    </row>
    <row r="10" spans="2:8" x14ac:dyDescent="0.2">
      <c r="B10" s="222" t="s">
        <v>889</v>
      </c>
      <c r="C10" s="237">
        <f>SUM('2.működés'!C8)-E10</f>
        <v>1183110</v>
      </c>
      <c r="D10" s="237">
        <f>SUM('9.Hivatal'!J85+'9.Hivatal'!J86+'9.Hivatal'!J87+'9.Hivatal'!J89)</f>
        <v>54069</v>
      </c>
      <c r="E10" s="237">
        <f t="shared" ref="E10:E15" si="0">SUM(D10:D10)</f>
        <v>54069</v>
      </c>
      <c r="F10" s="237">
        <f t="shared" ref="F10:F15" si="1">SUM(C10+E10)</f>
        <v>1237179</v>
      </c>
      <c r="G10" s="28"/>
      <c r="H10" s="75"/>
    </row>
    <row r="11" spans="2:8" hidden="1" x14ac:dyDescent="0.2">
      <c r="B11" s="222" t="s">
        <v>1195</v>
      </c>
      <c r="C11" s="237" t="e">
        <f>SUM('2.működés'!#REF!)-E11</f>
        <v>#REF!</v>
      </c>
      <c r="D11" s="237" t="e">
        <f>SUM('9.Hivatal'!#REF!+'9.Hivatal'!#REF!+'9.Hivatal'!#REF!+'9.Hivatal'!#REF!)</f>
        <v>#REF!</v>
      </c>
      <c r="E11" s="237" t="e">
        <f>SUM(D11:D11)</f>
        <v>#REF!</v>
      </c>
      <c r="F11" s="237" t="e">
        <f>SUM(C11+E11)</f>
        <v>#REF!</v>
      </c>
      <c r="G11" s="28"/>
      <c r="H11" s="75"/>
    </row>
    <row r="12" spans="2:8" hidden="1" x14ac:dyDescent="0.2">
      <c r="B12" s="222" t="s">
        <v>1288</v>
      </c>
      <c r="C12" s="237" t="e">
        <f>SUM('2.működés'!#REF!)-E12</f>
        <v>#REF!</v>
      </c>
      <c r="D12" s="237" t="e">
        <f>SUM('9.Hivatal'!#REF!+'9.Hivatal'!#REF!+'9.Hivatal'!#REF!+'9.Hivatal'!#REF!+'9.Hivatal'!#REF!)</f>
        <v>#REF!</v>
      </c>
      <c r="E12" s="237" t="e">
        <f t="shared" si="0"/>
        <v>#REF!</v>
      </c>
      <c r="F12" s="237" t="e">
        <f t="shared" si="1"/>
        <v>#REF!</v>
      </c>
      <c r="G12" s="28"/>
      <c r="H12" s="75"/>
    </row>
    <row r="13" spans="2:8" hidden="1" x14ac:dyDescent="0.2">
      <c r="B13" s="222" t="s">
        <v>938</v>
      </c>
      <c r="C13" s="237" t="e">
        <f>SUM('2.működés'!#REF!)-E13</f>
        <v>#REF!</v>
      </c>
      <c r="D13" s="237" t="e">
        <f>SUM('9.Hivatal'!#REF!+'9.Hivatal'!#REF!+'9.Hivatal'!#REF!)</f>
        <v>#REF!</v>
      </c>
      <c r="E13" s="237" t="e">
        <f t="shared" si="0"/>
        <v>#REF!</v>
      </c>
      <c r="F13" s="237" t="e">
        <f t="shared" si="1"/>
        <v>#REF!</v>
      </c>
      <c r="G13" s="28"/>
      <c r="H13" s="75"/>
    </row>
    <row r="14" spans="2:8" hidden="1" x14ac:dyDescent="0.2">
      <c r="B14" s="222" t="s">
        <v>486</v>
      </c>
      <c r="C14" s="237"/>
      <c r="D14" s="237"/>
      <c r="E14" s="237"/>
      <c r="F14" s="237"/>
      <c r="G14" s="28"/>
      <c r="H14" s="75"/>
    </row>
    <row r="15" spans="2:8" ht="13.5" hidden="1" customHeight="1" x14ac:dyDescent="0.2">
      <c r="B15" s="222" t="s">
        <v>928</v>
      </c>
      <c r="C15" s="237" t="e">
        <f>SUM('2.működés'!#REF!)-E15</f>
        <v>#REF!</v>
      </c>
      <c r="D15" s="237" t="e">
        <f>SUM('9.Hivatal'!#REF!+'9.Hivatal'!#REF!+'9.Hivatal'!#REF!)</f>
        <v>#REF!</v>
      </c>
      <c r="E15" s="237" t="e">
        <f t="shared" si="0"/>
        <v>#REF!</v>
      </c>
      <c r="F15" s="237" t="e">
        <f t="shared" si="1"/>
        <v>#REF!</v>
      </c>
      <c r="G15" s="28"/>
      <c r="H15" s="213"/>
    </row>
    <row r="16" spans="2:8" x14ac:dyDescent="0.2">
      <c r="B16" s="222"/>
      <c r="C16" s="237"/>
      <c r="D16" s="237"/>
      <c r="E16" s="237"/>
      <c r="F16" s="237"/>
      <c r="G16" s="28"/>
    </row>
    <row r="17" spans="2:9" ht="13.5" customHeight="1" x14ac:dyDescent="0.2">
      <c r="B17" s="272" t="s">
        <v>373</v>
      </c>
      <c r="C17" s="238"/>
      <c r="D17" s="238"/>
      <c r="E17" s="238"/>
      <c r="F17" s="237"/>
      <c r="G17" s="28"/>
      <c r="H17" s="75"/>
    </row>
    <row r="18" spans="2:9" ht="13.5" customHeight="1" x14ac:dyDescent="0.2">
      <c r="B18" s="222" t="str">
        <f t="shared" ref="B18:B23" si="2">B10</f>
        <v>2023. évi eredeti előirányzat</v>
      </c>
      <c r="C18" s="237">
        <f>'1.Bev-kiad.'!C16+'1.Bev-kiad.'!C40+'1.Bev-kiad.'!C50</f>
        <v>50800</v>
      </c>
      <c r="D18" s="238">
        <v>0</v>
      </c>
      <c r="E18" s="237">
        <v>0</v>
      </c>
      <c r="F18" s="237">
        <f t="shared" ref="F18:F23" si="3">SUM(C18+E18)</f>
        <v>50800</v>
      </c>
      <c r="G18" s="28"/>
      <c r="H18" s="75"/>
    </row>
    <row r="19" spans="2:9" ht="13.5" hidden="1" customHeight="1" x14ac:dyDescent="0.2">
      <c r="B19" s="222" t="str">
        <f t="shared" si="2"/>
        <v>Módosított előirányzat 2022.06.hó</v>
      </c>
      <c r="C19" s="237" t="e">
        <f>'1.Bev-kiad.'!#REF!+'1.Bev-kiad.'!#REF!+'1.Bev-kiad.'!#REF!</f>
        <v>#REF!</v>
      </c>
      <c r="D19" s="238">
        <v>0</v>
      </c>
      <c r="E19" s="237">
        <f>SUM(D19:D19)</f>
        <v>0</v>
      </c>
      <c r="F19" s="237" t="e">
        <f t="shared" si="3"/>
        <v>#REF!</v>
      </c>
      <c r="G19" s="28"/>
      <c r="H19" s="75"/>
    </row>
    <row r="20" spans="2:9" ht="13.5" hidden="1" customHeight="1" x14ac:dyDescent="0.2">
      <c r="B20" s="222" t="str">
        <f t="shared" si="2"/>
        <v>Módosított előirányzat 2022.10.hó</v>
      </c>
      <c r="C20" s="237" t="e">
        <f>'1.Bev-kiad.'!#REF!+'1.Bev-kiad.'!#REF!+'1.Bev-kiad.'!#REF!</f>
        <v>#REF!</v>
      </c>
      <c r="D20" s="238">
        <v>0</v>
      </c>
      <c r="E20" s="237">
        <f>SUM(D20:D20)</f>
        <v>0</v>
      </c>
      <c r="F20" s="237" t="e">
        <f t="shared" si="3"/>
        <v>#REF!</v>
      </c>
      <c r="G20" s="28"/>
      <c r="H20" s="75"/>
    </row>
    <row r="21" spans="2:9" ht="13.5" hidden="1" customHeight="1" x14ac:dyDescent="0.2">
      <c r="B21" s="222" t="str">
        <f t="shared" si="2"/>
        <v>Módosított előirányzat 2021.12.31</v>
      </c>
      <c r="C21" s="237" t="e">
        <f>'1.Bev-kiad.'!#REF!+'1.Bev-kiad.'!#REF!+'1.Bev-kiad.'!#REF!</f>
        <v>#REF!</v>
      </c>
      <c r="D21" s="238">
        <v>0</v>
      </c>
      <c r="E21" s="237">
        <f>SUM(D21:D21)</f>
        <v>0</v>
      </c>
      <c r="F21" s="237" t="e">
        <f t="shared" si="3"/>
        <v>#REF!</v>
      </c>
      <c r="G21" s="28"/>
      <c r="H21" s="75"/>
    </row>
    <row r="22" spans="2:9" ht="13.5" hidden="1" customHeight="1" x14ac:dyDescent="0.2">
      <c r="B22" s="222" t="str">
        <f t="shared" si="2"/>
        <v>Beszámoló előtti ei.mód.</v>
      </c>
      <c r="C22" s="237"/>
      <c r="D22" s="238">
        <v>0</v>
      </c>
      <c r="E22" s="237">
        <f>SUM(D22:D22)</f>
        <v>0</v>
      </c>
      <c r="F22" s="237">
        <f t="shared" si="3"/>
        <v>0</v>
      </c>
      <c r="G22" s="28"/>
      <c r="H22" s="75"/>
    </row>
    <row r="23" spans="2:9" ht="13.5" hidden="1" customHeight="1" x14ac:dyDescent="0.2">
      <c r="B23" s="222" t="str">
        <f t="shared" si="2"/>
        <v>Teljesítés 2021.12.31.</v>
      </c>
      <c r="C23" s="237" t="e">
        <f>'1.Bev-kiad.'!#REF!+'1.Bev-kiad.'!#REF!+'1.Bev-kiad.'!#REF!</f>
        <v>#REF!</v>
      </c>
      <c r="D23" s="238">
        <v>0</v>
      </c>
      <c r="E23" s="237">
        <f>SUM(D23:D23)</f>
        <v>0</v>
      </c>
      <c r="F23" s="237" t="e">
        <f t="shared" si="3"/>
        <v>#REF!</v>
      </c>
      <c r="G23" s="28"/>
      <c r="H23" s="75"/>
    </row>
    <row r="24" spans="2:9" x14ac:dyDescent="0.2">
      <c r="B24" s="222"/>
      <c r="C24" s="237"/>
      <c r="D24" s="238"/>
      <c r="E24" s="238"/>
      <c r="F24" s="237"/>
      <c r="G24" s="28"/>
      <c r="H24" s="75"/>
    </row>
    <row r="25" spans="2:9" ht="15.75" customHeight="1" x14ac:dyDescent="0.2">
      <c r="B25" s="272" t="s">
        <v>50</v>
      </c>
      <c r="C25" s="238"/>
      <c r="D25" s="238"/>
      <c r="E25" s="238"/>
      <c r="F25" s="238"/>
      <c r="G25" s="29"/>
      <c r="I25" s="75"/>
    </row>
    <row r="26" spans="2:9" x14ac:dyDescent="0.2">
      <c r="B26" s="222" t="str">
        <f t="shared" ref="B26:B31" si="4">B18</f>
        <v>2023. évi eredeti előirányzat</v>
      </c>
      <c r="C26" s="237">
        <f t="shared" ref="C26:C31" si="5">SUM(C34+C58)</f>
        <v>699981</v>
      </c>
      <c r="D26" s="237">
        <f t="shared" ref="D26:D31" si="6">SUM(D42+D50+D34)</f>
        <v>201982</v>
      </c>
      <c r="E26" s="237">
        <f t="shared" ref="E26:E31" si="7">SUM(D26:D26)</f>
        <v>201982</v>
      </c>
      <c r="F26" s="237">
        <f t="shared" ref="F26:F31" si="8">SUM(C26+E26)</f>
        <v>901963</v>
      </c>
      <c r="G26" s="164"/>
    </row>
    <row r="27" spans="2:9" hidden="1" x14ac:dyDescent="0.2">
      <c r="B27" s="222" t="str">
        <f t="shared" si="4"/>
        <v>Módosított előirányzat 2022.06.hó</v>
      </c>
      <c r="C27" s="237" t="e">
        <f t="shared" si="5"/>
        <v>#REF!</v>
      </c>
      <c r="D27" s="237" t="e">
        <f t="shared" si="6"/>
        <v>#REF!</v>
      </c>
      <c r="E27" s="237" t="e">
        <f t="shared" si="7"/>
        <v>#REF!</v>
      </c>
      <c r="F27" s="237" t="e">
        <f t="shared" si="8"/>
        <v>#REF!</v>
      </c>
      <c r="G27" s="164"/>
    </row>
    <row r="28" spans="2:9" hidden="1" x14ac:dyDescent="0.2">
      <c r="B28" s="222" t="str">
        <f t="shared" si="4"/>
        <v>Módosított előirányzat 2022.10.hó</v>
      </c>
      <c r="C28" s="237" t="e">
        <f t="shared" si="5"/>
        <v>#REF!</v>
      </c>
      <c r="D28" s="237" t="e">
        <f t="shared" si="6"/>
        <v>#REF!</v>
      </c>
      <c r="E28" s="237" t="e">
        <f t="shared" si="7"/>
        <v>#REF!</v>
      </c>
      <c r="F28" s="237" t="e">
        <f t="shared" si="8"/>
        <v>#REF!</v>
      </c>
      <c r="G28" s="28"/>
    </row>
    <row r="29" spans="2:9" hidden="1" x14ac:dyDescent="0.2">
      <c r="B29" s="222" t="str">
        <f t="shared" si="4"/>
        <v>Módosított előirányzat 2021.12.31</v>
      </c>
      <c r="C29" s="237" t="e">
        <f t="shared" si="5"/>
        <v>#REF!</v>
      </c>
      <c r="D29" s="237" t="e">
        <f t="shared" si="6"/>
        <v>#REF!</v>
      </c>
      <c r="E29" s="237" t="e">
        <f t="shared" si="7"/>
        <v>#REF!</v>
      </c>
      <c r="F29" s="237" t="e">
        <f t="shared" si="8"/>
        <v>#REF!</v>
      </c>
      <c r="G29" s="28"/>
    </row>
    <row r="30" spans="2:9" hidden="1" x14ac:dyDescent="0.2">
      <c r="B30" s="222" t="str">
        <f t="shared" si="4"/>
        <v>Beszámoló előtti ei.mód.</v>
      </c>
      <c r="C30" s="237" t="e">
        <f t="shared" si="5"/>
        <v>#REF!</v>
      </c>
      <c r="D30" s="237">
        <f t="shared" si="6"/>
        <v>0</v>
      </c>
      <c r="E30" s="237">
        <f t="shared" si="7"/>
        <v>0</v>
      </c>
      <c r="F30" s="237" t="e">
        <f t="shared" si="8"/>
        <v>#REF!</v>
      </c>
      <c r="G30" s="28"/>
    </row>
    <row r="31" spans="2:9" hidden="1" x14ac:dyDescent="0.2">
      <c r="B31" s="222" t="str">
        <f t="shared" si="4"/>
        <v>Teljesítés 2021.12.31.</v>
      </c>
      <c r="C31" s="237" t="e">
        <f t="shared" si="5"/>
        <v>#REF!</v>
      </c>
      <c r="D31" s="237" t="e">
        <f t="shared" si="6"/>
        <v>#REF!</v>
      </c>
      <c r="E31" s="237" t="e">
        <f t="shared" si="7"/>
        <v>#REF!</v>
      </c>
      <c r="F31" s="237" t="e">
        <f t="shared" si="8"/>
        <v>#REF!</v>
      </c>
      <c r="G31" s="164"/>
    </row>
    <row r="32" spans="2:9" x14ac:dyDescent="0.2">
      <c r="B32" s="222"/>
      <c r="C32" s="237"/>
      <c r="D32" s="237"/>
      <c r="E32" s="237"/>
      <c r="F32" s="237"/>
      <c r="G32" s="29"/>
    </row>
    <row r="33" spans="2:9" ht="14.25" customHeight="1" x14ac:dyDescent="0.2">
      <c r="B33" s="283" t="s">
        <v>427</v>
      </c>
      <c r="C33" s="238"/>
      <c r="D33" s="237"/>
      <c r="E33" s="237"/>
      <c r="F33" s="237"/>
      <c r="G33" s="29"/>
    </row>
    <row r="34" spans="2:9" ht="14.25" customHeight="1" x14ac:dyDescent="0.2">
      <c r="B34" s="222" t="str">
        <f t="shared" ref="B34:B39" si="9">B26</f>
        <v>2023. évi eredeti előirányzat</v>
      </c>
      <c r="C34" s="238">
        <f>SUM('1.Bev-kiad.'!C56)-D34</f>
        <v>699981</v>
      </c>
      <c r="D34" s="238">
        <f>SUM('9.Hivatal'!J83)</f>
        <v>16067</v>
      </c>
      <c r="E34" s="237">
        <f t="shared" ref="E34:E39" si="10">SUM(D34:D34)</f>
        <v>16067</v>
      </c>
      <c r="F34" s="237">
        <f t="shared" ref="F34:F39" si="11">SUM(C34+E34)</f>
        <v>716048</v>
      </c>
      <c r="G34" s="29"/>
    </row>
    <row r="35" spans="2:9" ht="14.25" hidden="1" customHeight="1" x14ac:dyDescent="0.2">
      <c r="B35" s="222" t="str">
        <f t="shared" si="9"/>
        <v>Módosított előirányzat 2022.06.hó</v>
      </c>
      <c r="C35" s="238" t="e">
        <f>SUM('1.Bev-kiad.'!#REF!)-D35</f>
        <v>#REF!</v>
      </c>
      <c r="D35" s="238" t="e">
        <f>SUM('9.Hivatal'!#REF!)</f>
        <v>#REF!</v>
      </c>
      <c r="E35" s="237" t="e">
        <f t="shared" si="10"/>
        <v>#REF!</v>
      </c>
      <c r="F35" s="237" t="e">
        <f t="shared" si="11"/>
        <v>#REF!</v>
      </c>
      <c r="G35" s="29"/>
    </row>
    <row r="36" spans="2:9" ht="14.25" hidden="1" customHeight="1" x14ac:dyDescent="0.2">
      <c r="B36" s="222" t="str">
        <f t="shared" si="9"/>
        <v>Módosított előirányzat 2022.10.hó</v>
      </c>
      <c r="C36" s="238" t="e">
        <f>SUM('1.Bev-kiad.'!#REF!)-D36</f>
        <v>#REF!</v>
      </c>
      <c r="D36" s="238" t="e">
        <f>SUM('9.Hivatal'!#REF!)</f>
        <v>#REF!</v>
      </c>
      <c r="E36" s="237" t="e">
        <f t="shared" si="10"/>
        <v>#REF!</v>
      </c>
      <c r="F36" s="237" t="e">
        <f t="shared" si="11"/>
        <v>#REF!</v>
      </c>
      <c r="G36" s="29"/>
    </row>
    <row r="37" spans="2:9" ht="14.25" hidden="1" customHeight="1" x14ac:dyDescent="0.2">
      <c r="B37" s="222" t="str">
        <f t="shared" si="9"/>
        <v>Módosított előirányzat 2021.12.31</v>
      </c>
      <c r="C37" s="238" t="e">
        <f>SUM('1.Bev-kiad.'!#REF!)-D37</f>
        <v>#REF!</v>
      </c>
      <c r="D37" s="238" t="e">
        <f>SUM('9.Hivatal'!#REF!)</f>
        <v>#REF!</v>
      </c>
      <c r="E37" s="237" t="e">
        <f t="shared" si="10"/>
        <v>#REF!</v>
      </c>
      <c r="F37" s="237" t="e">
        <f t="shared" si="11"/>
        <v>#REF!</v>
      </c>
      <c r="G37" s="29"/>
    </row>
    <row r="38" spans="2:9" ht="14.25" hidden="1" customHeight="1" x14ac:dyDescent="0.2">
      <c r="B38" s="222" t="str">
        <f t="shared" si="9"/>
        <v>Beszámoló előtti ei.mód.</v>
      </c>
      <c r="C38" s="238"/>
      <c r="D38" s="238"/>
      <c r="E38" s="237">
        <f t="shared" si="10"/>
        <v>0</v>
      </c>
      <c r="F38" s="237">
        <f t="shared" si="11"/>
        <v>0</v>
      </c>
      <c r="G38" s="29"/>
    </row>
    <row r="39" spans="2:9" ht="14.25" hidden="1" customHeight="1" x14ac:dyDescent="0.2">
      <c r="B39" s="222" t="str">
        <f t="shared" si="9"/>
        <v>Teljesítés 2021.12.31.</v>
      </c>
      <c r="C39" s="238" t="e">
        <f>SUM('1.Bev-kiad.'!#REF!)-D39</f>
        <v>#REF!</v>
      </c>
      <c r="D39" s="238" t="e">
        <f>SUM('9.Hivatal'!#REF!)</f>
        <v>#REF!</v>
      </c>
      <c r="E39" s="237" t="e">
        <f t="shared" si="10"/>
        <v>#REF!</v>
      </c>
      <c r="F39" s="237" t="e">
        <f t="shared" si="11"/>
        <v>#REF!</v>
      </c>
      <c r="G39" s="29"/>
    </row>
    <row r="40" spans="2:9" x14ac:dyDescent="0.2">
      <c r="B40" s="222"/>
      <c r="C40" s="238"/>
      <c r="D40" s="238"/>
      <c r="E40" s="237"/>
      <c r="F40" s="237"/>
      <c r="G40" s="29"/>
    </row>
    <row r="41" spans="2:9" x14ac:dyDescent="0.2">
      <c r="B41" s="284" t="s">
        <v>871</v>
      </c>
      <c r="C41" s="238"/>
      <c r="D41" s="238"/>
      <c r="E41" s="238"/>
      <c r="F41" s="238"/>
      <c r="G41" s="74"/>
    </row>
    <row r="42" spans="2:9" x14ac:dyDescent="0.2">
      <c r="B42" s="222" t="str">
        <f t="shared" ref="B42:B47" si="12">B34</f>
        <v>2023. évi eredeti előirányzat</v>
      </c>
      <c r="C42" s="238"/>
      <c r="D42" s="238">
        <f>SUM('9.Hivatal'!J84)</f>
        <v>133919</v>
      </c>
      <c r="E42" s="237">
        <f t="shared" ref="E42:E47" si="13">SUM(D42:D42)</f>
        <v>133919</v>
      </c>
      <c r="F42" s="237">
        <f t="shared" ref="F42:F47" si="14">SUM(C42+E42)</f>
        <v>133919</v>
      </c>
      <c r="G42" s="164"/>
      <c r="H42" s="29"/>
      <c r="I42" s="29"/>
    </row>
    <row r="43" spans="2:9" hidden="1" x14ac:dyDescent="0.2">
      <c r="B43" s="222" t="str">
        <f t="shared" si="12"/>
        <v>Módosított előirányzat 2022.06.hó</v>
      </c>
      <c r="C43" s="238"/>
      <c r="D43" s="238" t="e">
        <f>SUM('9.Hivatal'!#REF!)</f>
        <v>#REF!</v>
      </c>
      <c r="E43" s="237" t="e">
        <f t="shared" si="13"/>
        <v>#REF!</v>
      </c>
      <c r="F43" s="237" t="e">
        <f t="shared" si="14"/>
        <v>#REF!</v>
      </c>
      <c r="G43" s="164"/>
      <c r="H43" s="29"/>
      <c r="I43" s="29"/>
    </row>
    <row r="44" spans="2:9" hidden="1" x14ac:dyDescent="0.2">
      <c r="B44" s="222" t="str">
        <f t="shared" si="12"/>
        <v>Módosított előirányzat 2022.10.hó</v>
      </c>
      <c r="C44" s="238"/>
      <c r="D44" s="238" t="e">
        <f>SUM('9.Hivatal'!#REF!)</f>
        <v>#REF!</v>
      </c>
      <c r="E44" s="237" t="e">
        <f t="shared" si="13"/>
        <v>#REF!</v>
      </c>
      <c r="F44" s="237" t="e">
        <f t="shared" si="14"/>
        <v>#REF!</v>
      </c>
      <c r="G44" s="164"/>
      <c r="H44" s="29"/>
      <c r="I44" s="29"/>
    </row>
    <row r="45" spans="2:9" hidden="1" x14ac:dyDescent="0.2">
      <c r="B45" s="222" t="str">
        <f t="shared" si="12"/>
        <v>Módosított előirányzat 2021.12.31</v>
      </c>
      <c r="C45" s="238"/>
      <c r="D45" s="238" t="e">
        <f>SUM('9.Hivatal'!#REF!)</f>
        <v>#REF!</v>
      </c>
      <c r="E45" s="237" t="e">
        <f t="shared" si="13"/>
        <v>#REF!</v>
      </c>
      <c r="F45" s="237" t="e">
        <f t="shared" si="14"/>
        <v>#REF!</v>
      </c>
      <c r="G45" s="164"/>
      <c r="H45" s="29"/>
      <c r="I45" s="29"/>
    </row>
    <row r="46" spans="2:9" hidden="1" x14ac:dyDescent="0.2">
      <c r="B46" s="222" t="str">
        <f t="shared" si="12"/>
        <v>Beszámoló előtti ei.mód.</v>
      </c>
      <c r="C46" s="238"/>
      <c r="D46" s="238">
        <v>0</v>
      </c>
      <c r="E46" s="237">
        <f t="shared" si="13"/>
        <v>0</v>
      </c>
      <c r="F46" s="237">
        <f t="shared" si="14"/>
        <v>0</v>
      </c>
      <c r="G46" s="164"/>
      <c r="H46" s="29"/>
      <c r="I46" s="29"/>
    </row>
    <row r="47" spans="2:9" ht="13.5" hidden="1" customHeight="1" x14ac:dyDescent="0.2">
      <c r="B47" s="222" t="str">
        <f t="shared" si="12"/>
        <v>Teljesítés 2021.12.31.</v>
      </c>
      <c r="C47" s="238"/>
      <c r="D47" s="238" t="e">
        <f>SUM('9.Hivatal'!#REF!)</f>
        <v>#REF!</v>
      </c>
      <c r="E47" s="237" t="e">
        <f t="shared" si="13"/>
        <v>#REF!</v>
      </c>
      <c r="F47" s="237" t="e">
        <f t="shared" si="14"/>
        <v>#REF!</v>
      </c>
      <c r="G47" s="164"/>
      <c r="H47" s="29"/>
      <c r="I47" s="29"/>
    </row>
    <row r="48" spans="2:9" x14ac:dyDescent="0.2">
      <c r="B48" s="222"/>
      <c r="C48" s="238"/>
      <c r="D48" s="238"/>
      <c r="E48" s="237"/>
      <c r="F48" s="237"/>
      <c r="G48" s="29"/>
      <c r="H48" s="29"/>
      <c r="I48" s="29"/>
    </row>
    <row r="49" spans="2:11" ht="26.25" customHeight="1" x14ac:dyDescent="0.2">
      <c r="B49" s="284" t="s">
        <v>51</v>
      </c>
      <c r="C49" s="238"/>
      <c r="D49" s="238"/>
      <c r="E49" s="238"/>
      <c r="F49" s="238"/>
      <c r="G49" s="28"/>
      <c r="H49" s="28"/>
      <c r="I49" s="28"/>
    </row>
    <row r="50" spans="2:11" x14ac:dyDescent="0.2">
      <c r="B50" s="222" t="str">
        <f t="shared" ref="B50:B55" si="15">B42</f>
        <v>2023. évi eredeti előirányzat</v>
      </c>
      <c r="C50" s="238"/>
      <c r="D50" s="238">
        <f>SUM('9.Hivatal'!J92)</f>
        <v>51996</v>
      </c>
      <c r="E50" s="237">
        <f t="shared" ref="E50:E55" si="16">SUM(D50:D50)</f>
        <v>51996</v>
      </c>
      <c r="F50" s="237">
        <f t="shared" ref="F50:F55" si="17">SUM(E50)</f>
        <v>51996</v>
      </c>
      <c r="G50" s="29">
        <f t="shared" ref="G50:G55" si="18">SUM(E66-E10-E34)</f>
        <v>185915</v>
      </c>
      <c r="H50" s="29"/>
      <c r="I50" s="29"/>
    </row>
    <row r="51" spans="2:11" hidden="1" x14ac:dyDescent="0.2">
      <c r="B51" s="222" t="str">
        <f t="shared" si="15"/>
        <v>Módosított előirányzat 2022.06.hó</v>
      </c>
      <c r="C51" s="238"/>
      <c r="D51" s="238" t="e">
        <f>SUM('9.Hivatal'!#REF!)</f>
        <v>#REF!</v>
      </c>
      <c r="E51" s="237" t="e">
        <f t="shared" si="16"/>
        <v>#REF!</v>
      </c>
      <c r="F51" s="237" t="e">
        <f t="shared" si="17"/>
        <v>#REF!</v>
      </c>
      <c r="G51" s="29" t="e">
        <f t="shared" si="18"/>
        <v>#REF!</v>
      </c>
      <c r="H51" s="29"/>
      <c r="I51" s="29"/>
    </row>
    <row r="52" spans="2:11" hidden="1" x14ac:dyDescent="0.2">
      <c r="B52" s="222" t="str">
        <f t="shared" si="15"/>
        <v>Módosított előirányzat 2022.10.hó</v>
      </c>
      <c r="C52" s="238"/>
      <c r="D52" s="238" t="e">
        <f>SUM('9.Hivatal'!#REF!)</f>
        <v>#REF!</v>
      </c>
      <c r="E52" s="237" t="e">
        <f t="shared" si="16"/>
        <v>#REF!</v>
      </c>
      <c r="F52" s="237" t="e">
        <f t="shared" si="17"/>
        <v>#REF!</v>
      </c>
      <c r="G52" s="29" t="e">
        <f t="shared" si="18"/>
        <v>#REF!</v>
      </c>
      <c r="H52" s="29"/>
      <c r="I52" s="29"/>
    </row>
    <row r="53" spans="2:11" hidden="1" x14ac:dyDescent="0.2">
      <c r="B53" s="222" t="str">
        <f t="shared" si="15"/>
        <v>Módosított előirányzat 2021.12.31</v>
      </c>
      <c r="C53" s="238"/>
      <c r="D53" s="238" t="e">
        <f>SUM('9.Hivatal'!#REF!)</f>
        <v>#REF!</v>
      </c>
      <c r="E53" s="237" t="e">
        <f t="shared" si="16"/>
        <v>#REF!</v>
      </c>
      <c r="F53" s="237" t="e">
        <f t="shared" si="17"/>
        <v>#REF!</v>
      </c>
      <c r="G53" s="29" t="e">
        <f t="shared" si="18"/>
        <v>#REF!</v>
      </c>
      <c r="H53" s="29"/>
      <c r="I53" s="29"/>
    </row>
    <row r="54" spans="2:11" hidden="1" x14ac:dyDescent="0.2">
      <c r="B54" s="222" t="str">
        <f t="shared" si="15"/>
        <v>Beszámoló előtti ei.mód.</v>
      </c>
      <c r="C54" s="238"/>
      <c r="D54" s="238">
        <v>0</v>
      </c>
      <c r="E54" s="237">
        <f t="shared" si="16"/>
        <v>0</v>
      </c>
      <c r="F54" s="237">
        <f t="shared" si="17"/>
        <v>0</v>
      </c>
      <c r="G54" s="29">
        <f t="shared" si="18"/>
        <v>0</v>
      </c>
      <c r="H54" s="29"/>
      <c r="I54" s="29"/>
    </row>
    <row r="55" spans="2:11" ht="13.5" hidden="1" customHeight="1" x14ac:dyDescent="0.2">
      <c r="B55" s="222" t="str">
        <f t="shared" si="15"/>
        <v>Teljesítés 2021.12.31.</v>
      </c>
      <c r="C55" s="238"/>
      <c r="D55" s="238" t="e">
        <f>SUM('9.Hivatal'!#REF!)</f>
        <v>#REF!</v>
      </c>
      <c r="E55" s="237" t="e">
        <f t="shared" si="16"/>
        <v>#REF!</v>
      </c>
      <c r="F55" s="237" t="e">
        <f t="shared" si="17"/>
        <v>#REF!</v>
      </c>
      <c r="G55" s="29" t="e">
        <f t="shared" si="18"/>
        <v>#REF!</v>
      </c>
      <c r="H55" s="29"/>
      <c r="I55" s="29"/>
    </row>
    <row r="56" spans="2:11" x14ac:dyDescent="0.2">
      <c r="B56" s="222"/>
      <c r="C56" s="238"/>
      <c r="D56" s="238"/>
      <c r="E56" s="237"/>
      <c r="F56" s="237"/>
      <c r="G56" s="29"/>
      <c r="H56" s="29"/>
      <c r="I56" s="29"/>
    </row>
    <row r="57" spans="2:11" ht="13.5" customHeight="1" x14ac:dyDescent="0.2">
      <c r="B57" s="284" t="s">
        <v>476</v>
      </c>
      <c r="C57" s="275"/>
      <c r="D57" s="275"/>
      <c r="E57" s="276"/>
      <c r="F57" s="276"/>
      <c r="G57" s="29"/>
      <c r="H57" s="29"/>
      <c r="I57" s="29"/>
    </row>
    <row r="58" spans="2:11" ht="14.25" customHeight="1" x14ac:dyDescent="0.2">
      <c r="B58" s="294" t="str">
        <f t="shared" ref="B58:B63" si="19">B50</f>
        <v>2023. évi eredeti előirányzat</v>
      </c>
      <c r="C58" s="275">
        <f>SUM('1.Bev-kiad.'!C60)</f>
        <v>0</v>
      </c>
      <c r="D58" s="275"/>
      <c r="E58" s="276"/>
      <c r="F58" s="237">
        <f t="shared" ref="F58:F63" si="20">SUM(C58+E58)</f>
        <v>0</v>
      </c>
      <c r="G58" s="29"/>
      <c r="H58" s="29"/>
      <c r="I58" s="29"/>
      <c r="K58" s="75"/>
    </row>
    <row r="59" spans="2:11" ht="13.5" hidden="1" customHeight="1" x14ac:dyDescent="0.2">
      <c r="B59" s="294" t="str">
        <f t="shared" si="19"/>
        <v>Módosított előirányzat 2022.06.hó</v>
      </c>
      <c r="C59" s="275" t="e">
        <f>'1.Bev-kiad.'!#REF!</f>
        <v>#REF!</v>
      </c>
      <c r="D59" s="275"/>
      <c r="E59" s="276"/>
      <c r="F59" s="73" t="e">
        <f t="shared" si="20"/>
        <v>#REF!</v>
      </c>
      <c r="G59" s="29"/>
      <c r="H59" s="29"/>
      <c r="I59" s="29"/>
    </row>
    <row r="60" spans="2:11" ht="13.5" hidden="1" customHeight="1" x14ac:dyDescent="0.2">
      <c r="B60" s="294" t="str">
        <f t="shared" si="19"/>
        <v>Módosított előirányzat 2022.10.hó</v>
      </c>
      <c r="C60" s="275" t="e">
        <f>'1.Bev-kiad.'!#REF!</f>
        <v>#REF!</v>
      </c>
      <c r="D60" s="275"/>
      <c r="E60" s="276"/>
      <c r="F60" s="73" t="e">
        <f t="shared" si="20"/>
        <v>#REF!</v>
      </c>
      <c r="G60" s="29"/>
      <c r="H60" s="29"/>
      <c r="I60" s="29"/>
    </row>
    <row r="61" spans="2:11" ht="13.5" hidden="1" customHeight="1" x14ac:dyDescent="0.2">
      <c r="B61" s="294" t="str">
        <f t="shared" si="19"/>
        <v>Módosított előirányzat 2021.12.31</v>
      </c>
      <c r="C61" s="275" t="e">
        <f>'1.Bev-kiad.'!#REF!</f>
        <v>#REF!</v>
      </c>
      <c r="D61" s="275"/>
      <c r="E61" s="276"/>
      <c r="F61" s="73" t="e">
        <f t="shared" si="20"/>
        <v>#REF!</v>
      </c>
      <c r="G61" s="29"/>
      <c r="H61" s="29"/>
      <c r="I61" s="29"/>
    </row>
    <row r="62" spans="2:11" ht="13.5" hidden="1" customHeight="1" x14ac:dyDescent="0.2">
      <c r="B62" s="294" t="str">
        <f t="shared" si="19"/>
        <v>Beszámoló előtti ei.mód.</v>
      </c>
      <c r="C62" s="275" t="e">
        <f>'1.Bev-kiad.'!#REF!</f>
        <v>#REF!</v>
      </c>
      <c r="D62" s="275"/>
      <c r="E62" s="276"/>
      <c r="F62" s="73" t="e">
        <f t="shared" si="20"/>
        <v>#REF!</v>
      </c>
      <c r="G62" s="29"/>
      <c r="H62" s="29"/>
      <c r="I62" s="29"/>
    </row>
    <row r="63" spans="2:11" ht="13.5" hidden="1" customHeight="1" x14ac:dyDescent="0.2">
      <c r="B63" s="294" t="str">
        <f t="shared" si="19"/>
        <v>Teljesítés 2021.12.31.</v>
      </c>
      <c r="C63" s="275" t="e">
        <f>'1.Bev-kiad.'!#REF!</f>
        <v>#REF!</v>
      </c>
      <c r="D63" s="275"/>
      <c r="E63" s="276"/>
      <c r="F63" s="73" t="e">
        <f t="shared" si="20"/>
        <v>#REF!</v>
      </c>
      <c r="G63" s="29"/>
      <c r="H63" s="29"/>
      <c r="I63" s="29"/>
    </row>
    <row r="64" spans="2:11" ht="13.5" customHeight="1" thickBot="1" x14ac:dyDescent="0.25">
      <c r="B64" s="294"/>
      <c r="C64" s="275"/>
      <c r="D64" s="275"/>
      <c r="E64" s="276"/>
      <c r="F64" s="73"/>
      <c r="G64" s="29"/>
      <c r="H64" s="29"/>
      <c r="I64" s="29"/>
    </row>
    <row r="65" spans="2:11" ht="14.25" customHeight="1" x14ac:dyDescent="0.2">
      <c r="B65" s="112" t="s">
        <v>52</v>
      </c>
      <c r="C65" s="239"/>
      <c r="D65" s="239"/>
      <c r="E65" s="239"/>
      <c r="F65" s="244"/>
      <c r="G65" s="29"/>
      <c r="H65" s="75"/>
    </row>
    <row r="66" spans="2:11" ht="14.25" customHeight="1" x14ac:dyDescent="0.2">
      <c r="B66" s="212" t="str">
        <f t="shared" ref="B66:B71" si="21">B10</f>
        <v>2023. évi eredeti előirányzat</v>
      </c>
      <c r="C66" s="241">
        <f t="shared" ref="C66:C71" si="22">SUM(C10+C26+C18)</f>
        <v>1933891</v>
      </c>
      <c r="D66" s="241">
        <f t="shared" ref="D66:D71" si="23">SUM(D10+D26)</f>
        <v>256051</v>
      </c>
      <c r="E66" s="241">
        <f t="shared" ref="E66:E71" si="24">SUM(D66:D66)</f>
        <v>256051</v>
      </c>
      <c r="F66" s="245">
        <f t="shared" ref="F66:F71" si="25">SUM(C66+E66)</f>
        <v>2189942</v>
      </c>
      <c r="G66" s="164"/>
      <c r="H66" s="213"/>
      <c r="I66" s="75"/>
    </row>
    <row r="67" spans="2:11" ht="14.25" hidden="1" customHeight="1" x14ac:dyDescent="0.2">
      <c r="B67" s="212" t="str">
        <f t="shared" si="21"/>
        <v>Módosított előirányzat 2022.06.hó</v>
      </c>
      <c r="C67" s="241" t="e">
        <f t="shared" si="22"/>
        <v>#REF!</v>
      </c>
      <c r="D67" s="241" t="e">
        <f t="shared" si="23"/>
        <v>#REF!</v>
      </c>
      <c r="E67" s="241" t="e">
        <f t="shared" si="24"/>
        <v>#REF!</v>
      </c>
      <c r="F67" s="245" t="e">
        <f t="shared" si="25"/>
        <v>#REF!</v>
      </c>
      <c r="G67" s="164"/>
      <c r="H67" s="213"/>
    </row>
    <row r="68" spans="2:11" ht="14.25" hidden="1" customHeight="1" x14ac:dyDescent="0.2">
      <c r="B68" s="212" t="str">
        <f t="shared" si="21"/>
        <v>Módosított előirányzat 2022.10.hó</v>
      </c>
      <c r="C68" s="241" t="e">
        <f t="shared" si="22"/>
        <v>#REF!</v>
      </c>
      <c r="D68" s="241" t="e">
        <f t="shared" si="23"/>
        <v>#REF!</v>
      </c>
      <c r="E68" s="241" t="e">
        <f t="shared" si="24"/>
        <v>#REF!</v>
      </c>
      <c r="F68" s="245" t="e">
        <f t="shared" si="25"/>
        <v>#REF!</v>
      </c>
      <c r="G68" s="164"/>
      <c r="H68" s="213"/>
    </row>
    <row r="69" spans="2:11" ht="14.25" hidden="1" customHeight="1" x14ac:dyDescent="0.2">
      <c r="B69" s="212" t="str">
        <f t="shared" si="21"/>
        <v>Módosított előirányzat 2021.12.31</v>
      </c>
      <c r="C69" s="241" t="e">
        <f t="shared" si="22"/>
        <v>#REF!</v>
      </c>
      <c r="D69" s="241" t="e">
        <f t="shared" si="23"/>
        <v>#REF!</v>
      </c>
      <c r="E69" s="241" t="e">
        <f t="shared" si="24"/>
        <v>#REF!</v>
      </c>
      <c r="F69" s="245" t="e">
        <f t="shared" si="25"/>
        <v>#REF!</v>
      </c>
      <c r="G69" s="164"/>
      <c r="H69" s="213"/>
    </row>
    <row r="70" spans="2:11" ht="14.25" hidden="1" customHeight="1" x14ac:dyDescent="0.2">
      <c r="B70" s="212" t="str">
        <f t="shared" si="21"/>
        <v>Beszámoló előtti ei.mód.</v>
      </c>
      <c r="C70" s="241" t="e">
        <f t="shared" si="22"/>
        <v>#REF!</v>
      </c>
      <c r="D70" s="241">
        <f t="shared" si="23"/>
        <v>0</v>
      </c>
      <c r="E70" s="241">
        <f t="shared" si="24"/>
        <v>0</v>
      </c>
      <c r="F70" s="245" t="e">
        <f t="shared" si="25"/>
        <v>#REF!</v>
      </c>
      <c r="G70" s="164"/>
      <c r="H70" s="213"/>
    </row>
    <row r="71" spans="2:11" hidden="1" x14ac:dyDescent="0.2">
      <c r="B71" s="212" t="str">
        <f t="shared" si="21"/>
        <v>Teljesítés 2021.12.31.</v>
      </c>
      <c r="C71" s="241" t="e">
        <f t="shared" si="22"/>
        <v>#REF!</v>
      </c>
      <c r="D71" s="241" t="e">
        <f t="shared" si="23"/>
        <v>#REF!</v>
      </c>
      <c r="E71" s="241" t="e">
        <f t="shared" si="24"/>
        <v>#REF!</v>
      </c>
      <c r="F71" s="245" t="e">
        <f t="shared" si="25"/>
        <v>#REF!</v>
      </c>
      <c r="G71" s="164"/>
      <c r="H71" s="213"/>
    </row>
    <row r="72" spans="2:11" ht="14.25" customHeight="1" thickBot="1" x14ac:dyDescent="0.25">
      <c r="B72" s="295" t="s">
        <v>53</v>
      </c>
      <c r="C72" s="241"/>
      <c r="D72" s="241"/>
      <c r="E72" s="241"/>
      <c r="F72" s="245">
        <f t="shared" ref="F72:F77" si="26">-E42-E50</f>
        <v>-185915</v>
      </c>
      <c r="G72" s="28"/>
    </row>
    <row r="73" spans="2:11" ht="12.75" hidden="1" customHeight="1" x14ac:dyDescent="0.2">
      <c r="B73" s="295" t="str">
        <f>B67</f>
        <v>Módosított előirányzat 2022.06.hó</v>
      </c>
      <c r="C73" s="241"/>
      <c r="D73" s="241"/>
      <c r="E73" s="241"/>
      <c r="F73" s="245" t="e">
        <f t="shared" si="26"/>
        <v>#REF!</v>
      </c>
      <c r="G73" s="28"/>
    </row>
    <row r="74" spans="2:11" ht="12.75" hidden="1" customHeight="1" thickBot="1" x14ac:dyDescent="0.25">
      <c r="B74" s="295" t="str">
        <f>B68</f>
        <v>Módosított előirányzat 2022.10.hó</v>
      </c>
      <c r="C74" s="240"/>
      <c r="D74" s="240"/>
      <c r="E74" s="240"/>
      <c r="F74" s="245" t="e">
        <f t="shared" si="26"/>
        <v>#REF!</v>
      </c>
      <c r="G74" s="28"/>
    </row>
    <row r="75" spans="2:11" ht="12.75" hidden="1" customHeight="1" x14ac:dyDescent="0.2">
      <c r="B75" s="295" t="str">
        <f>B69</f>
        <v>Módosított előirányzat 2021.12.31</v>
      </c>
      <c r="C75" s="240"/>
      <c r="D75" s="240"/>
      <c r="E75" s="240"/>
      <c r="F75" s="245" t="e">
        <f t="shared" si="26"/>
        <v>#REF!</v>
      </c>
      <c r="G75" s="28"/>
    </row>
    <row r="76" spans="2:11" ht="12.75" hidden="1" customHeight="1" x14ac:dyDescent="0.2">
      <c r="B76" s="295" t="str">
        <f>B70</f>
        <v>Beszámoló előtti ei.mód.</v>
      </c>
      <c r="C76" s="240"/>
      <c r="D76" s="240"/>
      <c r="E76" s="240"/>
      <c r="F76" s="245">
        <f t="shared" si="26"/>
        <v>0</v>
      </c>
      <c r="G76" s="28"/>
    </row>
    <row r="77" spans="2:11" ht="13.5" hidden="1" thickBot="1" x14ac:dyDescent="0.25">
      <c r="B77" s="295" t="str">
        <f>B71</f>
        <v>Teljesítés 2021.12.31.</v>
      </c>
      <c r="C77" s="240"/>
      <c r="D77" s="240"/>
      <c r="E77" s="240"/>
      <c r="F77" s="245" t="e">
        <f t="shared" si="26"/>
        <v>#REF!</v>
      </c>
      <c r="G77" s="28"/>
    </row>
    <row r="78" spans="2:11" ht="13.5" thickBot="1" x14ac:dyDescent="0.25">
      <c r="B78" s="76" t="s">
        <v>54</v>
      </c>
      <c r="C78" s="242"/>
      <c r="D78" s="242"/>
      <c r="E78" s="242"/>
      <c r="F78" s="246">
        <f>SUM(F66+F72)</f>
        <v>2004027</v>
      </c>
      <c r="G78" s="28"/>
      <c r="I78" s="75"/>
      <c r="K78" s="75"/>
    </row>
    <row r="79" spans="2:11" ht="14.25" customHeight="1" x14ac:dyDescent="0.2">
      <c r="B79" s="285" t="s">
        <v>55</v>
      </c>
      <c r="C79" s="243"/>
      <c r="D79" s="243"/>
      <c r="E79" s="243"/>
      <c r="F79" s="247"/>
      <c r="G79" s="29"/>
      <c r="J79" s="75"/>
    </row>
    <row r="80" spans="2:11" x14ac:dyDescent="0.2">
      <c r="B80" s="212" t="str">
        <f t="shared" ref="B80:B91" si="27">B66</f>
        <v>2023. évi eredeti előirányzat</v>
      </c>
      <c r="C80" s="241">
        <f t="shared" ref="C80:C85" si="28">SUM(C94+C101+C108+C115+C122+C129+C136+C143)</f>
        <v>1933891</v>
      </c>
      <c r="D80" s="241">
        <f t="shared" ref="D80:D85" si="29">SUM(D94+D101+D108+D115+D129)</f>
        <v>256051</v>
      </c>
      <c r="E80" s="241">
        <f t="shared" ref="E80:E85" si="30">SUM(D80:D80)</f>
        <v>256051</v>
      </c>
      <c r="F80" s="245">
        <f t="shared" ref="F80:F85" si="31">SUM(C80+E80)</f>
        <v>2189942</v>
      </c>
      <c r="G80" s="164">
        <f t="shared" ref="G80:G85" si="32">SUM(F94+F101+F108+F115+F122+F129+F136+F143)</f>
        <v>2189942</v>
      </c>
      <c r="H80" s="213">
        <f t="shared" ref="H80:H85" si="33">SUM(E94+E101+E108+E115)</f>
        <v>255539</v>
      </c>
      <c r="I80" s="37">
        <f>SUM(F94+F101+F108+F115+F122+F129+F136+F143)</f>
        <v>2189942</v>
      </c>
    </row>
    <row r="81" spans="2:11" hidden="1" x14ac:dyDescent="0.2">
      <c r="B81" s="212" t="str">
        <f t="shared" si="27"/>
        <v>Módosított előirányzat 2022.06.hó</v>
      </c>
      <c r="C81" s="241" t="e">
        <f t="shared" si="28"/>
        <v>#REF!</v>
      </c>
      <c r="D81" s="241" t="e">
        <f t="shared" si="29"/>
        <v>#REF!</v>
      </c>
      <c r="E81" s="241" t="e">
        <f t="shared" si="30"/>
        <v>#REF!</v>
      </c>
      <c r="F81" s="245" t="e">
        <f t="shared" si="31"/>
        <v>#REF!</v>
      </c>
      <c r="G81" s="164" t="e">
        <f t="shared" si="32"/>
        <v>#REF!</v>
      </c>
      <c r="H81" s="213" t="e">
        <f t="shared" si="33"/>
        <v>#REF!</v>
      </c>
    </row>
    <row r="82" spans="2:11" hidden="1" x14ac:dyDescent="0.2">
      <c r="B82" s="212" t="str">
        <f t="shared" si="27"/>
        <v>Módosított előirányzat 2022.10.hó</v>
      </c>
      <c r="C82" s="241" t="e">
        <f t="shared" si="28"/>
        <v>#REF!</v>
      </c>
      <c r="D82" s="241" t="e">
        <f t="shared" si="29"/>
        <v>#REF!</v>
      </c>
      <c r="E82" s="241" t="e">
        <f t="shared" si="30"/>
        <v>#REF!</v>
      </c>
      <c r="F82" s="245" t="e">
        <f t="shared" si="31"/>
        <v>#REF!</v>
      </c>
      <c r="G82" s="164" t="e">
        <f t="shared" si="32"/>
        <v>#REF!</v>
      </c>
      <c r="H82" s="213" t="e">
        <f t="shared" si="33"/>
        <v>#REF!</v>
      </c>
    </row>
    <row r="83" spans="2:11" hidden="1" x14ac:dyDescent="0.2">
      <c r="B83" s="212" t="str">
        <f t="shared" si="27"/>
        <v>Módosított előirányzat 2021.12.31</v>
      </c>
      <c r="C83" s="241" t="e">
        <f t="shared" si="28"/>
        <v>#REF!</v>
      </c>
      <c r="D83" s="241" t="e">
        <f t="shared" si="29"/>
        <v>#REF!</v>
      </c>
      <c r="E83" s="241" t="e">
        <f t="shared" si="30"/>
        <v>#REF!</v>
      </c>
      <c r="F83" s="245" t="e">
        <f t="shared" si="31"/>
        <v>#REF!</v>
      </c>
      <c r="G83" s="164" t="e">
        <f t="shared" si="32"/>
        <v>#REF!</v>
      </c>
      <c r="H83" s="213" t="e">
        <f t="shared" si="33"/>
        <v>#REF!</v>
      </c>
    </row>
    <row r="84" spans="2:11" hidden="1" x14ac:dyDescent="0.2">
      <c r="B84" s="212" t="str">
        <f t="shared" si="27"/>
        <v>Beszámoló előtti ei.mód.</v>
      </c>
      <c r="C84" s="241">
        <f t="shared" si="28"/>
        <v>0</v>
      </c>
      <c r="D84" s="241">
        <f t="shared" si="29"/>
        <v>0</v>
      </c>
      <c r="E84" s="241">
        <f t="shared" si="30"/>
        <v>0</v>
      </c>
      <c r="F84" s="245">
        <f t="shared" si="31"/>
        <v>0</v>
      </c>
      <c r="G84" s="164">
        <f t="shared" si="32"/>
        <v>0</v>
      </c>
      <c r="H84" s="213">
        <f t="shared" si="33"/>
        <v>0</v>
      </c>
    </row>
    <row r="85" spans="2:11" hidden="1" x14ac:dyDescent="0.2">
      <c r="B85" s="212" t="str">
        <f t="shared" si="27"/>
        <v>Teljesítés 2021.12.31.</v>
      </c>
      <c r="C85" s="241" t="e">
        <f t="shared" si="28"/>
        <v>#REF!</v>
      </c>
      <c r="D85" s="241" t="e">
        <f t="shared" si="29"/>
        <v>#REF!</v>
      </c>
      <c r="E85" s="241" t="e">
        <f t="shared" si="30"/>
        <v>#REF!</v>
      </c>
      <c r="F85" s="245" t="e">
        <f t="shared" si="31"/>
        <v>#REF!</v>
      </c>
      <c r="G85" s="164" t="e">
        <f t="shared" si="32"/>
        <v>#REF!</v>
      </c>
      <c r="H85" s="213" t="e">
        <f t="shared" si="33"/>
        <v>#REF!</v>
      </c>
    </row>
    <row r="86" spans="2:11" ht="13.5" thickBot="1" x14ac:dyDescent="0.25">
      <c r="B86" s="212" t="str">
        <f t="shared" si="27"/>
        <v xml:space="preserve">Intézményfinanszírozás </v>
      </c>
      <c r="C86" s="241"/>
      <c r="D86" s="241"/>
      <c r="E86" s="241"/>
      <c r="F86" s="245">
        <f t="shared" ref="F86:F91" si="34">F72</f>
        <v>-185915</v>
      </c>
      <c r="G86" s="28"/>
      <c r="I86" s="75"/>
    </row>
    <row r="87" spans="2:11" hidden="1" x14ac:dyDescent="0.2">
      <c r="B87" s="212" t="str">
        <f t="shared" si="27"/>
        <v>Módosított előirányzat 2022.06.hó</v>
      </c>
      <c r="C87" s="240"/>
      <c r="D87" s="240"/>
      <c r="E87" s="240"/>
      <c r="F87" s="245" t="e">
        <f t="shared" si="34"/>
        <v>#REF!</v>
      </c>
      <c r="G87" s="28"/>
    </row>
    <row r="88" spans="2:11" ht="13.5" hidden="1" thickBot="1" x14ac:dyDescent="0.25">
      <c r="B88" s="212" t="str">
        <f t="shared" si="27"/>
        <v>Módosított előirányzat 2022.10.hó</v>
      </c>
      <c r="C88" s="240"/>
      <c r="D88" s="240"/>
      <c r="E88" s="240"/>
      <c r="F88" s="245" t="e">
        <f t="shared" si="34"/>
        <v>#REF!</v>
      </c>
      <c r="G88" s="28"/>
    </row>
    <row r="89" spans="2:11" hidden="1" x14ac:dyDescent="0.2">
      <c r="B89" s="212" t="str">
        <f t="shared" si="27"/>
        <v>Módosított előirányzat 2021.12.31</v>
      </c>
      <c r="C89" s="240"/>
      <c r="D89" s="240"/>
      <c r="E89" s="240"/>
      <c r="F89" s="245" t="e">
        <f t="shared" si="34"/>
        <v>#REF!</v>
      </c>
      <c r="G89" s="28"/>
    </row>
    <row r="90" spans="2:11" hidden="1" x14ac:dyDescent="0.2">
      <c r="B90" s="212" t="str">
        <f t="shared" si="27"/>
        <v>Beszámoló előtti ei.mód.</v>
      </c>
      <c r="C90" s="240"/>
      <c r="D90" s="240"/>
      <c r="E90" s="240"/>
      <c r="F90" s="245">
        <f t="shared" si="34"/>
        <v>0</v>
      </c>
      <c r="G90" s="28"/>
    </row>
    <row r="91" spans="2:11" ht="13.5" hidden="1" thickBot="1" x14ac:dyDescent="0.25">
      <c r="B91" s="212" t="str">
        <f t="shared" si="27"/>
        <v>Teljesítés 2021.12.31.</v>
      </c>
      <c r="C91" s="240"/>
      <c r="D91" s="240"/>
      <c r="E91" s="240"/>
      <c r="F91" s="245" t="e">
        <f t="shared" si="34"/>
        <v>#REF!</v>
      </c>
      <c r="G91" s="28"/>
    </row>
    <row r="92" spans="2:11" ht="14.25" customHeight="1" thickBot="1" x14ac:dyDescent="0.25">
      <c r="B92" s="76" t="s">
        <v>56</v>
      </c>
      <c r="C92" s="242"/>
      <c r="D92" s="242"/>
      <c r="E92" s="242"/>
      <c r="F92" s="246">
        <f>SUM(F80+F86)</f>
        <v>2004027</v>
      </c>
      <c r="G92" s="29"/>
      <c r="H92" s="75"/>
    </row>
    <row r="93" spans="2:11" ht="13.5" customHeight="1" x14ac:dyDescent="0.2">
      <c r="B93" s="274" t="s">
        <v>34</v>
      </c>
      <c r="C93" s="154"/>
      <c r="D93" s="154"/>
      <c r="E93" s="154"/>
      <c r="F93" s="154"/>
      <c r="G93" s="29"/>
      <c r="K93" s="75"/>
    </row>
    <row r="94" spans="2:11" ht="13.5" customHeight="1" x14ac:dyDescent="0.2">
      <c r="B94" s="222" t="str">
        <f>B10</f>
        <v>2023. évi eredeti előirányzat</v>
      </c>
      <c r="C94" s="238">
        <f>SUM('2.működés'!C113)</f>
        <v>45999</v>
      </c>
      <c r="D94" s="238">
        <f>SUM('9.Hivatal'!J23)</f>
        <v>192994</v>
      </c>
      <c r="E94" s="237">
        <f t="shared" ref="E94:E99" si="35">SUM(D94)</f>
        <v>192994</v>
      </c>
      <c r="F94" s="237">
        <f t="shared" ref="F94:F99" si="36">SUM(C94+E94)</f>
        <v>238993</v>
      </c>
      <c r="G94" s="29"/>
      <c r="H94" s="555"/>
      <c r="I94" s="37">
        <f>SUM(E94+E101+E108+E115)</f>
        <v>255539</v>
      </c>
    </row>
    <row r="95" spans="2:11" ht="13.5" hidden="1" customHeight="1" x14ac:dyDescent="0.2">
      <c r="B95" s="222" t="str">
        <f>B67</f>
        <v>Módosított előirányzat 2022.06.hó</v>
      </c>
      <c r="C95" s="238" t="e">
        <f>SUM('2.működés'!#REF!)</f>
        <v>#REF!</v>
      </c>
      <c r="D95" s="238" t="e">
        <f>SUM('9.Hivatal'!#REF!)</f>
        <v>#REF!</v>
      </c>
      <c r="E95" s="237" t="e">
        <f t="shared" si="35"/>
        <v>#REF!</v>
      </c>
      <c r="F95" s="237" t="e">
        <f t="shared" si="36"/>
        <v>#REF!</v>
      </c>
      <c r="G95" s="29"/>
    </row>
    <row r="96" spans="2:11" ht="13.5" hidden="1" customHeight="1" x14ac:dyDescent="0.2">
      <c r="B96" s="222" t="str">
        <f>B68</f>
        <v>Módosított előirányzat 2022.10.hó</v>
      </c>
      <c r="C96" s="238" t="e">
        <f>SUM('2.működés'!#REF!)</f>
        <v>#REF!</v>
      </c>
      <c r="D96" s="238" t="e">
        <f>SUM('9.Hivatal'!#REF!)</f>
        <v>#REF!</v>
      </c>
      <c r="E96" s="237" t="e">
        <f t="shared" si="35"/>
        <v>#REF!</v>
      </c>
      <c r="F96" s="237" t="e">
        <f t="shared" si="36"/>
        <v>#REF!</v>
      </c>
      <c r="G96" s="29"/>
    </row>
    <row r="97" spans="2:7" ht="13.5" hidden="1" customHeight="1" x14ac:dyDescent="0.2">
      <c r="B97" s="222" t="str">
        <f>B69</f>
        <v>Módosított előirányzat 2021.12.31</v>
      </c>
      <c r="C97" s="238" t="e">
        <f>SUM('2.működés'!#REF!)</f>
        <v>#REF!</v>
      </c>
      <c r="D97" s="238" t="e">
        <f>SUM('9.Hivatal'!#REF!)</f>
        <v>#REF!</v>
      </c>
      <c r="E97" s="237" t="e">
        <f t="shared" si="35"/>
        <v>#REF!</v>
      </c>
      <c r="F97" s="237" t="e">
        <f t="shared" si="36"/>
        <v>#REF!</v>
      </c>
      <c r="G97" s="29"/>
    </row>
    <row r="98" spans="2:7" ht="13.5" hidden="1" customHeight="1" x14ac:dyDescent="0.2">
      <c r="B98" s="222" t="str">
        <f>B70</f>
        <v>Beszámoló előtti ei.mód.</v>
      </c>
      <c r="C98" s="238"/>
      <c r="D98" s="238"/>
      <c r="E98" s="237">
        <f t="shared" si="35"/>
        <v>0</v>
      </c>
      <c r="F98" s="237">
        <f t="shared" si="36"/>
        <v>0</v>
      </c>
      <c r="G98" s="29"/>
    </row>
    <row r="99" spans="2:7" hidden="1" x14ac:dyDescent="0.2">
      <c r="B99" s="222" t="str">
        <f>B71</f>
        <v>Teljesítés 2021.12.31.</v>
      </c>
      <c r="C99" s="238" t="e">
        <f>SUM('2.működés'!#REF!)</f>
        <v>#REF!</v>
      </c>
      <c r="D99" s="238" t="e">
        <f>SUM('9.Hivatal'!#REF!)</f>
        <v>#REF!</v>
      </c>
      <c r="E99" s="237" t="e">
        <f t="shared" si="35"/>
        <v>#REF!</v>
      </c>
      <c r="F99" s="237" t="e">
        <f t="shared" si="36"/>
        <v>#REF!</v>
      </c>
      <c r="G99" s="29"/>
    </row>
    <row r="100" spans="2:7" ht="14.25" customHeight="1" x14ac:dyDescent="0.2">
      <c r="B100" s="274" t="s">
        <v>437</v>
      </c>
      <c r="C100" s="238"/>
      <c r="D100" s="238"/>
      <c r="E100" s="237"/>
      <c r="F100" s="237"/>
      <c r="G100" s="28"/>
    </row>
    <row r="101" spans="2:7" ht="13.5" customHeight="1" x14ac:dyDescent="0.2">
      <c r="B101" s="222" t="str">
        <f t="shared" ref="B101:B106" si="37">B94</f>
        <v>2023. évi eredeti előirányzat</v>
      </c>
      <c r="C101" s="238">
        <f>SUM('2.működés'!C116)</f>
        <v>6321</v>
      </c>
      <c r="D101" s="238">
        <f>SUM('9.Hivatal'!J26)</f>
        <v>25300</v>
      </c>
      <c r="E101" s="237">
        <f t="shared" ref="E101:E106" si="38">SUM(D101)</f>
        <v>25300</v>
      </c>
      <c r="F101" s="237">
        <f t="shared" ref="F101:F106" si="39">SUM(C101+E101)</f>
        <v>31621</v>
      </c>
      <c r="G101" s="28"/>
    </row>
    <row r="102" spans="2:7" ht="13.5" hidden="1" customHeight="1" x14ac:dyDescent="0.2">
      <c r="B102" s="222" t="str">
        <f t="shared" si="37"/>
        <v>Módosított előirányzat 2022.06.hó</v>
      </c>
      <c r="C102" s="238" t="e">
        <f>SUM('2.működés'!#REF!)</f>
        <v>#REF!</v>
      </c>
      <c r="D102" s="238" t="e">
        <f>SUM('9.Hivatal'!#REF!)</f>
        <v>#REF!</v>
      </c>
      <c r="E102" s="237" t="e">
        <f t="shared" si="38"/>
        <v>#REF!</v>
      </c>
      <c r="F102" s="237" t="e">
        <f t="shared" si="39"/>
        <v>#REF!</v>
      </c>
      <c r="G102" s="28"/>
    </row>
    <row r="103" spans="2:7" ht="13.5" hidden="1" customHeight="1" x14ac:dyDescent="0.2">
      <c r="B103" s="222" t="str">
        <f t="shared" si="37"/>
        <v>Módosított előirányzat 2022.10.hó</v>
      </c>
      <c r="C103" s="238" t="e">
        <f>SUM('2.működés'!#REF!)</f>
        <v>#REF!</v>
      </c>
      <c r="D103" s="238" t="e">
        <f>SUM('9.Hivatal'!#REF!)</f>
        <v>#REF!</v>
      </c>
      <c r="E103" s="237" t="e">
        <f t="shared" si="38"/>
        <v>#REF!</v>
      </c>
      <c r="F103" s="237" t="e">
        <f t="shared" si="39"/>
        <v>#REF!</v>
      </c>
      <c r="G103" s="28"/>
    </row>
    <row r="104" spans="2:7" ht="13.5" hidden="1" customHeight="1" x14ac:dyDescent="0.2">
      <c r="B104" s="222" t="str">
        <f t="shared" si="37"/>
        <v>Módosított előirányzat 2021.12.31</v>
      </c>
      <c r="C104" s="238" t="e">
        <f>SUM('2.működés'!#REF!)</f>
        <v>#REF!</v>
      </c>
      <c r="D104" s="238" t="e">
        <f>SUM('9.Hivatal'!#REF!)</f>
        <v>#REF!</v>
      </c>
      <c r="E104" s="237" t="e">
        <f t="shared" si="38"/>
        <v>#REF!</v>
      </c>
      <c r="F104" s="237" t="e">
        <f t="shared" si="39"/>
        <v>#REF!</v>
      </c>
      <c r="G104" s="28"/>
    </row>
    <row r="105" spans="2:7" ht="13.5" hidden="1" customHeight="1" x14ac:dyDescent="0.2">
      <c r="B105" s="222" t="str">
        <f t="shared" si="37"/>
        <v>Beszámoló előtti ei.mód.</v>
      </c>
      <c r="C105" s="238"/>
      <c r="D105" s="238"/>
      <c r="E105" s="237">
        <f t="shared" si="38"/>
        <v>0</v>
      </c>
      <c r="F105" s="237">
        <f t="shared" si="39"/>
        <v>0</v>
      </c>
      <c r="G105" s="28"/>
    </row>
    <row r="106" spans="2:7" hidden="1" x14ac:dyDescent="0.2">
      <c r="B106" s="222" t="str">
        <f t="shared" si="37"/>
        <v>Teljesítés 2021.12.31.</v>
      </c>
      <c r="C106" s="238" t="e">
        <f>SUM('2.működés'!#REF!)</f>
        <v>#REF!</v>
      </c>
      <c r="D106" s="238" t="e">
        <f>SUM('9.Hivatal'!#REF!)</f>
        <v>#REF!</v>
      </c>
      <c r="E106" s="237" t="e">
        <f t="shared" si="38"/>
        <v>#REF!</v>
      </c>
      <c r="F106" s="237" t="e">
        <f t="shared" si="39"/>
        <v>#REF!</v>
      </c>
      <c r="G106" s="28"/>
    </row>
    <row r="107" spans="2:7" ht="13.5" customHeight="1" x14ac:dyDescent="0.2">
      <c r="B107" s="272" t="s">
        <v>39</v>
      </c>
      <c r="C107" s="238"/>
      <c r="D107" s="238"/>
      <c r="E107" s="237"/>
      <c r="F107" s="237"/>
      <c r="G107" s="28"/>
    </row>
    <row r="108" spans="2:7" ht="13.5" customHeight="1" x14ac:dyDescent="0.2">
      <c r="B108" s="222" t="str">
        <f t="shared" ref="B108:B113" si="40">B101</f>
        <v>2023. évi eredeti előirányzat</v>
      </c>
      <c r="C108" s="238">
        <f>SUM('2.működés'!C119)</f>
        <v>441542</v>
      </c>
      <c r="D108" s="238">
        <f>SUM('9.Hivatal'!J73)</f>
        <v>36245</v>
      </c>
      <c r="E108" s="237">
        <f t="shared" ref="E108:E113" si="41">SUM(D108)</f>
        <v>36245</v>
      </c>
      <c r="F108" s="237">
        <f t="shared" ref="F108:F113" si="42">SUM(C108+E108)</f>
        <v>477787</v>
      </c>
      <c r="G108" s="28"/>
    </row>
    <row r="109" spans="2:7" ht="13.5" hidden="1" customHeight="1" x14ac:dyDescent="0.2">
      <c r="B109" s="222" t="str">
        <f t="shared" si="40"/>
        <v>Módosított előirányzat 2022.06.hó</v>
      </c>
      <c r="C109" s="238" t="e">
        <f>SUM('2.működés'!#REF!)</f>
        <v>#REF!</v>
      </c>
      <c r="D109" s="238" t="e">
        <f>SUM('9.Hivatal'!#REF!)</f>
        <v>#REF!</v>
      </c>
      <c r="E109" s="237" t="e">
        <f t="shared" si="41"/>
        <v>#REF!</v>
      </c>
      <c r="F109" s="237" t="e">
        <f t="shared" si="42"/>
        <v>#REF!</v>
      </c>
      <c r="G109" s="28"/>
    </row>
    <row r="110" spans="2:7" ht="13.5" hidden="1" customHeight="1" x14ac:dyDescent="0.2">
      <c r="B110" s="222" t="str">
        <f t="shared" si="40"/>
        <v>Módosított előirányzat 2022.10.hó</v>
      </c>
      <c r="C110" s="238" t="e">
        <f>SUM('2.működés'!#REF!)</f>
        <v>#REF!</v>
      </c>
      <c r="D110" s="238" t="e">
        <f>SUM('9.Hivatal'!#REF!)</f>
        <v>#REF!</v>
      </c>
      <c r="E110" s="237" t="e">
        <f t="shared" si="41"/>
        <v>#REF!</v>
      </c>
      <c r="F110" s="237" t="e">
        <f t="shared" si="42"/>
        <v>#REF!</v>
      </c>
      <c r="G110" s="28"/>
    </row>
    <row r="111" spans="2:7" ht="13.5" hidden="1" customHeight="1" x14ac:dyDescent="0.2">
      <c r="B111" s="222" t="str">
        <f t="shared" si="40"/>
        <v>Módosított előirányzat 2021.12.31</v>
      </c>
      <c r="C111" s="238" t="e">
        <f>SUM('2.működés'!#REF!)</f>
        <v>#REF!</v>
      </c>
      <c r="D111" s="238" t="e">
        <f>SUM('9.Hivatal'!#REF!)</f>
        <v>#REF!</v>
      </c>
      <c r="E111" s="237" t="e">
        <f t="shared" si="41"/>
        <v>#REF!</v>
      </c>
      <c r="F111" s="237" t="e">
        <f t="shared" si="42"/>
        <v>#REF!</v>
      </c>
      <c r="G111" s="28"/>
    </row>
    <row r="112" spans="2:7" ht="13.5" hidden="1" customHeight="1" x14ac:dyDescent="0.2">
      <c r="B112" s="222" t="str">
        <f t="shared" si="40"/>
        <v>Beszámoló előtti ei.mód.</v>
      </c>
      <c r="C112" s="238"/>
      <c r="D112" s="238"/>
      <c r="E112" s="237">
        <f t="shared" si="41"/>
        <v>0</v>
      </c>
      <c r="F112" s="237">
        <f t="shared" si="42"/>
        <v>0</v>
      </c>
      <c r="G112" s="28"/>
    </row>
    <row r="113" spans="2:7" hidden="1" x14ac:dyDescent="0.2">
      <c r="B113" s="222" t="str">
        <f t="shared" si="40"/>
        <v>Teljesítés 2021.12.31.</v>
      </c>
      <c r="C113" s="238" t="e">
        <f>SUM('2.működés'!#REF!)</f>
        <v>#REF!</v>
      </c>
      <c r="D113" s="238" t="e">
        <f>SUM('9.Hivatal'!#REF!)</f>
        <v>#REF!</v>
      </c>
      <c r="E113" s="237" t="e">
        <f t="shared" si="41"/>
        <v>#REF!</v>
      </c>
      <c r="F113" s="237" t="e">
        <f t="shared" si="42"/>
        <v>#REF!</v>
      </c>
      <c r="G113" s="28"/>
    </row>
    <row r="114" spans="2:7" ht="25.5" customHeight="1" x14ac:dyDescent="0.2">
      <c r="B114" s="273" t="s">
        <v>357</v>
      </c>
      <c r="C114" s="238"/>
      <c r="D114" s="238"/>
      <c r="E114" s="237"/>
      <c r="F114" s="237"/>
      <c r="G114" s="28"/>
    </row>
    <row r="115" spans="2:7" ht="13.5" customHeight="1" x14ac:dyDescent="0.2">
      <c r="B115" s="222" t="str">
        <f t="shared" ref="B115:B120" si="43">B108</f>
        <v>2023. évi eredeti előirányzat</v>
      </c>
      <c r="C115" s="238">
        <f>SUM('3.felh'!C45+'3.felh'!C66)</f>
        <v>549540</v>
      </c>
      <c r="D115" s="238">
        <f>SUM('9.Hivatal'!J77)</f>
        <v>1000</v>
      </c>
      <c r="E115" s="237">
        <f t="shared" ref="E115:E120" si="44">SUM(D115)</f>
        <v>1000</v>
      </c>
      <c r="F115" s="237">
        <f t="shared" ref="F115:F120" si="45">SUM(C115+E115)</f>
        <v>550540</v>
      </c>
      <c r="G115" s="28"/>
    </row>
    <row r="116" spans="2:7" ht="13.5" hidden="1" customHeight="1" x14ac:dyDescent="0.2">
      <c r="B116" s="222" t="str">
        <f t="shared" si="43"/>
        <v>Módosított előirányzat 2022.06.hó</v>
      </c>
      <c r="C116" s="238" t="e">
        <f>SUM('3.felh'!#REF!+'3.felh'!#REF!)+'3.felh'!#REF!</f>
        <v>#REF!</v>
      </c>
      <c r="D116" s="238" t="e">
        <f>SUM('9.Hivatal'!#REF!)</f>
        <v>#REF!</v>
      </c>
      <c r="E116" s="237" t="e">
        <f t="shared" si="44"/>
        <v>#REF!</v>
      </c>
      <c r="F116" s="237" t="e">
        <f t="shared" si="45"/>
        <v>#REF!</v>
      </c>
      <c r="G116" s="28"/>
    </row>
    <row r="117" spans="2:7" ht="13.5" hidden="1" customHeight="1" x14ac:dyDescent="0.2">
      <c r="B117" s="222" t="str">
        <f t="shared" si="43"/>
        <v>Módosított előirányzat 2022.10.hó</v>
      </c>
      <c r="C117" s="238" t="e">
        <f>SUM('3.felh'!#REF!+'3.felh'!#REF!)+'3.felh'!#REF!+'3.felh'!#REF!</f>
        <v>#REF!</v>
      </c>
      <c r="D117" s="238" t="e">
        <f>SUM('9.Hivatal'!#REF!)</f>
        <v>#REF!</v>
      </c>
      <c r="E117" s="237" t="e">
        <f t="shared" si="44"/>
        <v>#REF!</v>
      </c>
      <c r="F117" s="237" t="e">
        <f t="shared" si="45"/>
        <v>#REF!</v>
      </c>
      <c r="G117" s="28"/>
    </row>
    <row r="118" spans="2:7" ht="13.5" hidden="1" customHeight="1" x14ac:dyDescent="0.2">
      <c r="B118" s="222" t="str">
        <f t="shared" si="43"/>
        <v>Módosított előirányzat 2021.12.31</v>
      </c>
      <c r="C118" s="238" t="e">
        <f>SUM('3.felh'!#REF!+'3.felh'!#REF!)</f>
        <v>#REF!</v>
      </c>
      <c r="D118" s="238" t="e">
        <f>SUM('9.Hivatal'!#REF!)</f>
        <v>#REF!</v>
      </c>
      <c r="E118" s="237" t="e">
        <f t="shared" si="44"/>
        <v>#REF!</v>
      </c>
      <c r="F118" s="237" t="e">
        <f t="shared" si="45"/>
        <v>#REF!</v>
      </c>
      <c r="G118" s="28"/>
    </row>
    <row r="119" spans="2:7" ht="13.5" hidden="1" customHeight="1" x14ac:dyDescent="0.2">
      <c r="B119" s="222" t="str">
        <f t="shared" si="43"/>
        <v>Beszámoló előtti ei.mód.</v>
      </c>
      <c r="C119" s="238"/>
      <c r="D119" s="238"/>
      <c r="E119" s="237">
        <f t="shared" si="44"/>
        <v>0</v>
      </c>
      <c r="F119" s="237">
        <f t="shared" si="45"/>
        <v>0</v>
      </c>
      <c r="G119" s="28"/>
    </row>
    <row r="120" spans="2:7" hidden="1" x14ac:dyDescent="0.2">
      <c r="B120" s="222" t="str">
        <f t="shared" si="43"/>
        <v>Teljesítés 2021.12.31.</v>
      </c>
      <c r="C120" s="238" t="e">
        <f>SUM('3.felh'!#REF!+'3.felh'!#REF!)</f>
        <v>#REF!</v>
      </c>
      <c r="D120" s="238" t="e">
        <f>SUM('9.Hivatal'!#REF!)</f>
        <v>#REF!</v>
      </c>
      <c r="E120" s="237" t="e">
        <f t="shared" si="44"/>
        <v>#REF!</v>
      </c>
      <c r="F120" s="237" t="e">
        <f t="shared" si="45"/>
        <v>#REF!</v>
      </c>
      <c r="G120" s="28"/>
    </row>
    <row r="121" spans="2:7" ht="13.5" customHeight="1" x14ac:dyDescent="0.2">
      <c r="B121" s="271" t="s">
        <v>439</v>
      </c>
      <c r="C121" s="238"/>
      <c r="D121" s="238"/>
      <c r="E121" s="237"/>
      <c r="F121" s="237"/>
      <c r="G121" s="28"/>
    </row>
    <row r="122" spans="2:7" ht="13.5" customHeight="1" x14ac:dyDescent="0.2">
      <c r="B122" s="222" t="str">
        <f t="shared" ref="B122:B127" si="46">B115</f>
        <v>2023. évi eredeti előirányzat</v>
      </c>
      <c r="C122" s="238">
        <f>SUM('8.Önk.'!U93)</f>
        <v>11500</v>
      </c>
      <c r="D122" s="238"/>
      <c r="E122" s="237"/>
      <c r="F122" s="237">
        <f t="shared" ref="F122:F127" si="47">SUM(C122)</f>
        <v>11500</v>
      </c>
      <c r="G122" s="28"/>
    </row>
    <row r="123" spans="2:7" ht="13.5" hidden="1" customHeight="1" x14ac:dyDescent="0.2">
      <c r="B123" s="222" t="str">
        <f t="shared" si="46"/>
        <v>Módosított előirányzat 2022.06.hó</v>
      </c>
      <c r="C123" s="238" t="e">
        <f>SUM('8.Önk.'!#REF!)</f>
        <v>#REF!</v>
      </c>
      <c r="D123" s="238"/>
      <c r="E123" s="237"/>
      <c r="F123" s="237" t="e">
        <f t="shared" si="47"/>
        <v>#REF!</v>
      </c>
      <c r="G123" s="28"/>
    </row>
    <row r="124" spans="2:7" ht="13.5" hidden="1" customHeight="1" x14ac:dyDescent="0.2">
      <c r="B124" s="222" t="str">
        <f t="shared" si="46"/>
        <v>Módosított előirányzat 2022.10.hó</v>
      </c>
      <c r="C124" s="238" t="e">
        <f>SUM('8.Önk.'!#REF!)</f>
        <v>#REF!</v>
      </c>
      <c r="D124" s="238"/>
      <c r="E124" s="237"/>
      <c r="F124" s="237" t="e">
        <f t="shared" si="47"/>
        <v>#REF!</v>
      </c>
      <c r="G124" s="28"/>
    </row>
    <row r="125" spans="2:7" ht="13.5" hidden="1" customHeight="1" x14ac:dyDescent="0.2">
      <c r="B125" s="222" t="str">
        <f t="shared" si="46"/>
        <v>Módosított előirányzat 2021.12.31</v>
      </c>
      <c r="C125" s="238" t="e">
        <f>SUM('8.Önk.'!#REF!)</f>
        <v>#REF!</v>
      </c>
      <c r="D125" s="238"/>
      <c r="E125" s="237"/>
      <c r="F125" s="237" t="e">
        <f t="shared" si="47"/>
        <v>#REF!</v>
      </c>
      <c r="G125" s="28"/>
    </row>
    <row r="126" spans="2:7" ht="13.5" hidden="1" customHeight="1" x14ac:dyDescent="0.2">
      <c r="B126" s="222" t="str">
        <f t="shared" si="46"/>
        <v>Beszámoló előtti ei.mód.</v>
      </c>
      <c r="C126" s="238"/>
      <c r="D126" s="238"/>
      <c r="E126" s="237"/>
      <c r="F126" s="237">
        <f t="shared" si="47"/>
        <v>0</v>
      </c>
      <c r="G126" s="28"/>
    </row>
    <row r="127" spans="2:7" hidden="1" x14ac:dyDescent="0.2">
      <c r="B127" s="222" t="str">
        <f t="shared" si="46"/>
        <v>Teljesítés 2021.12.31.</v>
      </c>
      <c r="C127" s="238" t="e">
        <f>SUM('8.Önk.'!#REF!)</f>
        <v>#REF!</v>
      </c>
      <c r="D127" s="238"/>
      <c r="E127" s="237"/>
      <c r="F127" s="237" t="e">
        <f t="shared" si="47"/>
        <v>#REF!</v>
      </c>
      <c r="G127" s="28"/>
    </row>
    <row r="128" spans="2:7" ht="13.5" customHeight="1" x14ac:dyDescent="0.2">
      <c r="B128" s="272" t="s">
        <v>40</v>
      </c>
      <c r="C128" s="238"/>
      <c r="D128" s="238"/>
      <c r="E128" s="237"/>
      <c r="F128" s="237"/>
      <c r="G128" s="28"/>
    </row>
    <row r="129" spans="2:7" ht="13.5" customHeight="1" x14ac:dyDescent="0.2">
      <c r="B129" s="222" t="str">
        <f t="shared" ref="B129:B134" si="48">B122</f>
        <v>2023. évi eredeti előirányzat</v>
      </c>
      <c r="C129" s="238">
        <f>SUM('4. Átadott p.eszk.'!B66)</f>
        <v>479557</v>
      </c>
      <c r="D129" s="238">
        <f>'9.Hivatal'!J75</f>
        <v>512</v>
      </c>
      <c r="E129" s="237">
        <f t="shared" ref="E129:E134" si="49">SUM(D129)</f>
        <v>512</v>
      </c>
      <c r="F129" s="237">
        <f t="shared" ref="F129:F134" si="50">SUM(C129+E129)</f>
        <v>480069</v>
      </c>
      <c r="G129" s="28"/>
    </row>
    <row r="130" spans="2:7" ht="13.5" hidden="1" customHeight="1" x14ac:dyDescent="0.2">
      <c r="B130" s="222" t="str">
        <f t="shared" si="48"/>
        <v>Módosított előirányzat 2022.06.hó</v>
      </c>
      <c r="C130" s="238" t="e">
        <f>SUM('4. Átadott p.eszk.'!#REF!)</f>
        <v>#REF!</v>
      </c>
      <c r="D130" s="238" t="e">
        <f>'9.Hivatal'!#REF!</f>
        <v>#REF!</v>
      </c>
      <c r="E130" s="237" t="e">
        <f t="shared" si="49"/>
        <v>#REF!</v>
      </c>
      <c r="F130" s="237" t="e">
        <f t="shared" si="50"/>
        <v>#REF!</v>
      </c>
      <c r="G130" s="28"/>
    </row>
    <row r="131" spans="2:7" ht="13.5" hidden="1" customHeight="1" x14ac:dyDescent="0.2">
      <c r="B131" s="222" t="str">
        <f t="shared" si="48"/>
        <v>Módosított előirányzat 2022.10.hó</v>
      </c>
      <c r="C131" s="238" t="e">
        <f>SUM('4. Átadott p.eszk.'!#REF!)</f>
        <v>#REF!</v>
      </c>
      <c r="D131" s="238" t="e">
        <f>'9.Hivatal'!#REF!</f>
        <v>#REF!</v>
      </c>
      <c r="E131" s="237" t="e">
        <f t="shared" si="49"/>
        <v>#REF!</v>
      </c>
      <c r="F131" s="237" t="e">
        <f t="shared" si="50"/>
        <v>#REF!</v>
      </c>
      <c r="G131" s="28"/>
    </row>
    <row r="132" spans="2:7" ht="13.5" hidden="1" customHeight="1" x14ac:dyDescent="0.2">
      <c r="B132" s="222" t="str">
        <f t="shared" si="48"/>
        <v>Módosított előirányzat 2021.12.31</v>
      </c>
      <c r="C132" s="238" t="e">
        <f>SUM('4. Átadott p.eszk.'!#REF!)</f>
        <v>#REF!</v>
      </c>
      <c r="D132" s="238" t="e">
        <f>'9.Hivatal'!#REF!</f>
        <v>#REF!</v>
      </c>
      <c r="E132" s="237" t="e">
        <f t="shared" si="49"/>
        <v>#REF!</v>
      </c>
      <c r="F132" s="237" t="e">
        <f t="shared" si="50"/>
        <v>#REF!</v>
      </c>
      <c r="G132" s="28"/>
    </row>
    <row r="133" spans="2:7" ht="13.5" hidden="1" customHeight="1" x14ac:dyDescent="0.2">
      <c r="B133" s="222" t="str">
        <f t="shared" si="48"/>
        <v>Beszámoló előtti ei.mód.</v>
      </c>
      <c r="C133" s="238"/>
      <c r="D133" s="238"/>
      <c r="E133" s="237">
        <f t="shared" si="49"/>
        <v>0</v>
      </c>
      <c r="F133" s="237">
        <f t="shared" si="50"/>
        <v>0</v>
      </c>
      <c r="G133" s="28"/>
    </row>
    <row r="134" spans="2:7" hidden="1" x14ac:dyDescent="0.2">
      <c r="B134" s="222" t="str">
        <f t="shared" si="48"/>
        <v>Teljesítés 2021.12.31.</v>
      </c>
      <c r="C134" s="238" t="e">
        <f>SUM('4. Átadott p.eszk.'!#REF!)</f>
        <v>#REF!</v>
      </c>
      <c r="D134" s="238" t="e">
        <f>'9.Hivatal'!#REF!</f>
        <v>#REF!</v>
      </c>
      <c r="E134" s="237" t="e">
        <f t="shared" si="49"/>
        <v>#REF!</v>
      </c>
      <c r="F134" s="237" t="e">
        <f t="shared" si="50"/>
        <v>#REF!</v>
      </c>
      <c r="G134" s="28"/>
    </row>
    <row r="135" spans="2:7" ht="13.5" customHeight="1" x14ac:dyDescent="0.2">
      <c r="B135" s="272" t="s">
        <v>57</v>
      </c>
      <c r="C135" s="238"/>
      <c r="D135" s="238"/>
      <c r="E135" s="237"/>
      <c r="F135" s="237"/>
      <c r="G135" s="28"/>
    </row>
    <row r="136" spans="2:7" ht="13.5" customHeight="1" x14ac:dyDescent="0.2">
      <c r="B136" s="222" t="str">
        <f t="shared" ref="B136:B141" si="51">B129</f>
        <v>2023. évi eredeti előirányzat</v>
      </c>
      <c r="C136" s="238">
        <f>SUM('1.Bev-kiad.'!C78+-'7.finanszírozás.'!F72)</f>
        <v>263911</v>
      </c>
      <c r="D136" s="238"/>
      <c r="E136" s="237"/>
      <c r="F136" s="237">
        <f t="shared" ref="F136:F141" si="52">SUM(C136)</f>
        <v>263911</v>
      </c>
      <c r="G136" s="28"/>
    </row>
    <row r="137" spans="2:7" ht="13.5" hidden="1" customHeight="1" x14ac:dyDescent="0.2">
      <c r="B137" s="222" t="str">
        <f t="shared" si="51"/>
        <v>Módosított előirányzat 2022.06.hó</v>
      </c>
      <c r="C137" s="238" t="e">
        <f>SUM('1.Bev-kiad.'!#REF!+-'7.finanszírozás.'!F73)</f>
        <v>#REF!</v>
      </c>
      <c r="D137" s="238"/>
      <c r="E137" s="237"/>
      <c r="F137" s="237" t="e">
        <f t="shared" si="52"/>
        <v>#REF!</v>
      </c>
      <c r="G137" s="28"/>
    </row>
    <row r="138" spans="2:7" ht="13.5" hidden="1" customHeight="1" x14ac:dyDescent="0.2">
      <c r="B138" s="222" t="str">
        <f t="shared" si="51"/>
        <v>Módosított előirányzat 2022.10.hó</v>
      </c>
      <c r="C138" s="238" t="e">
        <f>SUM('1.Bev-kiad.'!#REF!+-'7.finanszírozás.'!F74)</f>
        <v>#REF!</v>
      </c>
      <c r="D138" s="238"/>
      <c r="E138" s="237"/>
      <c r="F138" s="237" t="e">
        <f t="shared" si="52"/>
        <v>#REF!</v>
      </c>
      <c r="G138" s="28"/>
    </row>
    <row r="139" spans="2:7" ht="13.5" hidden="1" customHeight="1" x14ac:dyDescent="0.2">
      <c r="B139" s="222" t="str">
        <f t="shared" si="51"/>
        <v>Módosított előirányzat 2021.12.31</v>
      </c>
      <c r="C139" s="238" t="e">
        <f>SUM('1.Bev-kiad.'!#REF!+-'7.finanszírozás.'!F75)</f>
        <v>#REF!</v>
      </c>
      <c r="D139" s="238"/>
      <c r="E139" s="237"/>
      <c r="F139" s="237" t="e">
        <f t="shared" si="52"/>
        <v>#REF!</v>
      </c>
      <c r="G139" s="28"/>
    </row>
    <row r="140" spans="2:7" ht="13.5" hidden="1" customHeight="1" x14ac:dyDescent="0.2">
      <c r="B140" s="222" t="str">
        <f t="shared" si="51"/>
        <v>Beszámoló előtti ei.mód.</v>
      </c>
      <c r="C140" s="238"/>
      <c r="D140" s="238"/>
      <c r="E140" s="237"/>
      <c r="F140" s="237">
        <f t="shared" si="52"/>
        <v>0</v>
      </c>
      <c r="G140" s="28"/>
    </row>
    <row r="141" spans="2:7" hidden="1" x14ac:dyDescent="0.2">
      <c r="B141" s="222" t="str">
        <f t="shared" si="51"/>
        <v>Teljesítés 2021.12.31.</v>
      </c>
      <c r="C141" s="238" t="e">
        <f>SUM('1.Bev-kiad.'!#REF!+-'7.finanszírozás.'!F77)</f>
        <v>#REF!</v>
      </c>
      <c r="D141" s="238"/>
      <c r="E141" s="237"/>
      <c r="F141" s="237" t="e">
        <f t="shared" si="52"/>
        <v>#REF!</v>
      </c>
      <c r="G141" s="28"/>
    </row>
    <row r="142" spans="2:7" ht="13.5" customHeight="1" x14ac:dyDescent="0.2">
      <c r="B142" s="271" t="s">
        <v>358</v>
      </c>
      <c r="C142" s="238"/>
      <c r="D142" s="238"/>
      <c r="E142" s="237"/>
      <c r="F142" s="237"/>
      <c r="G142" s="28"/>
    </row>
    <row r="143" spans="2:7" ht="13.5" customHeight="1" x14ac:dyDescent="0.2">
      <c r="B143" s="222" t="str">
        <f t="shared" ref="B143:B148" si="53">B136</f>
        <v>2023. évi eredeti előirányzat</v>
      </c>
      <c r="C143" s="238">
        <f>SUM('1.Bev-kiad.'!C68+'1.Bev-kiad.'!C73)</f>
        <v>135521</v>
      </c>
      <c r="D143" s="238"/>
      <c r="E143" s="237"/>
      <c r="F143" s="237">
        <f t="shared" ref="F143:F148" si="54">SUM(C143)</f>
        <v>135521</v>
      </c>
      <c r="G143" s="28"/>
    </row>
    <row r="144" spans="2:7" ht="13.5" hidden="1" customHeight="1" x14ac:dyDescent="0.2">
      <c r="B144" s="222" t="str">
        <f t="shared" si="53"/>
        <v>Módosított előirányzat 2022.06.hó</v>
      </c>
      <c r="C144" s="238" t="e">
        <f>SUM('1.Bev-kiad.'!#REF!+'1.Bev-kiad.'!#REF!)</f>
        <v>#REF!</v>
      </c>
      <c r="D144" s="238"/>
      <c r="E144" s="237"/>
      <c r="F144" s="237" t="e">
        <f t="shared" si="54"/>
        <v>#REF!</v>
      </c>
      <c r="G144" s="28"/>
    </row>
    <row r="145" spans="2:7" ht="13.5" hidden="1" customHeight="1" x14ac:dyDescent="0.2">
      <c r="B145" s="222" t="str">
        <f t="shared" si="53"/>
        <v>Módosított előirányzat 2022.10.hó</v>
      </c>
      <c r="C145" s="238" t="e">
        <f>SUM('1.Bev-kiad.'!#REF!+'1.Bev-kiad.'!#REF!)</f>
        <v>#REF!</v>
      </c>
      <c r="D145" s="238"/>
      <c r="E145" s="237"/>
      <c r="F145" s="237" t="e">
        <f t="shared" si="54"/>
        <v>#REF!</v>
      </c>
      <c r="G145" s="28"/>
    </row>
    <row r="146" spans="2:7" ht="13.5" hidden="1" customHeight="1" x14ac:dyDescent="0.2">
      <c r="B146" s="222" t="str">
        <f t="shared" si="53"/>
        <v>Módosított előirányzat 2021.12.31</v>
      </c>
      <c r="C146" s="238" t="e">
        <f>SUM('1.Bev-kiad.'!#REF!+'1.Bev-kiad.'!#REF!)</f>
        <v>#REF!</v>
      </c>
      <c r="D146" s="238"/>
      <c r="E146" s="237"/>
      <c r="F146" s="237" t="e">
        <f t="shared" si="54"/>
        <v>#REF!</v>
      </c>
      <c r="G146" s="28"/>
    </row>
    <row r="147" spans="2:7" ht="13.5" hidden="1" customHeight="1" x14ac:dyDescent="0.2">
      <c r="B147" s="222" t="str">
        <f t="shared" si="53"/>
        <v>Beszámoló előtti ei.mód.</v>
      </c>
      <c r="C147" s="238"/>
      <c r="D147" s="238"/>
      <c r="E147" s="237"/>
      <c r="F147" s="237">
        <f t="shared" si="54"/>
        <v>0</v>
      </c>
      <c r="G147" s="28"/>
    </row>
    <row r="148" spans="2:7" hidden="1" x14ac:dyDescent="0.2">
      <c r="B148" s="222" t="str">
        <f t="shared" si="53"/>
        <v>Teljesítés 2021.12.31.</v>
      </c>
      <c r="C148" s="238" t="e">
        <f>SUM('1.Bev-kiad.'!#REF!+'1.Bev-kiad.'!#REF!)</f>
        <v>#REF!</v>
      </c>
      <c r="D148" s="238"/>
      <c r="E148" s="237"/>
      <c r="F148" s="237" t="e">
        <f t="shared" si="54"/>
        <v>#REF!</v>
      </c>
      <c r="G148" s="28"/>
    </row>
    <row r="149" spans="2:7" x14ac:dyDescent="0.2">
      <c r="C149" s="9"/>
      <c r="D149" s="9"/>
    </row>
  </sheetData>
  <mergeCells count="5">
    <mergeCell ref="F7:F8"/>
    <mergeCell ref="B5:F5"/>
    <mergeCell ref="B7:B8"/>
    <mergeCell ref="C7:C8"/>
    <mergeCell ref="E7:E8"/>
  </mergeCells>
  <pageMargins left="0.36" right="0.16" top="0.27559055118110237" bottom="0.15748031496062992" header="0.15748031496062992" footer="0.15748031496062992"/>
  <pageSetup paperSize="9" scale="85" orientation="portrait" r:id="rId1"/>
  <rowBreaks count="1" manualBreakCount="1">
    <brk id="78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F300"/>
  <sheetViews>
    <sheetView zoomScale="90" zoomScaleNormal="90" zoomScaleSheetLayoutView="80" zoomScalePageLayoutView="80" workbookViewId="0">
      <selection activeCell="U110" sqref="U110"/>
    </sheetView>
  </sheetViews>
  <sheetFormatPr defaultRowHeight="12.75" x14ac:dyDescent="0.2"/>
  <cols>
    <col min="1" max="1" width="6" style="170" customWidth="1"/>
    <col min="2" max="2" width="54.85546875" customWidth="1"/>
    <col min="3" max="3" width="15.85546875" customWidth="1"/>
    <col min="4" max="4" width="17.140625" style="9" customWidth="1"/>
    <col min="5" max="5" width="17" customWidth="1"/>
    <col min="6" max="6" width="19.42578125" customWidth="1"/>
    <col min="7" max="7" width="18" customWidth="1"/>
    <col min="8" max="8" width="21" customWidth="1"/>
    <col min="9" max="9" width="10" hidden="1" customWidth="1"/>
    <col min="10" max="11" width="8.85546875" hidden="1" customWidth="1"/>
    <col min="12" max="13" width="10.140625" hidden="1" customWidth="1"/>
    <col min="14" max="14" width="9.5703125" hidden="1" customWidth="1"/>
    <col min="15" max="16" width="8.7109375" hidden="1" customWidth="1"/>
    <col min="17" max="18" width="10.140625" hidden="1" customWidth="1"/>
    <col min="19" max="19" width="21.140625" customWidth="1"/>
    <col min="20" max="20" width="20.28515625" customWidth="1"/>
    <col min="21" max="21" width="19.28515625" customWidth="1"/>
    <col min="22" max="22" width="4.5703125" customWidth="1"/>
    <col min="23" max="23" width="9.140625" customWidth="1"/>
  </cols>
  <sheetData>
    <row r="1" spans="1:22" x14ac:dyDescent="0.2">
      <c r="A1" s="278"/>
      <c r="B1" s="1"/>
      <c r="C1" s="57"/>
    </row>
    <row r="2" spans="1:22" x14ac:dyDescent="0.2">
      <c r="A2" s="278"/>
      <c r="B2" s="1"/>
      <c r="C2" s="57"/>
    </row>
    <row r="3" spans="1:22" x14ac:dyDescent="0.2">
      <c r="A3" s="278"/>
      <c r="B3" s="1"/>
      <c r="C3" s="57"/>
    </row>
    <row r="4" spans="1:22" x14ac:dyDescent="0.2">
      <c r="A4" s="278"/>
      <c r="B4" s="1"/>
      <c r="C4" s="57"/>
    </row>
    <row r="5" spans="1:22" ht="15.75" x14ac:dyDescent="0.25">
      <c r="A5"/>
      <c r="B5" s="726"/>
      <c r="C5" s="791" t="s">
        <v>93</v>
      </c>
      <c r="D5" s="791"/>
      <c r="E5" s="791"/>
      <c r="F5" s="791"/>
      <c r="G5" s="791"/>
      <c r="H5" s="791"/>
      <c r="I5" s="726"/>
      <c r="J5" s="726"/>
      <c r="K5" s="726"/>
      <c r="L5" s="726"/>
      <c r="M5" s="726"/>
      <c r="N5" s="726"/>
      <c r="O5" s="726"/>
      <c r="P5" s="726"/>
      <c r="Q5" s="726"/>
      <c r="R5" s="726"/>
      <c r="S5" s="726"/>
      <c r="T5" s="726"/>
      <c r="U5" s="726"/>
    </row>
    <row r="6" spans="1:22" ht="15.75" x14ac:dyDescent="0.25">
      <c r="A6"/>
      <c r="B6" s="726"/>
      <c r="C6" s="791" t="s">
        <v>1316</v>
      </c>
      <c r="D6" s="791"/>
      <c r="E6" s="791"/>
      <c r="F6" s="791"/>
      <c r="G6" s="791"/>
      <c r="H6" s="791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</row>
    <row r="7" spans="1:22" ht="15.75" x14ac:dyDescent="0.25">
      <c r="A7"/>
      <c r="B7" s="726"/>
      <c r="C7" s="791" t="s">
        <v>315</v>
      </c>
      <c r="D7" s="791"/>
      <c r="E7" s="791"/>
      <c r="F7" s="791"/>
      <c r="G7" s="791"/>
      <c r="H7" s="791"/>
      <c r="I7" s="726"/>
      <c r="J7" s="726"/>
      <c r="K7" s="726"/>
      <c r="L7" s="726"/>
      <c r="M7" s="726"/>
      <c r="N7" s="726"/>
      <c r="O7" s="726"/>
      <c r="P7" s="726"/>
      <c r="Q7" s="726"/>
      <c r="R7" s="726"/>
      <c r="S7" s="726"/>
      <c r="T7" s="726"/>
      <c r="U7" s="726"/>
    </row>
    <row r="8" spans="1:22" x14ac:dyDescent="0.2">
      <c r="B8" s="205">
        <v>27790</v>
      </c>
      <c r="C8" s="265"/>
      <c r="D8" s="182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10" t="s">
        <v>0</v>
      </c>
    </row>
    <row r="9" spans="1:22" ht="99.75" customHeight="1" x14ac:dyDescent="0.2">
      <c r="A9" s="792" t="s">
        <v>118</v>
      </c>
      <c r="B9" s="794" t="s">
        <v>29</v>
      </c>
      <c r="C9" s="739" t="s">
        <v>1319</v>
      </c>
      <c r="D9" s="739" t="s">
        <v>984</v>
      </c>
      <c r="E9" s="739" t="s">
        <v>117</v>
      </c>
      <c r="F9" s="739" t="s">
        <v>1320</v>
      </c>
      <c r="G9" s="739" t="s">
        <v>314</v>
      </c>
      <c r="H9" s="739" t="s">
        <v>1317</v>
      </c>
      <c r="I9" s="788"/>
      <c r="J9" s="789"/>
      <c r="K9" s="789"/>
      <c r="L9" s="789"/>
      <c r="M9" s="790"/>
      <c r="N9" s="788"/>
      <c r="O9" s="789"/>
      <c r="P9" s="789"/>
      <c r="Q9" s="789"/>
      <c r="R9" s="790"/>
      <c r="S9" s="739" t="s">
        <v>1341</v>
      </c>
      <c r="T9" s="739" t="s">
        <v>1318</v>
      </c>
      <c r="U9" s="740" t="s">
        <v>32</v>
      </c>
    </row>
    <row r="10" spans="1:22" ht="21" customHeight="1" x14ac:dyDescent="0.2">
      <c r="A10" s="793"/>
      <c r="B10" s="793"/>
      <c r="C10" s="529" t="s">
        <v>1340</v>
      </c>
      <c r="D10" s="529" t="str">
        <f>C10</f>
        <v>2023. évi eredeti ei.</v>
      </c>
      <c r="E10" s="529" t="str">
        <f>C10</f>
        <v>2023. évi eredeti ei.</v>
      </c>
      <c r="F10" s="529" t="str">
        <f>C10</f>
        <v>2023. évi eredeti ei.</v>
      </c>
      <c r="G10" s="529" t="str">
        <f>C10</f>
        <v>2023. évi eredeti ei.</v>
      </c>
      <c r="H10" s="529" t="str">
        <f>C10</f>
        <v>2023. évi eredeti ei.</v>
      </c>
      <c r="I10" s="529" t="str">
        <f>C10</f>
        <v>2023. évi eredeti ei.</v>
      </c>
      <c r="J10" s="529" t="e">
        <f>#REF!</f>
        <v>#REF!</v>
      </c>
      <c r="K10" s="529" t="e">
        <f>#REF!</f>
        <v>#REF!</v>
      </c>
      <c r="L10" s="529" t="e">
        <f>#REF!</f>
        <v>#REF!</v>
      </c>
      <c r="M10" s="529" t="e">
        <f>#REF!</f>
        <v>#REF!</v>
      </c>
      <c r="N10" s="529" t="str">
        <f>C10</f>
        <v>2023. évi eredeti ei.</v>
      </c>
      <c r="O10" s="529" t="e">
        <f>#REF!</f>
        <v>#REF!</v>
      </c>
      <c r="P10" s="529" t="e">
        <f>#REF!</f>
        <v>#REF!</v>
      </c>
      <c r="Q10" s="529" t="e">
        <f>#REF!</f>
        <v>#REF!</v>
      </c>
      <c r="R10" s="529" t="e">
        <f>#REF!</f>
        <v>#REF!</v>
      </c>
      <c r="S10" s="529" t="str">
        <f>H10</f>
        <v>2023. évi eredeti ei.</v>
      </c>
      <c r="T10" s="529" t="str">
        <f>C10</f>
        <v>2023. évi eredeti ei.</v>
      </c>
      <c r="U10" s="544" t="str">
        <f>C10</f>
        <v>2023. évi eredeti ei.</v>
      </c>
    </row>
    <row r="11" spans="1:22" x14ac:dyDescent="0.2">
      <c r="A11" s="279" t="s">
        <v>295</v>
      </c>
      <c r="B11" s="16" t="s">
        <v>296</v>
      </c>
      <c r="C11" s="258">
        <f t="shared" ref="C11:J11" si="0">SUM(C12:C18)</f>
        <v>0</v>
      </c>
      <c r="D11" s="258">
        <f t="shared" si="0"/>
        <v>6272</v>
      </c>
      <c r="E11" s="258">
        <f t="shared" si="0"/>
        <v>0</v>
      </c>
      <c r="F11" s="258">
        <f t="shared" ref="F11" si="1">SUM(F12:F18)</f>
        <v>0</v>
      </c>
      <c r="G11" s="258">
        <f t="shared" si="0"/>
        <v>11506</v>
      </c>
      <c r="H11" s="258">
        <f t="shared" si="0"/>
        <v>2372</v>
      </c>
      <c r="I11" s="258">
        <f t="shared" si="0"/>
        <v>0</v>
      </c>
      <c r="J11" s="258">
        <f t="shared" si="0"/>
        <v>0</v>
      </c>
      <c r="K11" s="258">
        <f t="shared" ref="K11:T11" si="2">SUM(K12:K18)</f>
        <v>0</v>
      </c>
      <c r="L11" s="258">
        <f t="shared" si="2"/>
        <v>0</v>
      </c>
      <c r="M11" s="258">
        <f t="shared" si="2"/>
        <v>0</v>
      </c>
      <c r="N11" s="258">
        <f t="shared" si="2"/>
        <v>0</v>
      </c>
      <c r="O11" s="258">
        <f t="shared" si="2"/>
        <v>0</v>
      </c>
      <c r="P11" s="258">
        <f t="shared" si="2"/>
        <v>0</v>
      </c>
      <c r="Q11" s="258">
        <f t="shared" si="2"/>
        <v>0</v>
      </c>
      <c r="R11" s="258">
        <f t="shared" si="2"/>
        <v>0</v>
      </c>
      <c r="S11" s="258">
        <f t="shared" ref="S11" si="3">SUM(S12:S18)</f>
        <v>0</v>
      </c>
      <c r="T11" s="258">
        <f t="shared" si="2"/>
        <v>4336</v>
      </c>
      <c r="U11" s="291">
        <f>C11+D11+E11+F11+G11+H11+I11+N11+S11+T11</f>
        <v>24486</v>
      </c>
    </row>
    <row r="12" spans="1:22" x14ac:dyDescent="0.2">
      <c r="A12" s="59">
        <v>1101</v>
      </c>
      <c r="B12" s="52" t="s">
        <v>331</v>
      </c>
      <c r="C12" s="231"/>
      <c r="D12" s="81">
        <v>5855</v>
      </c>
      <c r="E12" s="81"/>
      <c r="F12" s="81"/>
      <c r="G12" s="81">
        <v>10788</v>
      </c>
      <c r="H12" s="81">
        <v>2088</v>
      </c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>
        <v>4090</v>
      </c>
      <c r="U12" s="290">
        <f>C12+D12+E12+F12+G12+H12+I12+N12+S12+T12</f>
        <v>22821</v>
      </c>
    </row>
    <row r="13" spans="1:22" x14ac:dyDescent="0.2">
      <c r="A13" s="59">
        <v>1104</v>
      </c>
      <c r="B13" s="8" t="s">
        <v>478</v>
      </c>
      <c r="C13" s="231"/>
      <c r="D13" s="81"/>
      <c r="E13" s="81"/>
      <c r="F13" s="81"/>
      <c r="G13" s="81">
        <v>130</v>
      </c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290">
        <f>C13+D13+E13+F13+G13+H13+I13+N13+S13+T13</f>
        <v>130</v>
      </c>
    </row>
    <row r="14" spans="1:22" x14ac:dyDescent="0.2">
      <c r="A14" s="59">
        <v>1107</v>
      </c>
      <c r="B14" s="8" t="s">
        <v>33</v>
      </c>
      <c r="C14" s="8"/>
      <c r="D14" s="11">
        <v>112</v>
      </c>
      <c r="E14" s="11"/>
      <c r="F14" s="11"/>
      <c r="G14" s="11">
        <v>288</v>
      </c>
      <c r="H14" s="11">
        <v>72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>
        <v>96</v>
      </c>
      <c r="U14" s="290">
        <f>C14+D14+E14+F14+G14+H14+I14+N14+S14+T14</f>
        <v>568</v>
      </c>
    </row>
    <row r="15" spans="1:22" x14ac:dyDescent="0.2">
      <c r="A15" s="59">
        <v>1109</v>
      </c>
      <c r="B15" s="52" t="s">
        <v>60</v>
      </c>
      <c r="C15" s="231"/>
      <c r="D15" s="81">
        <v>155</v>
      </c>
      <c r="E15" s="81"/>
      <c r="F15" s="81"/>
      <c r="G15" s="81"/>
      <c r="H15" s="81">
        <v>62</v>
      </c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290">
        <f>C15+D15+E15+F15+G15+H15+I15+N15+S15+T15</f>
        <v>217</v>
      </c>
    </row>
    <row r="16" spans="1:22" s="9" customFormat="1" x14ac:dyDescent="0.2">
      <c r="A16" s="59">
        <v>1113</v>
      </c>
      <c r="B16" s="8" t="s">
        <v>721</v>
      </c>
      <c r="C16" s="11"/>
      <c r="D16" s="11">
        <v>150</v>
      </c>
      <c r="E16" s="11"/>
      <c r="F16" s="11"/>
      <c r="G16" s="11">
        <v>300</v>
      </c>
      <c r="H16" s="11">
        <v>150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>
        <v>150</v>
      </c>
      <c r="U16" s="290">
        <f>C16+D16+E16+F16+G16+H16+I16+N16+S16+T16</f>
        <v>750</v>
      </c>
      <c r="V16" s="37"/>
    </row>
    <row r="17" spans="1:22" s="9" customFormat="1" ht="12.75" hidden="1" customHeight="1" x14ac:dyDescent="0.2">
      <c r="A17" s="59"/>
      <c r="B17" s="8"/>
      <c r="C17" s="8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290">
        <f>C17+D17+E17+F17+G17+H17+I17+N17+S17+T17</f>
        <v>0</v>
      </c>
    </row>
    <row r="18" spans="1:22" s="9" customFormat="1" ht="12.75" hidden="1" customHeight="1" x14ac:dyDescent="0.2">
      <c r="A18" s="59"/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290">
        <f>C18+D18+E18+F18+G18+H18+I18+N18+S18+T18</f>
        <v>0</v>
      </c>
      <c r="V18" s="37"/>
    </row>
    <row r="19" spans="1:22" s="9" customFormat="1" x14ac:dyDescent="0.2">
      <c r="A19" s="280" t="s">
        <v>297</v>
      </c>
      <c r="B19" s="14" t="s">
        <v>329</v>
      </c>
      <c r="C19" s="6">
        <f t="shared" ref="C19:F19" si="4">SUM(C20:C27)</f>
        <v>19032</v>
      </c>
      <c r="D19" s="6">
        <f t="shared" si="4"/>
        <v>200</v>
      </c>
      <c r="E19" s="6">
        <f t="shared" si="4"/>
        <v>0</v>
      </c>
      <c r="F19" s="6">
        <f t="shared" si="4"/>
        <v>1131</v>
      </c>
      <c r="G19" s="6">
        <f t="shared" ref="G19:T19" si="5">SUM(G20:G27)</f>
        <v>0</v>
      </c>
      <c r="H19" s="6">
        <f t="shared" si="5"/>
        <v>150</v>
      </c>
      <c r="I19" s="6">
        <f t="shared" si="5"/>
        <v>0</v>
      </c>
      <c r="J19" s="6">
        <f t="shared" si="5"/>
        <v>0</v>
      </c>
      <c r="K19" s="6">
        <f t="shared" si="5"/>
        <v>0</v>
      </c>
      <c r="L19" s="6">
        <f t="shared" si="5"/>
        <v>0</v>
      </c>
      <c r="M19" s="6">
        <f t="shared" si="5"/>
        <v>0</v>
      </c>
      <c r="N19" s="6">
        <f t="shared" si="5"/>
        <v>0</v>
      </c>
      <c r="O19" s="6">
        <f t="shared" si="5"/>
        <v>0</v>
      </c>
      <c r="P19" s="6">
        <f t="shared" si="5"/>
        <v>0</v>
      </c>
      <c r="Q19" s="6">
        <f t="shared" si="5"/>
        <v>0</v>
      </c>
      <c r="R19" s="6">
        <f t="shared" si="5"/>
        <v>0</v>
      </c>
      <c r="S19" s="6">
        <f t="shared" si="5"/>
        <v>0</v>
      </c>
      <c r="T19" s="6">
        <f t="shared" si="5"/>
        <v>1000</v>
      </c>
      <c r="U19" s="291">
        <f>C19+D19+E19+F19+G19+H19+I19+N19+S19+T19</f>
        <v>21513</v>
      </c>
    </row>
    <row r="20" spans="1:22" s="9" customFormat="1" x14ac:dyDescent="0.2">
      <c r="A20" s="59">
        <v>121</v>
      </c>
      <c r="B20" s="8" t="s">
        <v>1162</v>
      </c>
      <c r="C20" s="231">
        <v>9360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92">
        <f>C20+D20+E20+F20+G20+H20+I20+N20+S20+T20</f>
        <v>9360</v>
      </c>
    </row>
    <row r="21" spans="1:22" s="9" customFormat="1" x14ac:dyDescent="0.2">
      <c r="A21" s="59">
        <v>121</v>
      </c>
      <c r="B21" s="163" t="s">
        <v>459</v>
      </c>
      <c r="C21" s="231">
        <f>(117*12)+(15*2)*12</f>
        <v>1764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92">
        <f>C21+D21+E21+F21+G21+H21+I21+N21+S21+T21</f>
        <v>1764</v>
      </c>
    </row>
    <row r="22" spans="1:22" s="9" customFormat="1" x14ac:dyDescent="0.2">
      <c r="A22" s="59">
        <v>121</v>
      </c>
      <c r="B22" s="8" t="s">
        <v>33</v>
      </c>
      <c r="C22" s="11">
        <v>188</v>
      </c>
      <c r="D22" s="11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92">
        <f>C22+D22+E22+F22+G22+H22+I22+N22+S22+T22</f>
        <v>188</v>
      </c>
    </row>
    <row r="23" spans="1:22" s="9" customFormat="1" x14ac:dyDescent="0.2">
      <c r="A23" s="59">
        <v>121</v>
      </c>
      <c r="B23" s="8" t="s">
        <v>460</v>
      </c>
      <c r="C23" s="11">
        <v>6720</v>
      </c>
      <c r="D23" s="11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92">
        <f>C23+D23+E23+F23+G23+H23+I23+N23+S23+T23</f>
        <v>6720</v>
      </c>
    </row>
    <row r="24" spans="1:22" s="9" customFormat="1" x14ac:dyDescent="0.2">
      <c r="A24" s="59">
        <v>122</v>
      </c>
      <c r="B24" s="8" t="s">
        <v>1351</v>
      </c>
      <c r="C24" s="11"/>
      <c r="D24" s="11">
        <v>200</v>
      </c>
      <c r="E24" s="6"/>
      <c r="F24" s="11">
        <v>1031</v>
      </c>
      <c r="G24" s="11"/>
      <c r="H24" s="11">
        <v>150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92">
        <f>C24+D24+E24+F24+G24+H24+I24+N24+S24+T24</f>
        <v>1381</v>
      </c>
    </row>
    <row r="25" spans="1:22" s="9" customFormat="1" x14ac:dyDescent="0.2">
      <c r="A25" s="59">
        <v>122</v>
      </c>
      <c r="B25" s="8" t="s">
        <v>1393</v>
      </c>
      <c r="C25" s="81">
        <v>600</v>
      </c>
      <c r="D25" s="11"/>
      <c r="E25" s="6"/>
      <c r="F25" s="6"/>
      <c r="G25" s="11"/>
      <c r="H25" s="1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92">
        <f>C25+D25+E25+F25+G25+H25+I25+N25+S25+T25</f>
        <v>600</v>
      </c>
    </row>
    <row r="26" spans="1:22" x14ac:dyDescent="0.2">
      <c r="A26" s="59">
        <v>123</v>
      </c>
      <c r="B26" s="8" t="s">
        <v>1350</v>
      </c>
      <c r="C26" s="81">
        <v>400</v>
      </c>
      <c r="D26" s="11"/>
      <c r="E26" s="11"/>
      <c r="F26" s="11">
        <v>100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>
        <v>1000</v>
      </c>
      <c r="U26" s="692">
        <f>C26+D26+E26+F26+G26+H26+I26+N26+S26+T26</f>
        <v>1500</v>
      </c>
    </row>
    <row r="27" spans="1:22" ht="12.75" hidden="1" customHeight="1" x14ac:dyDescent="0.2">
      <c r="A27" s="59"/>
      <c r="B27" s="8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692">
        <f>C27+D27+E27+F27+G27+H27+I27+N27+S27+T27</f>
        <v>0</v>
      </c>
    </row>
    <row r="28" spans="1:22" x14ac:dyDescent="0.2">
      <c r="A28" s="280" t="s">
        <v>216</v>
      </c>
      <c r="B28" s="114" t="s">
        <v>294</v>
      </c>
      <c r="C28" s="149">
        <f t="shared" ref="C28:F28" si="6">SUM(C11+C19)</f>
        <v>19032</v>
      </c>
      <c r="D28" s="149">
        <f t="shared" si="6"/>
        <v>6472</v>
      </c>
      <c r="E28" s="149">
        <f t="shared" si="6"/>
        <v>0</v>
      </c>
      <c r="F28" s="149">
        <f t="shared" si="6"/>
        <v>1131</v>
      </c>
      <c r="G28" s="149">
        <f t="shared" ref="G28:T28" si="7">SUM(G11+G19)</f>
        <v>11506</v>
      </c>
      <c r="H28" s="149">
        <f t="shared" si="7"/>
        <v>2522</v>
      </c>
      <c r="I28" s="149">
        <f t="shared" si="7"/>
        <v>0</v>
      </c>
      <c r="J28" s="149">
        <f t="shared" si="7"/>
        <v>0</v>
      </c>
      <c r="K28" s="149">
        <f t="shared" si="7"/>
        <v>0</v>
      </c>
      <c r="L28" s="149">
        <f t="shared" si="7"/>
        <v>0</v>
      </c>
      <c r="M28" s="149">
        <f t="shared" si="7"/>
        <v>0</v>
      </c>
      <c r="N28" s="149">
        <f t="shared" si="7"/>
        <v>0</v>
      </c>
      <c r="O28" s="149">
        <f t="shared" si="7"/>
        <v>0</v>
      </c>
      <c r="P28" s="149">
        <f t="shared" si="7"/>
        <v>0</v>
      </c>
      <c r="Q28" s="149">
        <f t="shared" si="7"/>
        <v>0</v>
      </c>
      <c r="R28" s="149">
        <f t="shared" si="7"/>
        <v>0</v>
      </c>
      <c r="S28" s="149">
        <f t="shared" si="7"/>
        <v>0</v>
      </c>
      <c r="T28" s="149">
        <f t="shared" si="7"/>
        <v>5336</v>
      </c>
      <c r="U28" s="149">
        <f>C28+D28+E28+F28+G28+H28+I28+N28+S28+T28</f>
        <v>45999</v>
      </c>
      <c r="V28" s="75"/>
    </row>
    <row r="29" spans="1:22" x14ac:dyDescent="0.2">
      <c r="A29" s="59"/>
      <c r="B29" s="8" t="s">
        <v>30</v>
      </c>
      <c r="C29" s="11">
        <v>2645</v>
      </c>
      <c r="D29" s="11">
        <v>820</v>
      </c>
      <c r="E29" s="11"/>
      <c r="F29" s="11">
        <v>121</v>
      </c>
      <c r="G29" s="11">
        <v>1496</v>
      </c>
      <c r="H29" s="11">
        <v>320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>
        <v>565</v>
      </c>
      <c r="U29" s="290">
        <f>C29+D29+E29+F29+G29+H29+I29+N29+S29+T29</f>
        <v>5967</v>
      </c>
    </row>
    <row r="30" spans="1:22" ht="12.75" hidden="1" customHeight="1" x14ac:dyDescent="0.2">
      <c r="A30" s="59"/>
      <c r="B30" s="8" t="s">
        <v>393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290" t="e">
        <f>C30+D30+E30+F30+G30+H30+I30+N30+S30+T30+#REF!</f>
        <v>#REF!</v>
      </c>
    </row>
    <row r="31" spans="1:22" x14ac:dyDescent="0.2">
      <c r="A31" s="59"/>
      <c r="B31" s="8" t="s">
        <v>116</v>
      </c>
      <c r="C31" s="11">
        <v>266</v>
      </c>
      <c r="D31" s="11">
        <v>17</v>
      </c>
      <c r="E31" s="11"/>
      <c r="F31" s="11"/>
      <c r="G31" s="11">
        <v>45</v>
      </c>
      <c r="H31" s="11">
        <v>11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>
        <v>15</v>
      </c>
      <c r="U31" s="290">
        <f>C31+D31+E31+F31+G31+H31+I31+N31+S31+T31</f>
        <v>354</v>
      </c>
      <c r="V31" s="75"/>
    </row>
    <row r="32" spans="1:22" x14ac:dyDescent="0.2">
      <c r="A32" s="280" t="s">
        <v>217</v>
      </c>
      <c r="B32" s="114" t="s">
        <v>102</v>
      </c>
      <c r="C32" s="149">
        <f t="shared" ref="C32:G32" si="8">SUM(C29:C31)</f>
        <v>2911</v>
      </c>
      <c r="D32" s="149">
        <f t="shared" ref="D32" si="9">SUM(D29:D31)</f>
        <v>837</v>
      </c>
      <c r="E32" s="149">
        <f t="shared" si="8"/>
        <v>0</v>
      </c>
      <c r="F32" s="149">
        <f t="shared" ref="F32" si="10">SUM(F29:F31)</f>
        <v>121</v>
      </c>
      <c r="G32" s="149">
        <f t="shared" si="8"/>
        <v>1541</v>
      </c>
      <c r="H32" s="149">
        <f t="shared" ref="H32:S32" si="11">SUM(H29:H31)</f>
        <v>331</v>
      </c>
      <c r="I32" s="149">
        <f t="shared" si="11"/>
        <v>0</v>
      </c>
      <c r="J32" s="149">
        <f t="shared" si="11"/>
        <v>0</v>
      </c>
      <c r="K32" s="149">
        <f>SUM(K29:K31)</f>
        <v>0</v>
      </c>
      <c r="L32" s="149">
        <f t="shared" si="11"/>
        <v>0</v>
      </c>
      <c r="M32" s="149">
        <f t="shared" si="11"/>
        <v>0</v>
      </c>
      <c r="N32" s="149">
        <f t="shared" si="11"/>
        <v>0</v>
      </c>
      <c r="O32" s="149">
        <f>SUM(O29:O31)</f>
        <v>0</v>
      </c>
      <c r="P32" s="149">
        <f>SUM(P29:P31)</f>
        <v>0</v>
      </c>
      <c r="Q32" s="149">
        <f>SUM(Q29:Q31)</f>
        <v>0</v>
      </c>
      <c r="R32" s="149">
        <f t="shared" si="11"/>
        <v>0</v>
      </c>
      <c r="S32" s="149">
        <f t="shared" si="11"/>
        <v>0</v>
      </c>
      <c r="T32" s="149">
        <f>SUM(T29:T31)</f>
        <v>580</v>
      </c>
      <c r="U32" s="149">
        <f>C32+D32+E32+F32+G32+H32+I32+N32+S32+T32</f>
        <v>6321</v>
      </c>
    </row>
    <row r="33" spans="1:21" x14ac:dyDescent="0.2">
      <c r="A33" s="280" t="s">
        <v>261</v>
      </c>
      <c r="B33" s="14" t="s">
        <v>283</v>
      </c>
      <c r="C33" s="6">
        <f t="shared" ref="C33:H33" si="12">SUM(C34:C41)</f>
        <v>1000</v>
      </c>
      <c r="D33" s="6">
        <f t="shared" ref="D33" si="13">SUM(D34:D41)</f>
        <v>165</v>
      </c>
      <c r="E33" s="6">
        <f t="shared" si="12"/>
        <v>0</v>
      </c>
      <c r="F33" s="6">
        <f t="shared" ref="F33" si="14">SUM(F34:F41)</f>
        <v>3300</v>
      </c>
      <c r="G33" s="6">
        <f>SUM(G34:G41)</f>
        <v>600</v>
      </c>
      <c r="H33" s="6">
        <f t="shared" si="12"/>
        <v>50</v>
      </c>
      <c r="I33" s="6">
        <f t="shared" ref="I33:R33" si="15">SUM(I34:I41)</f>
        <v>0</v>
      </c>
      <c r="J33" s="6">
        <f t="shared" si="15"/>
        <v>0</v>
      </c>
      <c r="K33" s="6">
        <f>SUM(K34:K41)</f>
        <v>0</v>
      </c>
      <c r="L33" s="6">
        <f t="shared" si="15"/>
        <v>0</v>
      </c>
      <c r="M33" s="6">
        <f t="shared" si="15"/>
        <v>0</v>
      </c>
      <c r="N33" s="6">
        <f t="shared" si="15"/>
        <v>0</v>
      </c>
      <c r="O33" s="6">
        <f>SUM(O34:O41)</f>
        <v>0</v>
      </c>
      <c r="P33" s="6">
        <f>SUM(P34:P41)</f>
        <v>0</v>
      </c>
      <c r="Q33" s="6">
        <f>SUM(Q34:Q41)</f>
        <v>0</v>
      </c>
      <c r="R33" s="6">
        <f t="shared" si="15"/>
        <v>0</v>
      </c>
      <c r="S33" s="6">
        <f t="shared" ref="S33" si="16">SUM(S34:S41)</f>
        <v>725</v>
      </c>
      <c r="T33" s="6">
        <f>SUM(T34:T41)</f>
        <v>1020</v>
      </c>
      <c r="U33" s="291">
        <f>C33+D33+E33+F33+G33+H33+I33+N33+S33+T33</f>
        <v>6860</v>
      </c>
    </row>
    <row r="34" spans="1:21" x14ac:dyDescent="0.2">
      <c r="A34" s="59" t="s">
        <v>1059</v>
      </c>
      <c r="B34" s="8" t="s">
        <v>325</v>
      </c>
      <c r="C34" s="11">
        <v>150</v>
      </c>
      <c r="D34" s="11">
        <v>25</v>
      </c>
      <c r="E34" s="11"/>
      <c r="F34" s="11"/>
      <c r="G34" s="11">
        <v>80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>
        <v>200</v>
      </c>
      <c r="T34" s="11">
        <v>900</v>
      </c>
      <c r="U34" s="290">
        <f>C34+D34+E34+F34+G34+H34+I34+N34+S34+T34</f>
        <v>1355</v>
      </c>
    </row>
    <row r="35" spans="1:21" x14ac:dyDescent="0.2">
      <c r="A35" s="59" t="s">
        <v>912</v>
      </c>
      <c r="B35" s="8" t="s">
        <v>284</v>
      </c>
      <c r="C35" s="11">
        <v>600</v>
      </c>
      <c r="D35" s="11">
        <v>60</v>
      </c>
      <c r="E35" s="11"/>
      <c r="F35" s="11">
        <v>1300</v>
      </c>
      <c r="G35" s="11">
        <v>200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>
        <v>150</v>
      </c>
      <c r="T35" s="11"/>
      <c r="U35" s="290">
        <f>C35+D35+E35+F35+G35+H35+I35+N35+S35+T35</f>
        <v>2310</v>
      </c>
    </row>
    <row r="36" spans="1:21" x14ac:dyDescent="0.2">
      <c r="A36" s="59"/>
      <c r="B36" s="8" t="s">
        <v>434</v>
      </c>
      <c r="C36" s="11">
        <v>150</v>
      </c>
      <c r="D36" s="11">
        <v>50</v>
      </c>
      <c r="E36" s="11"/>
      <c r="F36" s="11"/>
      <c r="G36" s="11">
        <v>20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>
        <v>50</v>
      </c>
      <c r="U36" s="290">
        <f>C36+D36+E36+F36+G36+H36+I36+N36+S36+T36</f>
        <v>270</v>
      </c>
    </row>
    <row r="37" spans="1:21" x14ac:dyDescent="0.2">
      <c r="A37" s="59"/>
      <c r="B37" s="8" t="s">
        <v>305</v>
      </c>
      <c r="C37" s="11">
        <v>100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>
        <v>70</v>
      </c>
      <c r="U37" s="290">
        <f>C37+D37+E37+F37+G37+H37+I37+N37+S37+T37</f>
        <v>170</v>
      </c>
    </row>
    <row r="38" spans="1:21" x14ac:dyDescent="0.2">
      <c r="A38" s="59"/>
      <c r="B38" s="8" t="s">
        <v>306</v>
      </c>
      <c r="C38" s="11"/>
      <c r="D38" s="11"/>
      <c r="E38" s="11"/>
      <c r="F38" s="11">
        <v>2000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290">
        <f>C38+D38+E38+F38+G38+H38+I38+N38+S38+T38</f>
        <v>2000</v>
      </c>
    </row>
    <row r="39" spans="1:21" x14ac:dyDescent="0.2">
      <c r="A39" s="59"/>
      <c r="B39" s="8" t="s">
        <v>433</v>
      </c>
      <c r="C39" s="11"/>
      <c r="D39" s="11"/>
      <c r="E39" s="11"/>
      <c r="F39" s="11"/>
      <c r="G39" s="11">
        <v>300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>
        <v>375</v>
      </c>
      <c r="T39" s="11"/>
      <c r="U39" s="290">
        <f>C39+D39+E39+F39+G39+H39+I39+N39+S39+T39</f>
        <v>675</v>
      </c>
    </row>
    <row r="40" spans="1:21" x14ac:dyDescent="0.2">
      <c r="A40" s="59"/>
      <c r="B40" s="8" t="s">
        <v>317</v>
      </c>
      <c r="C40" s="11"/>
      <c r="D40" s="11">
        <v>30</v>
      </c>
      <c r="E40" s="11"/>
      <c r="F40" s="11"/>
      <c r="G40" s="11"/>
      <c r="H40" s="11">
        <v>50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290">
        <f>C40+D40+E40+F40+G40+H40+I40+N40+S40+T40</f>
        <v>80</v>
      </c>
    </row>
    <row r="41" spans="1:21" x14ac:dyDescent="0.2">
      <c r="A41" s="59"/>
      <c r="B41" s="8" t="s">
        <v>983</v>
      </c>
      <c r="C41" s="11"/>
      <c r="D41" s="11"/>
      <c r="E41" s="11"/>
      <c r="F41" s="11"/>
      <c r="G41" s="11"/>
      <c r="H41" s="11"/>
      <c r="I41" s="11"/>
      <c r="J41" s="11"/>
      <c r="K41" s="11"/>
      <c r="L41" s="11">
        <v>0</v>
      </c>
      <c r="M41" s="11">
        <v>0</v>
      </c>
      <c r="N41" s="11"/>
      <c r="O41" s="11"/>
      <c r="P41" s="11"/>
      <c r="Q41" s="11"/>
      <c r="R41" s="11"/>
      <c r="S41" s="11"/>
      <c r="T41" s="11"/>
      <c r="U41" s="290">
        <f>C41+D41+E41+F41+G41+H41+I41+N41+S41+T41</f>
        <v>0</v>
      </c>
    </row>
    <row r="42" spans="1:21" x14ac:dyDescent="0.2">
      <c r="A42" s="280" t="s">
        <v>264</v>
      </c>
      <c r="B42" s="14" t="s">
        <v>285</v>
      </c>
      <c r="C42" s="6">
        <f t="shared" ref="C42:H42" si="17">SUM(C43:C44)</f>
        <v>900</v>
      </c>
      <c r="D42" s="6">
        <f t="shared" ref="D42" si="18">SUM(D43:D44)</f>
        <v>110</v>
      </c>
      <c r="E42" s="6">
        <f t="shared" si="17"/>
        <v>0</v>
      </c>
      <c r="F42" s="6">
        <f t="shared" ref="F42" si="19">SUM(F43:F44)</f>
        <v>700</v>
      </c>
      <c r="G42" s="6">
        <f t="shared" si="17"/>
        <v>120</v>
      </c>
      <c r="H42" s="6">
        <f t="shared" si="17"/>
        <v>0</v>
      </c>
      <c r="I42" s="6">
        <f t="shared" ref="I42:T42" si="20">SUM(I43:I44)</f>
        <v>0</v>
      </c>
      <c r="J42" s="6">
        <f t="shared" si="20"/>
        <v>0</v>
      </c>
      <c r="K42" s="6">
        <f>SUM(K43:K44)</f>
        <v>0</v>
      </c>
      <c r="L42" s="6">
        <f t="shared" si="20"/>
        <v>0</v>
      </c>
      <c r="M42" s="6">
        <f t="shared" si="20"/>
        <v>0</v>
      </c>
      <c r="N42" s="6">
        <f t="shared" si="20"/>
        <v>0</v>
      </c>
      <c r="O42" s="6">
        <f t="shared" si="20"/>
        <v>0</v>
      </c>
      <c r="P42" s="6">
        <f t="shared" si="20"/>
        <v>0</v>
      </c>
      <c r="Q42" s="6">
        <f t="shared" si="20"/>
        <v>0</v>
      </c>
      <c r="R42" s="6">
        <f t="shared" si="20"/>
        <v>0</v>
      </c>
      <c r="S42" s="6">
        <f t="shared" ref="S42" si="21">SUM(S43:S44)</f>
        <v>140</v>
      </c>
      <c r="T42" s="6">
        <f t="shared" si="20"/>
        <v>250</v>
      </c>
      <c r="U42" s="691">
        <f>C42+D42+E42+F42+G42+H42+I42+N42+S42+T42</f>
        <v>2220</v>
      </c>
    </row>
    <row r="43" spans="1:21" ht="15" customHeight="1" x14ac:dyDescent="0.2">
      <c r="A43" s="59" t="s">
        <v>1184</v>
      </c>
      <c r="B43" s="8" t="s">
        <v>1361</v>
      </c>
      <c r="C43" s="11">
        <v>350</v>
      </c>
      <c r="D43" s="11">
        <v>110</v>
      </c>
      <c r="E43" s="11"/>
      <c r="F43" s="11">
        <v>700</v>
      </c>
      <c r="G43" s="11">
        <v>120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>
        <v>200</v>
      </c>
      <c r="U43" s="290">
        <f>C43+D43+E43+F43+G43+H43+I43+N43+S43+T43</f>
        <v>1480</v>
      </c>
    </row>
    <row r="44" spans="1:21" x14ac:dyDescent="0.2">
      <c r="A44" s="59" t="s">
        <v>1060</v>
      </c>
      <c r="B44" s="8" t="s">
        <v>1362</v>
      </c>
      <c r="C44" s="11">
        <v>550</v>
      </c>
      <c r="D44" s="196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>
        <v>140</v>
      </c>
      <c r="T44" s="11">
        <v>50</v>
      </c>
      <c r="U44" s="290">
        <f>C44+D44+E44+F44+G44+H44+I44+N44+S44+T44</f>
        <v>740</v>
      </c>
    </row>
    <row r="45" spans="1:21" x14ac:dyDescent="0.2">
      <c r="A45" s="280" t="s">
        <v>1342</v>
      </c>
      <c r="B45" s="14" t="s">
        <v>287</v>
      </c>
      <c r="C45" s="6">
        <f t="shared" ref="C45:F45" si="22">SUM(C46:C79)</f>
        <v>30060</v>
      </c>
      <c r="D45" s="6">
        <f t="shared" si="22"/>
        <v>200</v>
      </c>
      <c r="E45" s="6">
        <f t="shared" si="22"/>
        <v>62009</v>
      </c>
      <c r="F45" s="6">
        <f t="shared" si="22"/>
        <v>5700</v>
      </c>
      <c r="G45" s="6">
        <f t="shared" ref="G45:T45" si="23">SUM(G46:G79)</f>
        <v>108412</v>
      </c>
      <c r="H45" s="6">
        <f t="shared" si="23"/>
        <v>27607</v>
      </c>
      <c r="I45" s="6">
        <f t="shared" si="23"/>
        <v>0</v>
      </c>
      <c r="J45" s="6">
        <f t="shared" si="23"/>
        <v>0</v>
      </c>
      <c r="K45" s="6">
        <f t="shared" si="23"/>
        <v>0</v>
      </c>
      <c r="L45" s="6">
        <f t="shared" si="23"/>
        <v>0</v>
      </c>
      <c r="M45" s="6">
        <f t="shared" si="23"/>
        <v>0</v>
      </c>
      <c r="N45" s="6">
        <f t="shared" si="23"/>
        <v>0</v>
      </c>
      <c r="O45" s="6">
        <f t="shared" si="23"/>
        <v>0</v>
      </c>
      <c r="P45" s="6">
        <f t="shared" si="23"/>
        <v>0</v>
      </c>
      <c r="Q45" s="6">
        <f t="shared" si="23"/>
        <v>3120</v>
      </c>
      <c r="R45" s="6">
        <f t="shared" si="23"/>
        <v>3120</v>
      </c>
      <c r="S45" s="6">
        <f t="shared" si="23"/>
        <v>24116</v>
      </c>
      <c r="T45" s="6">
        <f t="shared" si="23"/>
        <v>5720</v>
      </c>
      <c r="U45" s="691">
        <f>C45+D45+E45+F45+G45+H45+I45+N45+S45+T45</f>
        <v>263824</v>
      </c>
    </row>
    <row r="46" spans="1:21" s="9" customFormat="1" x14ac:dyDescent="0.2">
      <c r="A46" s="59" t="s">
        <v>786</v>
      </c>
      <c r="B46" s="8" t="s">
        <v>304</v>
      </c>
      <c r="C46" s="196"/>
      <c r="D46" s="196"/>
      <c r="E46" s="11">
        <v>43300</v>
      </c>
      <c r="F46" s="11">
        <v>1700</v>
      </c>
      <c r="G46" s="11">
        <v>25000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>
        <v>10000</v>
      </c>
      <c r="T46" s="11"/>
      <c r="U46" s="290">
        <f>C46+D46+E46+F46+G46+H46+I46+N46+S46+T46</f>
        <v>80000</v>
      </c>
    </row>
    <row r="47" spans="1:21" s="9" customFormat="1" x14ac:dyDescent="0.2">
      <c r="A47" s="59" t="s">
        <v>1057</v>
      </c>
      <c r="B47" s="8" t="s">
        <v>316</v>
      </c>
      <c r="C47" s="11"/>
      <c r="D47" s="196"/>
      <c r="E47" s="11"/>
      <c r="F47" s="11"/>
      <c r="G47" s="11"/>
      <c r="H47" s="11">
        <v>27457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290">
        <f>C47+D47+E47+F47+G47+H47+I47+N47+S47+T47</f>
        <v>27457</v>
      </c>
    </row>
    <row r="48" spans="1:21" s="9" customFormat="1" x14ac:dyDescent="0.2">
      <c r="A48" s="59" t="s">
        <v>1163</v>
      </c>
      <c r="B48" s="8" t="s">
        <v>303</v>
      </c>
      <c r="C48" s="11">
        <v>120</v>
      </c>
      <c r="D48" s="196"/>
      <c r="E48" s="11">
        <v>16357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290">
        <f>C48+D48+E48+F48+G48+H48+I48+N48+S48+T48</f>
        <v>16477</v>
      </c>
    </row>
    <row r="49" spans="1:23" s="9" customFormat="1" x14ac:dyDescent="0.2">
      <c r="A49" s="59" t="s">
        <v>1061</v>
      </c>
      <c r="B49" s="8" t="s">
        <v>302</v>
      </c>
      <c r="C49" s="11">
        <v>400</v>
      </c>
      <c r="D49" s="11">
        <v>50</v>
      </c>
      <c r="E49" s="11"/>
      <c r="F49" s="11">
        <v>600</v>
      </c>
      <c r="G49" s="11">
        <v>2100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>
        <v>200</v>
      </c>
      <c r="T49" s="11">
        <v>100</v>
      </c>
      <c r="U49" s="290">
        <f>C49+D49+E49+F49+G49+H49+I49+N49+S49+T49</f>
        <v>3450</v>
      </c>
    </row>
    <row r="50" spans="1:23" s="9" customFormat="1" x14ac:dyDescent="0.2">
      <c r="A50" s="59"/>
      <c r="B50" s="8" t="s">
        <v>397</v>
      </c>
      <c r="C50" s="11"/>
      <c r="D50" s="196"/>
      <c r="E50" s="11"/>
      <c r="F50" s="11"/>
      <c r="G50" s="11">
        <v>796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290">
        <f>C50+D50+E50+F50+G50+H50+I50+N50+S50+T50</f>
        <v>796</v>
      </c>
    </row>
    <row r="51" spans="1:23" s="9" customFormat="1" ht="12.75" customHeight="1" x14ac:dyDescent="0.2">
      <c r="A51" s="59" t="s">
        <v>1078</v>
      </c>
      <c r="B51" s="8" t="s">
        <v>301</v>
      </c>
      <c r="C51" s="11">
        <v>2000</v>
      </c>
      <c r="D51" s="196"/>
      <c r="E51" s="11"/>
      <c r="F51" s="11"/>
      <c r="G51" s="11">
        <v>13000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290">
        <f>C51+D51+E51+F51+G51+H51+I51+N51+S51+T51</f>
        <v>15000</v>
      </c>
    </row>
    <row r="52" spans="1:23" s="9" customFormat="1" x14ac:dyDescent="0.2">
      <c r="A52" s="59" t="s">
        <v>787</v>
      </c>
      <c r="B52" s="8" t="s">
        <v>300</v>
      </c>
      <c r="C52" s="11"/>
      <c r="D52" s="196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290">
        <f>C52+D52+E52+F52+G52+H52+I52+N52+S52+T52</f>
        <v>0</v>
      </c>
    </row>
    <row r="53" spans="1:23" s="9" customFormat="1" x14ac:dyDescent="0.2">
      <c r="A53" s="59"/>
      <c r="B53" s="8" t="s">
        <v>308</v>
      </c>
      <c r="C53" s="11">
        <v>1620</v>
      </c>
      <c r="D53" s="196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290">
        <f>C53+D53+E53+F53+G53+H53+I53+N53+S53+T53</f>
        <v>1620</v>
      </c>
    </row>
    <row r="54" spans="1:23" s="9" customFormat="1" x14ac:dyDescent="0.2">
      <c r="A54" s="59"/>
      <c r="B54" s="8" t="s">
        <v>309</v>
      </c>
      <c r="C54" s="11">
        <v>1920</v>
      </c>
      <c r="D54" s="196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290">
        <f>C54+D54+E54+F54+G54+H54+I54+N54+S54+T54</f>
        <v>1920</v>
      </c>
    </row>
    <row r="55" spans="1:23" s="9" customFormat="1" x14ac:dyDescent="0.2">
      <c r="A55" s="59"/>
      <c r="B55" s="8" t="s">
        <v>322</v>
      </c>
      <c r="C55" s="11">
        <f>(2100+2520+1950)+7000+430</f>
        <v>14000</v>
      </c>
      <c r="D55" s="196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290">
        <f>C55+D55+E55+F55+G55+H55+I55+N55+S55+T55</f>
        <v>14000</v>
      </c>
    </row>
    <row r="56" spans="1:23" s="9" customFormat="1" x14ac:dyDescent="0.2">
      <c r="A56" s="59"/>
      <c r="B56" s="8" t="s">
        <v>831</v>
      </c>
      <c r="C56" s="11">
        <v>2000</v>
      </c>
      <c r="D56" s="196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290">
        <f>C56+D56+E56+F56+G56+H56+I56+N56+S56+T56</f>
        <v>2000</v>
      </c>
    </row>
    <row r="57" spans="1:23" s="9" customFormat="1" x14ac:dyDescent="0.2">
      <c r="A57" s="59"/>
      <c r="B57" s="8" t="s">
        <v>320</v>
      </c>
      <c r="C57" s="8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>
        <v>128</v>
      </c>
      <c r="T57" s="11"/>
      <c r="U57" s="290">
        <f>C57+D57+E57+F57+G57+H57+I57+N57+S57+T57</f>
        <v>128</v>
      </c>
    </row>
    <row r="58" spans="1:23" s="9" customFormat="1" x14ac:dyDescent="0.2">
      <c r="A58" s="59"/>
      <c r="B58" s="8" t="s">
        <v>92</v>
      </c>
      <c r="C58" s="8"/>
      <c r="D58" s="196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>
        <v>1022</v>
      </c>
      <c r="T58" s="11"/>
      <c r="U58" s="290">
        <f>C58+D58+E58+F58+G58+H58+I58+N58+S58+T58</f>
        <v>1022</v>
      </c>
    </row>
    <row r="59" spans="1:23" s="9" customFormat="1" x14ac:dyDescent="0.2">
      <c r="A59" s="59"/>
      <c r="B59" s="8" t="s">
        <v>832</v>
      </c>
      <c r="C59" s="8"/>
      <c r="D59" s="196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>
        <v>2815</v>
      </c>
      <c r="T59" s="11"/>
      <c r="U59" s="290">
        <f>C59+D59+E59+F59+G59+H59+I59+N59+S59+T59</f>
        <v>2815</v>
      </c>
    </row>
    <row r="60" spans="1:23" s="9" customFormat="1" x14ac:dyDescent="0.2">
      <c r="A60" s="59"/>
      <c r="B60" s="8" t="s">
        <v>400</v>
      </c>
      <c r="C60" s="8"/>
      <c r="D60" s="196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>
        <v>8683</v>
      </c>
      <c r="T60" s="11"/>
      <c r="U60" s="290">
        <f>C60+D60+E60+F60+G60+H60+I60+N60+S60+T60</f>
        <v>8683</v>
      </c>
    </row>
    <row r="61" spans="1:23" s="9" customFormat="1" x14ac:dyDescent="0.2">
      <c r="A61" s="59"/>
      <c r="B61" s="8" t="s">
        <v>311</v>
      </c>
      <c r="C61" s="8"/>
      <c r="D61" s="196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>
        <v>728</v>
      </c>
      <c r="T61" s="11"/>
      <c r="U61" s="290">
        <f>C61+D61+E61+F61+G61+H61+I61+N61+S61+T61</f>
        <v>728</v>
      </c>
    </row>
    <row r="62" spans="1:23" s="9" customFormat="1" x14ac:dyDescent="0.2">
      <c r="A62" s="59"/>
      <c r="B62" s="8" t="s">
        <v>999</v>
      </c>
      <c r="C62" s="8"/>
      <c r="D62" s="196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>
        <v>3120</v>
      </c>
      <c r="R62" s="11">
        <v>3120</v>
      </c>
      <c r="S62" s="11"/>
      <c r="T62" s="11">
        <f>(260*12)</f>
        <v>3120</v>
      </c>
      <c r="U62" s="290">
        <f>C62+D62+E62+F62+G62+H62+I62+N62+S62+T62</f>
        <v>3120</v>
      </c>
      <c r="W62" s="37"/>
    </row>
    <row r="63" spans="1:23" s="9" customFormat="1" ht="12.75" hidden="1" customHeight="1" x14ac:dyDescent="0.2">
      <c r="A63" s="59"/>
      <c r="B63" s="8"/>
      <c r="C63" s="11"/>
      <c r="D63" s="196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290">
        <f>C63+D63+E63+F63+G63+H63+I63+N63+S63+T63</f>
        <v>0</v>
      </c>
    </row>
    <row r="64" spans="1:23" s="9" customFormat="1" ht="12.75" hidden="1" customHeight="1" thickBot="1" x14ac:dyDescent="0.25">
      <c r="A64" s="59"/>
      <c r="B64" s="8" t="s">
        <v>722</v>
      </c>
      <c r="C64" s="11"/>
      <c r="D64" s="196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290">
        <f>C64+D64+E64+F64+G64+H64+I64+N64+S64+T64</f>
        <v>0</v>
      </c>
    </row>
    <row r="65" spans="1:21" s="9" customFormat="1" ht="13.5" thickBot="1" x14ac:dyDescent="0.25">
      <c r="A65" s="59"/>
      <c r="B65" s="20" t="s">
        <v>835</v>
      </c>
      <c r="C65" s="11">
        <v>2000</v>
      </c>
      <c r="D65" s="196"/>
      <c r="E65" s="11"/>
      <c r="F65" s="11"/>
      <c r="G65" s="11">
        <f>3500+224+3960+1500</f>
        <v>9184</v>
      </c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290">
        <f>C65+D65+E65+F65+G65+H65+I65+N65+S65+T65</f>
        <v>11184</v>
      </c>
    </row>
    <row r="66" spans="1:21" s="9" customFormat="1" ht="15" hidden="1" customHeight="1" x14ac:dyDescent="0.2">
      <c r="A66" s="59"/>
      <c r="B66" s="20" t="s">
        <v>1140</v>
      </c>
      <c r="C66" s="11"/>
      <c r="D66" s="196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290">
        <f>C66+D66+E66+F66+G66+H66+I66+N66+S66+T66</f>
        <v>0</v>
      </c>
    </row>
    <row r="67" spans="1:21" s="9" customFormat="1" ht="15.75" hidden="1" customHeight="1" thickBot="1" x14ac:dyDescent="0.25">
      <c r="A67" s="59"/>
      <c r="B67" s="20" t="s">
        <v>1259</v>
      </c>
      <c r="C67" s="11"/>
      <c r="D67" s="196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290">
        <f>C67+D67+E67+F67+G67+H67+I67+N67+S67+T67</f>
        <v>0</v>
      </c>
    </row>
    <row r="68" spans="1:21" s="9" customFormat="1" ht="15.75" hidden="1" customHeight="1" thickBot="1" x14ac:dyDescent="0.25">
      <c r="A68" s="59"/>
      <c r="B68" s="20"/>
      <c r="C68" s="11"/>
      <c r="D68" s="196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290">
        <f>C68+D68+E68+F68+G68+H68+I68+N68+S68+T68</f>
        <v>0</v>
      </c>
    </row>
    <row r="69" spans="1:21" s="9" customFormat="1" ht="15.75" hidden="1" customHeight="1" thickBot="1" x14ac:dyDescent="0.25">
      <c r="A69" s="59"/>
      <c r="B69" s="20"/>
      <c r="C69" s="11"/>
      <c r="D69" s="196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290">
        <f>C69+D69+E69+F69+G69+H69+I69+N69+S69+T69</f>
        <v>0</v>
      </c>
    </row>
    <row r="70" spans="1:21" s="9" customFormat="1" ht="26.25" thickBot="1" x14ac:dyDescent="0.25">
      <c r="A70" s="281"/>
      <c r="B70" s="268" t="s">
        <v>839</v>
      </c>
      <c r="C70" s="11"/>
      <c r="D70" s="259"/>
      <c r="E70" s="82"/>
      <c r="F70" s="82"/>
      <c r="G70" s="269">
        <f>C138</f>
        <v>52682</v>
      </c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290">
        <f>C70+D70+E70+F70+G70+H70+I70+N70+S70+T70</f>
        <v>52682</v>
      </c>
    </row>
    <row r="71" spans="1:21" s="9" customFormat="1" x14ac:dyDescent="0.2">
      <c r="A71" s="59" t="s">
        <v>788</v>
      </c>
      <c r="B71" s="163" t="s">
        <v>299</v>
      </c>
      <c r="C71" s="81"/>
      <c r="D71" s="196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290">
        <f>C71+D71+E71+F71+G71+H71+I71+N71+S71+T71</f>
        <v>0</v>
      </c>
    </row>
    <row r="72" spans="1:21" s="9" customFormat="1" x14ac:dyDescent="0.2">
      <c r="A72" s="59"/>
      <c r="B72" s="8" t="s">
        <v>338</v>
      </c>
      <c r="C72" s="11">
        <v>100</v>
      </c>
      <c r="D72" s="196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290">
        <f>C72+D72+E72+F72+G72+H72+I72+N72+S72+T72</f>
        <v>100</v>
      </c>
    </row>
    <row r="73" spans="1:21" s="9" customFormat="1" x14ac:dyDescent="0.2">
      <c r="A73" s="59"/>
      <c r="B73" s="8" t="s">
        <v>441</v>
      </c>
      <c r="C73" s="11">
        <v>5500</v>
      </c>
      <c r="D73" s="196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290">
        <f>C73+D73+E73+F73+G73+H73+I73+N73+S73+T73</f>
        <v>5500</v>
      </c>
    </row>
    <row r="74" spans="1:21" s="9" customFormat="1" x14ac:dyDescent="0.2">
      <c r="A74" s="59"/>
      <c r="B74" s="8" t="s">
        <v>1068</v>
      </c>
      <c r="C74" s="11"/>
      <c r="D74" s="11"/>
      <c r="E74" s="11"/>
      <c r="F74" s="11"/>
      <c r="G74" s="11">
        <v>2300</v>
      </c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>
        <v>10</v>
      </c>
      <c r="T74" s="11"/>
      <c r="U74" s="290">
        <f>C74+D74+E74+F74+G74+H74+I74+N74+S74+T74</f>
        <v>2310</v>
      </c>
    </row>
    <row r="75" spans="1:21" s="9" customFormat="1" x14ac:dyDescent="0.2">
      <c r="A75" s="59"/>
      <c r="B75" s="8" t="s">
        <v>1345</v>
      </c>
      <c r="C75" s="11"/>
      <c r="D75" s="196"/>
      <c r="E75" s="11"/>
      <c r="F75" s="11">
        <v>1100</v>
      </c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290">
        <f>C75+D75+E75+F75+G75+H75+I75+N75+S75+T75</f>
        <v>1100</v>
      </c>
    </row>
    <row r="76" spans="1:21" s="9" customFormat="1" x14ac:dyDescent="0.2">
      <c r="A76" s="59"/>
      <c r="B76" s="8" t="s">
        <v>1346</v>
      </c>
      <c r="C76" s="11"/>
      <c r="D76" s="11">
        <v>150</v>
      </c>
      <c r="E76" s="11"/>
      <c r="F76" s="11"/>
      <c r="G76" s="11">
        <v>250</v>
      </c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>
        <v>380</v>
      </c>
      <c r="T76" s="11"/>
      <c r="U76" s="290">
        <f>C76+D76+E76+F76+G76+H76+I76+N76+S76+T76</f>
        <v>780</v>
      </c>
    </row>
    <row r="77" spans="1:21" s="9" customFormat="1" x14ac:dyDescent="0.2">
      <c r="A77" s="59"/>
      <c r="B77" s="8" t="s">
        <v>1165</v>
      </c>
      <c r="C77" s="11"/>
      <c r="D77" s="196"/>
      <c r="E77" s="11"/>
      <c r="F77" s="11">
        <v>500</v>
      </c>
      <c r="G77" s="11">
        <v>100</v>
      </c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>
        <v>100</v>
      </c>
      <c r="T77" s="11"/>
      <c r="U77" s="290">
        <f>C77+D77+E77+F77+G77+H77+I77+N77+S77+T77</f>
        <v>700</v>
      </c>
    </row>
    <row r="78" spans="1:21" s="9" customFormat="1" x14ac:dyDescent="0.2">
      <c r="A78" s="59"/>
      <c r="B78" s="8" t="s">
        <v>1168</v>
      </c>
      <c r="C78" s="11">
        <v>400</v>
      </c>
      <c r="D78" s="196"/>
      <c r="E78" s="11">
        <v>2352</v>
      </c>
      <c r="F78" s="11">
        <v>1000</v>
      </c>
      <c r="G78" s="11">
        <v>3000</v>
      </c>
      <c r="H78" s="11">
        <v>150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>
        <v>50</v>
      </c>
      <c r="T78" s="11">
        <v>2500</v>
      </c>
      <c r="U78" s="290">
        <f>C78+D78+E78+F78+G78+H78+I78+N78+S78+T78</f>
        <v>9452</v>
      </c>
    </row>
    <row r="79" spans="1:21" s="9" customFormat="1" x14ac:dyDescent="0.2">
      <c r="A79" s="59"/>
      <c r="B79" s="8" t="s">
        <v>756</v>
      </c>
      <c r="C79" s="11"/>
      <c r="D79" s="196"/>
      <c r="E79" s="11"/>
      <c r="F79" s="11">
        <v>800</v>
      </c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290">
        <f>C79+D79+E79+F79+G79+H79+I79+N79+S79+T79</f>
        <v>800</v>
      </c>
    </row>
    <row r="80" spans="1:21" s="9" customFormat="1" x14ac:dyDescent="0.2">
      <c r="A80" s="280" t="s">
        <v>1343</v>
      </c>
      <c r="B80" s="14" t="s">
        <v>259</v>
      </c>
      <c r="C80" s="6">
        <f t="shared" ref="C80:H80" si="24">SUM(C81:C82)</f>
        <v>550</v>
      </c>
      <c r="D80" s="6">
        <f t="shared" ref="D80" si="25">SUM(D81:D82)</f>
        <v>50</v>
      </c>
      <c r="E80" s="6">
        <f t="shared" si="24"/>
        <v>0</v>
      </c>
      <c r="F80" s="6">
        <f t="shared" ref="F80" si="26">SUM(F81:F82)</f>
        <v>0</v>
      </c>
      <c r="G80" s="6">
        <f t="shared" si="24"/>
        <v>1110</v>
      </c>
      <c r="H80" s="6">
        <f t="shared" si="24"/>
        <v>0</v>
      </c>
      <c r="I80" s="6">
        <f t="shared" ref="I80:T80" si="27">SUM(I81:I82)</f>
        <v>0</v>
      </c>
      <c r="J80" s="6">
        <f t="shared" si="27"/>
        <v>0</v>
      </c>
      <c r="K80" s="6">
        <f>SUM(K81:K82)</f>
        <v>0</v>
      </c>
      <c r="L80" s="6">
        <f t="shared" si="27"/>
        <v>0</v>
      </c>
      <c r="M80" s="6">
        <f t="shared" si="27"/>
        <v>0</v>
      </c>
      <c r="N80" s="6">
        <f t="shared" si="27"/>
        <v>0</v>
      </c>
      <c r="O80" s="6">
        <f>SUM(O81:O82)</f>
        <v>0</v>
      </c>
      <c r="P80" s="6">
        <f>SUM(P81:P82)</f>
        <v>0</v>
      </c>
      <c r="Q80" s="6">
        <f>SUM(Q81:Q82)</f>
        <v>0</v>
      </c>
      <c r="R80" s="6">
        <f t="shared" si="27"/>
        <v>0</v>
      </c>
      <c r="S80" s="6">
        <f t="shared" ref="S80" si="28">SUM(S81:S82)</f>
        <v>0</v>
      </c>
      <c r="T80" s="6">
        <f t="shared" si="27"/>
        <v>2500</v>
      </c>
      <c r="U80" s="691">
        <f>C80+D80+E80+F80+G80+H80+I80+N80+S80+T80</f>
        <v>4210</v>
      </c>
    </row>
    <row r="81" spans="1:23" s="9" customFormat="1" x14ac:dyDescent="0.2">
      <c r="A81" s="59" t="s">
        <v>921</v>
      </c>
      <c r="B81" s="8" t="s">
        <v>298</v>
      </c>
      <c r="C81" s="11">
        <v>50</v>
      </c>
      <c r="D81" s="11">
        <v>50</v>
      </c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90">
        <f>C81+D81+E81+F81+G81+H81+I81+N81+S81+T81</f>
        <v>100</v>
      </c>
    </row>
    <row r="82" spans="1:23" s="9" customFormat="1" x14ac:dyDescent="0.2">
      <c r="A82" s="59" t="s">
        <v>1143</v>
      </c>
      <c r="B82" s="8" t="s">
        <v>310</v>
      </c>
      <c r="C82" s="11">
        <v>500</v>
      </c>
      <c r="D82" s="196"/>
      <c r="E82" s="11"/>
      <c r="F82" s="11"/>
      <c r="G82" s="11">
        <f>200+910</f>
        <v>1110</v>
      </c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>
        <v>2500</v>
      </c>
      <c r="U82" s="290">
        <f>C82+D82+E82+F82+G82+H82+I82+N82+S82+T82</f>
        <v>4110</v>
      </c>
    </row>
    <row r="83" spans="1:23" x14ac:dyDescent="0.2">
      <c r="A83" s="280" t="s">
        <v>1344</v>
      </c>
      <c r="B83" s="14" t="s">
        <v>260</v>
      </c>
      <c r="C83" s="6">
        <f t="shared" ref="C83:J83" si="29">SUM(C84:C91)</f>
        <v>47730</v>
      </c>
      <c r="D83" s="6">
        <f t="shared" si="29"/>
        <v>192</v>
      </c>
      <c r="E83" s="6">
        <f t="shared" si="29"/>
        <v>16742</v>
      </c>
      <c r="F83" s="6">
        <f t="shared" ref="F83" si="30">SUM(F84:F91)</f>
        <v>2324</v>
      </c>
      <c r="G83" s="6">
        <f t="shared" si="29"/>
        <v>87398</v>
      </c>
      <c r="H83" s="6">
        <f t="shared" si="29"/>
        <v>5080</v>
      </c>
      <c r="I83" s="6">
        <f t="shared" si="29"/>
        <v>0</v>
      </c>
      <c r="J83" s="6">
        <f t="shared" si="29"/>
        <v>0</v>
      </c>
      <c r="K83" s="6">
        <f t="shared" ref="K83:T83" si="31">SUM(K84:K91)</f>
        <v>0</v>
      </c>
      <c r="L83" s="6">
        <f t="shared" si="31"/>
        <v>0</v>
      </c>
      <c r="M83" s="6">
        <f t="shared" si="31"/>
        <v>0</v>
      </c>
      <c r="N83" s="6">
        <f t="shared" si="31"/>
        <v>0</v>
      </c>
      <c r="O83" s="6">
        <f t="shared" si="31"/>
        <v>0</v>
      </c>
      <c r="P83" s="6">
        <f t="shared" si="31"/>
        <v>0</v>
      </c>
      <c r="Q83" s="6">
        <f t="shared" si="31"/>
        <v>0</v>
      </c>
      <c r="R83" s="6">
        <f t="shared" si="31"/>
        <v>0</v>
      </c>
      <c r="S83" s="6">
        <f t="shared" si="31"/>
        <v>3131</v>
      </c>
      <c r="T83" s="6">
        <f t="shared" si="31"/>
        <v>1831</v>
      </c>
      <c r="U83" s="691">
        <f>C83+D83+E83+F83+G83+H83+I83+N83+S83+T83</f>
        <v>164428</v>
      </c>
      <c r="V83" s="75"/>
    </row>
    <row r="84" spans="1:23" x14ac:dyDescent="0.2">
      <c r="A84" s="59" t="s">
        <v>789</v>
      </c>
      <c r="B84" s="8" t="s">
        <v>288</v>
      </c>
      <c r="C84" s="11">
        <v>2660</v>
      </c>
      <c r="D84" s="11">
        <v>142</v>
      </c>
      <c r="E84" s="11">
        <v>16742</v>
      </c>
      <c r="F84" s="11">
        <v>2174</v>
      </c>
      <c r="G84" s="11">
        <v>29235</v>
      </c>
      <c r="H84" s="11">
        <v>5080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>
        <v>3131</v>
      </c>
      <c r="T84" s="11">
        <v>1531</v>
      </c>
      <c r="U84" s="290">
        <f>C84+D84+E84+F84+G84+H84+I84+N84+S84+T84</f>
        <v>60695</v>
      </c>
    </row>
    <row r="85" spans="1:23" x14ac:dyDescent="0.2">
      <c r="A85" s="59" t="s">
        <v>815</v>
      </c>
      <c r="B85" s="596" t="s">
        <v>881</v>
      </c>
      <c r="C85" s="11"/>
      <c r="D85" s="196"/>
      <c r="E85" s="11"/>
      <c r="F85" s="11"/>
      <c r="G85" s="528">
        <f>S112</f>
        <v>55963</v>
      </c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290">
        <f>C85+D85+E85+F85+G85+H85+I85+N85+S85+T85</f>
        <v>55963</v>
      </c>
    </row>
    <row r="86" spans="1:23" x14ac:dyDescent="0.2">
      <c r="A86" s="59" t="s">
        <v>1161</v>
      </c>
      <c r="B86" s="8" t="s">
        <v>879</v>
      </c>
      <c r="C86" s="11">
        <f>70+41500</f>
        <v>41570</v>
      </c>
      <c r="D86" s="196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290">
        <f>C86+D86+E86+F86+G86+H86+I86+N86+S86+T86</f>
        <v>41570</v>
      </c>
    </row>
    <row r="87" spans="1:23" x14ac:dyDescent="0.2">
      <c r="A87" s="59" t="s">
        <v>791</v>
      </c>
      <c r="B87" s="8" t="s">
        <v>58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290">
        <f>C87+D87+E87+F87+G87+H87+I87+N87+S87+T87</f>
        <v>0</v>
      </c>
    </row>
    <row r="88" spans="1:23" ht="12.75" hidden="1" customHeight="1" x14ac:dyDescent="0.2">
      <c r="A88" s="59"/>
      <c r="B88" s="8"/>
      <c r="C88" s="11"/>
      <c r="D88" s="196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290"/>
    </row>
    <row r="89" spans="1:23" ht="12.75" hidden="1" customHeight="1" x14ac:dyDescent="0.2">
      <c r="A89" s="59"/>
      <c r="B89" s="8"/>
      <c r="C89" s="11">
        <v>0</v>
      </c>
      <c r="D89" s="196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290">
        <f>C89+D89+E89+F89+G89+H89+I89+N89+S89+T89</f>
        <v>0</v>
      </c>
    </row>
    <row r="90" spans="1:23" x14ac:dyDescent="0.2">
      <c r="A90" s="59"/>
      <c r="B90" s="8" t="s">
        <v>884</v>
      </c>
      <c r="C90" s="11">
        <f>3500</f>
        <v>3500</v>
      </c>
      <c r="D90" s="11">
        <v>50</v>
      </c>
      <c r="E90" s="11"/>
      <c r="F90" s="11">
        <v>150</v>
      </c>
      <c r="G90" s="11">
        <f>1200+1000</f>
        <v>2200</v>
      </c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>
        <v>300</v>
      </c>
      <c r="U90" s="290">
        <f>C90+D90+E90+F90+G90+H90+I90+N90+S90+T90</f>
        <v>6200</v>
      </c>
    </row>
    <row r="91" spans="1:23" ht="12.75" hidden="1" customHeight="1" x14ac:dyDescent="0.2">
      <c r="A91" s="59"/>
      <c r="B91" s="8" t="s">
        <v>442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290">
        <f>C91+D91+E91+F91+G91+H91+I91+N91+S91+T91</f>
        <v>0</v>
      </c>
    </row>
    <row r="92" spans="1:23" x14ac:dyDescent="0.2">
      <c r="A92" s="280" t="s">
        <v>293</v>
      </c>
      <c r="B92" s="114" t="s">
        <v>31</v>
      </c>
      <c r="C92" s="149">
        <f t="shared" ref="C92:J92" si="32">SUM(C33+C42+C45+C80+C83)</f>
        <v>80240</v>
      </c>
      <c r="D92" s="149">
        <f t="shared" si="32"/>
        <v>717</v>
      </c>
      <c r="E92" s="149">
        <f t="shared" si="32"/>
        <v>78751</v>
      </c>
      <c r="F92" s="149">
        <f t="shared" si="32"/>
        <v>12024</v>
      </c>
      <c r="G92" s="149">
        <f t="shared" si="32"/>
        <v>197640</v>
      </c>
      <c r="H92" s="149">
        <f t="shared" si="32"/>
        <v>32737</v>
      </c>
      <c r="I92" s="149">
        <f t="shared" si="32"/>
        <v>0</v>
      </c>
      <c r="J92" s="149">
        <f t="shared" si="32"/>
        <v>0</v>
      </c>
      <c r="K92" s="149">
        <f t="shared" ref="K92:T92" si="33">SUM(K33+K42+K45+K80+K83)</f>
        <v>0</v>
      </c>
      <c r="L92" s="149">
        <f t="shared" si="33"/>
        <v>0</v>
      </c>
      <c r="M92" s="149">
        <f t="shared" si="33"/>
        <v>0</v>
      </c>
      <c r="N92" s="149">
        <f t="shared" si="33"/>
        <v>0</v>
      </c>
      <c r="O92" s="149">
        <f t="shared" si="33"/>
        <v>0</v>
      </c>
      <c r="P92" s="149">
        <f t="shared" si="33"/>
        <v>0</v>
      </c>
      <c r="Q92" s="149">
        <f t="shared" si="33"/>
        <v>3120</v>
      </c>
      <c r="R92" s="149">
        <f t="shared" si="33"/>
        <v>3120</v>
      </c>
      <c r="S92" s="149">
        <f t="shared" si="33"/>
        <v>28112</v>
      </c>
      <c r="T92" s="149">
        <f t="shared" si="33"/>
        <v>11321</v>
      </c>
      <c r="U92" s="149">
        <f>C92+D92+E92+F92+G92+H92+I92+N92+S92+T92</f>
        <v>441542</v>
      </c>
      <c r="W92" s="75"/>
    </row>
    <row r="93" spans="1:23" x14ac:dyDescent="0.2">
      <c r="A93" s="282" t="s">
        <v>292</v>
      </c>
      <c r="B93" s="114" t="s">
        <v>479</v>
      </c>
      <c r="C93" s="149"/>
      <c r="D93" s="149"/>
      <c r="E93" s="149"/>
      <c r="F93" s="149"/>
      <c r="G93" s="149"/>
      <c r="H93" s="149">
        <v>11500</v>
      </c>
      <c r="I93" s="149"/>
      <c r="J93" s="149"/>
      <c r="K93" s="149"/>
      <c r="L93" s="149">
        <v>9000</v>
      </c>
      <c r="M93" s="149">
        <v>9000</v>
      </c>
      <c r="N93" s="149"/>
      <c r="O93" s="149"/>
      <c r="P93" s="149"/>
      <c r="Q93" s="149"/>
      <c r="R93" s="149"/>
      <c r="S93" s="149"/>
      <c r="T93" s="149"/>
      <c r="U93" s="149">
        <f>C93+D93+E93+F93+G93+H93+I93+N93+S93+T93</f>
        <v>11500</v>
      </c>
    </row>
    <row r="94" spans="1:23" ht="13.5" thickBot="1" x14ac:dyDescent="0.25">
      <c r="A94" s="282" t="s">
        <v>318</v>
      </c>
      <c r="B94" s="152" t="s">
        <v>403</v>
      </c>
      <c r="C94" s="149">
        <f>SUM('4. Átadott p.eszk.'!B66)</f>
        <v>479557</v>
      </c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49">
        <f>C94+D94+E94+F94+G94+H94+I94+N94+S94+T94</f>
        <v>479557</v>
      </c>
    </row>
    <row r="95" spans="1:23" ht="15.75" customHeight="1" thickBot="1" x14ac:dyDescent="0.3">
      <c r="A95" s="282"/>
      <c r="B95" s="211" t="s">
        <v>10</v>
      </c>
      <c r="C95" s="155">
        <f t="shared" ref="C95:J95" si="34">SUM(C28+C32+C92+C93+C94)</f>
        <v>581740</v>
      </c>
      <c r="D95" s="155">
        <f t="shared" si="34"/>
        <v>8026</v>
      </c>
      <c r="E95" s="155">
        <f t="shared" si="34"/>
        <v>78751</v>
      </c>
      <c r="F95" s="155">
        <f t="shared" si="34"/>
        <v>13276</v>
      </c>
      <c r="G95" s="155">
        <f t="shared" si="34"/>
        <v>210687</v>
      </c>
      <c r="H95" s="155">
        <f t="shared" si="34"/>
        <v>47090</v>
      </c>
      <c r="I95" s="155">
        <f t="shared" si="34"/>
        <v>0</v>
      </c>
      <c r="J95" s="155">
        <f t="shared" si="34"/>
        <v>0</v>
      </c>
      <c r="K95" s="155">
        <f t="shared" ref="K95:T95" si="35">SUM(K28+K32+K92+K93+K94)</f>
        <v>0</v>
      </c>
      <c r="L95" s="155">
        <f t="shared" si="35"/>
        <v>9000</v>
      </c>
      <c r="M95" s="155">
        <f t="shared" si="35"/>
        <v>9000</v>
      </c>
      <c r="N95" s="155">
        <f t="shared" si="35"/>
        <v>0</v>
      </c>
      <c r="O95" s="155">
        <f t="shared" si="35"/>
        <v>0</v>
      </c>
      <c r="P95" s="155">
        <f t="shared" si="35"/>
        <v>0</v>
      </c>
      <c r="Q95" s="155">
        <f t="shared" si="35"/>
        <v>3120</v>
      </c>
      <c r="R95" s="155">
        <f t="shared" si="35"/>
        <v>3120</v>
      </c>
      <c r="S95" s="155">
        <f t="shared" si="35"/>
        <v>28112</v>
      </c>
      <c r="T95" s="155">
        <f t="shared" si="35"/>
        <v>17237</v>
      </c>
      <c r="U95" s="155">
        <f>C95+D95+E95+F95+G95+H95+I95+N95+S95+T95</f>
        <v>984919</v>
      </c>
      <c r="V95" s="75"/>
    </row>
    <row r="96" spans="1:23" ht="15.75" thickBot="1" x14ac:dyDescent="0.3">
      <c r="A96" s="282" t="s">
        <v>319</v>
      </c>
      <c r="B96" s="209" t="s">
        <v>402</v>
      </c>
      <c r="C96" s="210">
        <f>SUM('3.felh'!C45+'3.felh'!C66+'3.felh'!C80)</f>
        <v>549540</v>
      </c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>
        <f>C96+D96+E96+F96+G96+H96+I96+N96+S96+T96</f>
        <v>549540</v>
      </c>
    </row>
    <row r="97" spans="1:22" ht="20.25" thickBot="1" x14ac:dyDescent="0.4">
      <c r="A97" s="281"/>
      <c r="B97" s="201" t="s">
        <v>7</v>
      </c>
      <c r="C97" s="202">
        <f t="shared" ref="C97:H97" si="36">SUM(C95+C96)</f>
        <v>1131280</v>
      </c>
      <c r="D97" s="202">
        <f>SUM(D95+D96)</f>
        <v>8026</v>
      </c>
      <c r="E97" s="202">
        <f t="shared" si="36"/>
        <v>78751</v>
      </c>
      <c r="F97" s="202">
        <f t="shared" si="36"/>
        <v>13276</v>
      </c>
      <c r="G97" s="202">
        <f t="shared" si="36"/>
        <v>210687</v>
      </c>
      <c r="H97" s="202">
        <f t="shared" si="36"/>
        <v>47090</v>
      </c>
      <c r="I97" s="202">
        <f t="shared" ref="I97:T97" si="37">SUM(I95+I96)</f>
        <v>0</v>
      </c>
      <c r="J97" s="202">
        <f t="shared" si="37"/>
        <v>0</v>
      </c>
      <c r="K97" s="202">
        <f>SUM(K95+K96)</f>
        <v>0</v>
      </c>
      <c r="L97" s="202">
        <f t="shared" si="37"/>
        <v>9000</v>
      </c>
      <c r="M97" s="202">
        <f t="shared" si="37"/>
        <v>9000</v>
      </c>
      <c r="N97" s="202">
        <f t="shared" si="37"/>
        <v>0</v>
      </c>
      <c r="O97" s="202">
        <f>SUM(O95+O96)</f>
        <v>0</v>
      </c>
      <c r="P97" s="202">
        <f>SUM(P95+P96)</f>
        <v>0</v>
      </c>
      <c r="Q97" s="202">
        <f>SUM(Q95+Q96)</f>
        <v>3120</v>
      </c>
      <c r="R97" s="202">
        <f t="shared" si="37"/>
        <v>3120</v>
      </c>
      <c r="S97" s="202">
        <f t="shared" ref="S97" si="38">SUM(S95+S96)</f>
        <v>28112</v>
      </c>
      <c r="T97" s="202">
        <f t="shared" si="37"/>
        <v>17237</v>
      </c>
      <c r="U97" s="202">
        <f>C97+D97+E97+F97+G97+H97+I97+N97+S97+T97</f>
        <v>1534459</v>
      </c>
    </row>
    <row r="98" spans="1:22" ht="13.5" thickBot="1" x14ac:dyDescent="0.25">
      <c r="A98" s="289"/>
      <c r="B98" s="199" t="s">
        <v>59</v>
      </c>
      <c r="C98" s="232">
        <v>1</v>
      </c>
      <c r="D98" s="232">
        <v>2</v>
      </c>
      <c r="E98" s="232"/>
      <c r="F98" s="232"/>
      <c r="G98" s="232">
        <v>3</v>
      </c>
      <c r="H98" s="232">
        <v>1</v>
      </c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>
        <v>1</v>
      </c>
      <c r="U98" s="232">
        <f>C98+D98+E98+F98+G98+H98+I98+N98+S98+T98</f>
        <v>8</v>
      </c>
      <c r="V98" s="75"/>
    </row>
    <row r="99" spans="1:22" s="9" customFormat="1" ht="6" customHeight="1" x14ac:dyDescent="0.2">
      <c r="A99" s="170"/>
      <c r="B99" s="200"/>
      <c r="C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</row>
    <row r="100" spans="1:22" s="9" customFormat="1" hidden="1" x14ac:dyDescent="0.2">
      <c r="A100" s="170"/>
      <c r="B100"/>
      <c r="C100"/>
      <c r="E100"/>
      <c r="F100" s="195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1:22" s="9" customFormat="1" hidden="1" x14ac:dyDescent="0.2">
      <c r="A101" s="170"/>
      <c r="B101"/>
      <c r="C101" s="75"/>
      <c r="D101" s="37"/>
      <c r="E101" s="75"/>
      <c r="F101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/>
    </row>
    <row r="102" spans="1:22" s="9" customFormat="1" hidden="1" x14ac:dyDescent="0.2">
      <c r="A102" s="170"/>
      <c r="B102"/>
      <c r="C102" s="169"/>
      <c r="D102" s="169"/>
      <c r="E102" s="169"/>
      <c r="F102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/>
    </row>
    <row r="103" spans="1:22" s="9" customFormat="1" hidden="1" x14ac:dyDescent="0.2">
      <c r="A103" s="170"/>
      <c r="B103"/>
      <c r="C103" s="197"/>
      <c r="D103" s="169"/>
      <c r="E103" s="169"/>
      <c r="F103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/>
    </row>
    <row r="104" spans="1:22" s="9" customFormat="1" x14ac:dyDescent="0.2">
      <c r="A104" s="170"/>
      <c r="B104" s="292" t="s">
        <v>475</v>
      </c>
      <c r="C104" s="493"/>
      <c r="F104"/>
      <c r="G104" s="737"/>
      <c r="N104"/>
      <c r="O104"/>
      <c r="P104"/>
      <c r="Q104"/>
      <c r="R104"/>
      <c r="S104"/>
    </row>
    <row r="105" spans="1:22" s="9" customFormat="1" x14ac:dyDescent="0.2">
      <c r="A105" s="170"/>
      <c r="B105" s="292" t="s">
        <v>993</v>
      </c>
      <c r="C105" s="169" t="s">
        <v>396</v>
      </c>
      <c r="D105" s="169" t="s">
        <v>312</v>
      </c>
      <c r="E105" s="169" t="s">
        <v>837</v>
      </c>
      <c r="F105"/>
      <c r="N105"/>
      <c r="O105"/>
      <c r="P105"/>
      <c r="Q105"/>
      <c r="R105"/>
      <c r="S105"/>
      <c r="U105" s="37"/>
    </row>
    <row r="106" spans="1:22" s="9" customFormat="1" x14ac:dyDescent="0.2">
      <c r="A106" s="170"/>
      <c r="B106" t="s">
        <v>1387</v>
      </c>
      <c r="C106" s="169">
        <v>2025</v>
      </c>
      <c r="D106" s="37">
        <v>547</v>
      </c>
      <c r="E106" s="37">
        <f>SUM(C106+D106)</f>
        <v>2572</v>
      </c>
      <c r="F106" s="553"/>
      <c r="H106" s="292" t="s">
        <v>992</v>
      </c>
      <c r="I106" s="37"/>
      <c r="N106"/>
      <c r="O106"/>
      <c r="P106"/>
      <c r="Q106"/>
      <c r="R106"/>
      <c r="S106"/>
      <c r="U106"/>
    </row>
    <row r="107" spans="1:22" s="9" customFormat="1" x14ac:dyDescent="0.2">
      <c r="A107" s="170"/>
      <c r="B107" t="s">
        <v>1363</v>
      </c>
      <c r="C107" s="169">
        <v>2675</v>
      </c>
      <c r="D107" s="37">
        <v>722</v>
      </c>
      <c r="E107" s="37">
        <f>SUM(C107+D107)</f>
        <v>3397</v>
      </c>
      <c r="F107" s="553"/>
      <c r="H107" s="75"/>
      <c r="I107" s="37"/>
      <c r="N107"/>
      <c r="O107"/>
      <c r="P107"/>
      <c r="Q107"/>
      <c r="R107"/>
      <c r="S107"/>
      <c r="U107"/>
    </row>
    <row r="108" spans="1:22" s="9" customFormat="1" x14ac:dyDescent="0.2">
      <c r="A108" s="170"/>
      <c r="B108" t="s">
        <v>1364</v>
      </c>
      <c r="C108" s="169">
        <v>400</v>
      </c>
      <c r="D108" s="37">
        <v>108</v>
      </c>
      <c r="E108" s="37">
        <f>SUM(C108+D108)</f>
        <v>508</v>
      </c>
      <c r="F108" s="553"/>
      <c r="H108" s="75" t="s">
        <v>882</v>
      </c>
      <c r="I108" s="37"/>
      <c r="N108"/>
      <c r="O108"/>
      <c r="P108"/>
      <c r="Q108"/>
      <c r="R108"/>
      <c r="S108" s="75">
        <v>50963</v>
      </c>
      <c r="T108" s="37"/>
      <c r="U108"/>
    </row>
    <row r="109" spans="1:22" s="9" customFormat="1" x14ac:dyDescent="0.2">
      <c r="A109" s="170"/>
      <c r="B109" t="s">
        <v>1377</v>
      </c>
      <c r="C109" s="169">
        <v>1000</v>
      </c>
      <c r="D109" s="37">
        <v>270</v>
      </c>
      <c r="E109" s="37">
        <f>SUM(C109+D109)</f>
        <v>1270</v>
      </c>
      <c r="F109" s="553"/>
      <c r="H109" s="75" t="s">
        <v>1360</v>
      </c>
      <c r="S109" s="75">
        <v>0</v>
      </c>
      <c r="T109" s="37"/>
      <c r="U109"/>
    </row>
    <row r="110" spans="1:22" s="9" customFormat="1" x14ac:dyDescent="0.2">
      <c r="A110" s="170"/>
      <c r="B110" t="s">
        <v>1388</v>
      </c>
      <c r="C110" s="169">
        <v>307</v>
      </c>
      <c r="D110" s="37">
        <v>73</v>
      </c>
      <c r="E110" s="37">
        <f>SUM(C110+D110)</f>
        <v>380</v>
      </c>
      <c r="F110" s="553"/>
      <c r="H110" s="75" t="s">
        <v>885</v>
      </c>
      <c r="I110" s="37"/>
      <c r="N110"/>
      <c r="O110"/>
      <c r="P110"/>
      <c r="Q110"/>
      <c r="R110"/>
      <c r="S110" s="75">
        <v>5000</v>
      </c>
      <c r="T110" s="37"/>
      <c r="U110"/>
    </row>
    <row r="111" spans="1:22" s="9" customFormat="1" x14ac:dyDescent="0.2">
      <c r="A111" s="170"/>
      <c r="B111"/>
      <c r="C111" s="169"/>
      <c r="D111" s="37"/>
      <c r="E111" s="37"/>
      <c r="F111" s="553"/>
      <c r="T111" s="37"/>
      <c r="U111"/>
    </row>
    <row r="112" spans="1:22" s="9" customFormat="1" x14ac:dyDescent="0.2">
      <c r="A112" s="170"/>
      <c r="B112" t="s">
        <v>1366</v>
      </c>
      <c r="C112" s="169">
        <v>1750</v>
      </c>
      <c r="D112" s="37">
        <v>472</v>
      </c>
      <c r="E112" s="37">
        <f>SUM(C112+D112)</f>
        <v>2222</v>
      </c>
      <c r="F112" s="553"/>
      <c r="H112" s="554" t="s">
        <v>47</v>
      </c>
      <c r="I112" s="37"/>
      <c r="N112"/>
      <c r="O112"/>
      <c r="P112"/>
      <c r="Q112"/>
      <c r="R112"/>
      <c r="S112" s="554">
        <f>SUM(S107:S110)</f>
        <v>55963</v>
      </c>
      <c r="T112" s="37"/>
      <c r="U112"/>
    </row>
    <row r="113" spans="1:21" s="9" customFormat="1" x14ac:dyDescent="0.2">
      <c r="A113" s="170"/>
      <c r="B113" t="s">
        <v>1367</v>
      </c>
      <c r="C113" s="169">
        <v>1878</v>
      </c>
      <c r="D113" s="37">
        <v>507</v>
      </c>
      <c r="E113" s="37">
        <f>SUM(C113+D113)</f>
        <v>2385</v>
      </c>
      <c r="F113" s="75"/>
      <c r="G113" s="75"/>
      <c r="T113" s="75"/>
      <c r="U113"/>
    </row>
    <row r="114" spans="1:21" s="9" customFormat="1" x14ac:dyDescent="0.2">
      <c r="A114" s="170"/>
      <c r="B114" t="s">
        <v>1368</v>
      </c>
      <c r="C114" s="169">
        <v>1200</v>
      </c>
      <c r="D114" s="37">
        <v>324</v>
      </c>
      <c r="E114" s="37">
        <f>SUM(C114+D114)</f>
        <v>1524</v>
      </c>
      <c r="F114" s="75"/>
      <c r="G114" s="75"/>
      <c r="H114" s="75"/>
      <c r="I114"/>
      <c r="J114" s="169"/>
      <c r="K114" s="169"/>
      <c r="M114" s="169">
        <v>5350</v>
      </c>
      <c r="N114" s="75"/>
      <c r="O114" s="75"/>
      <c r="P114" s="75"/>
      <c r="Q114" s="75"/>
      <c r="R114" s="75"/>
      <c r="S114" s="75"/>
      <c r="T114"/>
      <c r="U114"/>
    </row>
    <row r="115" spans="1:21" s="9" customFormat="1" x14ac:dyDescent="0.2">
      <c r="A115" s="170"/>
      <c r="B115" t="s">
        <v>1369</v>
      </c>
      <c r="C115" s="169">
        <v>550</v>
      </c>
      <c r="D115" s="37">
        <v>0</v>
      </c>
      <c r="E115" s="37">
        <f>SUM(C115+D115)</f>
        <v>550</v>
      </c>
      <c r="F115" s="75"/>
      <c r="G115" s="75"/>
      <c r="H115" s="75"/>
      <c r="I115"/>
      <c r="J115" s="169"/>
      <c r="K115" s="169"/>
      <c r="M115" s="169"/>
      <c r="N115" s="75"/>
      <c r="O115" s="75"/>
      <c r="P115" s="75"/>
      <c r="Q115" s="75"/>
      <c r="R115" s="75"/>
      <c r="S115" s="75"/>
      <c r="T115"/>
      <c r="U115"/>
    </row>
    <row r="116" spans="1:21" s="9" customFormat="1" x14ac:dyDescent="0.2">
      <c r="A116" s="170"/>
      <c r="B116"/>
      <c r="C116" s="169"/>
      <c r="D116" s="37"/>
      <c r="E116" s="37"/>
      <c r="F116" s="75"/>
      <c r="G116" s="75"/>
      <c r="H116" s="75"/>
      <c r="I116"/>
      <c r="J116" s="169"/>
      <c r="K116" s="169"/>
      <c r="M116" s="169"/>
      <c r="N116" s="75"/>
      <c r="O116" s="75"/>
      <c r="P116" s="75"/>
      <c r="Q116" s="75"/>
      <c r="R116" s="75"/>
      <c r="S116" s="75"/>
      <c r="T116"/>
      <c r="U116"/>
    </row>
    <row r="117" spans="1:21" s="9" customFormat="1" x14ac:dyDescent="0.2">
      <c r="A117" s="170"/>
      <c r="B117" t="s">
        <v>1370</v>
      </c>
      <c r="C117" s="169">
        <v>12300</v>
      </c>
      <c r="D117" s="37">
        <v>3321</v>
      </c>
      <c r="E117" s="37">
        <f>SUM(C117+D117)</f>
        <v>15621</v>
      </c>
      <c r="F117" s="75"/>
      <c r="G117" s="75"/>
      <c r="H117" s="75"/>
      <c r="I117"/>
      <c r="J117" s="169"/>
      <c r="K117" s="169"/>
      <c r="M117" s="169"/>
      <c r="N117" s="75"/>
      <c r="O117" s="75"/>
      <c r="P117" s="75"/>
      <c r="Q117" s="75"/>
      <c r="R117" s="75"/>
      <c r="S117" s="75"/>
      <c r="T117"/>
      <c r="U117"/>
    </row>
    <row r="118" spans="1:21" s="9" customFormat="1" x14ac:dyDescent="0.2">
      <c r="A118" s="170"/>
      <c r="B118" t="s">
        <v>1371</v>
      </c>
      <c r="C118" s="169">
        <v>13200</v>
      </c>
      <c r="D118" s="37">
        <v>3564</v>
      </c>
      <c r="E118" s="37">
        <f>SUM(C118+D118)</f>
        <v>16764</v>
      </c>
      <c r="F118" s="75"/>
      <c r="G118" s="75"/>
      <c r="H118" s="75"/>
      <c r="I118"/>
      <c r="J118" s="169"/>
      <c r="K118" s="169"/>
      <c r="M118" s="169"/>
      <c r="N118" s="75"/>
      <c r="O118" s="75"/>
      <c r="P118" s="75"/>
      <c r="Q118" s="75"/>
      <c r="R118" s="75"/>
      <c r="S118" s="75"/>
      <c r="T118"/>
      <c r="U118"/>
    </row>
    <row r="119" spans="1:21" s="9" customFormat="1" x14ac:dyDescent="0.2">
      <c r="A119" s="170"/>
      <c r="B119"/>
      <c r="C119" s="169"/>
      <c r="D119" s="37"/>
      <c r="E119" s="37"/>
      <c r="F119" s="75"/>
      <c r="G119" s="75"/>
      <c r="H119" s="75"/>
      <c r="I119"/>
      <c r="J119" s="169"/>
      <c r="K119" s="169"/>
      <c r="M119" s="169">
        <v>1555</v>
      </c>
      <c r="N119" s="75"/>
      <c r="O119" s="75"/>
      <c r="P119" s="75"/>
      <c r="Q119" s="75"/>
      <c r="R119" s="75"/>
      <c r="S119" s="75"/>
      <c r="T119"/>
      <c r="U119"/>
    </row>
    <row r="120" spans="1:21" s="9" customFormat="1" x14ac:dyDescent="0.2">
      <c r="A120" s="170"/>
      <c r="B120" t="s">
        <v>1375</v>
      </c>
      <c r="C120" s="169">
        <v>200</v>
      </c>
      <c r="D120" s="37">
        <v>0</v>
      </c>
      <c r="E120" s="37">
        <f>SUM(C120+D120)</f>
        <v>200</v>
      </c>
      <c r="F120" s="75"/>
      <c r="G120" s="75"/>
      <c r="H120" s="75"/>
      <c r="I120" s="75"/>
      <c r="J120"/>
      <c r="K120"/>
      <c r="L120"/>
      <c r="M120"/>
      <c r="N120"/>
      <c r="O120"/>
      <c r="P120"/>
      <c r="Q120"/>
      <c r="R120"/>
      <c r="S120"/>
      <c r="T120"/>
      <c r="U120"/>
    </row>
    <row r="121" spans="1:21" s="9" customFormat="1" x14ac:dyDescent="0.2">
      <c r="A121" s="170"/>
      <c r="B121" s="230"/>
      <c r="C121" s="169"/>
      <c r="D121" s="37"/>
      <c r="E121" s="37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1" s="9" customFormat="1" x14ac:dyDescent="0.2">
      <c r="A122" s="170"/>
      <c r="B122" t="s">
        <v>1374</v>
      </c>
      <c r="C122" s="169">
        <v>1460</v>
      </c>
      <c r="D122" s="37">
        <v>394</v>
      </c>
      <c r="E122" s="37">
        <f>SUM(C122+D122)</f>
        <v>1854</v>
      </c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1" s="9" customFormat="1" x14ac:dyDescent="0.2">
      <c r="A123" s="170"/>
      <c r="B123" s="230"/>
      <c r="C123" s="169"/>
      <c r="D123" s="37"/>
      <c r="E123" s="37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1" s="9" customFormat="1" x14ac:dyDescent="0.2">
      <c r="A124" s="170"/>
      <c r="B124" t="s">
        <v>1376</v>
      </c>
      <c r="C124" s="169">
        <v>90</v>
      </c>
      <c r="D124" s="37">
        <v>0</v>
      </c>
      <c r="E124" s="37">
        <f>SUM(C124+D124)</f>
        <v>90</v>
      </c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1" s="9" customFormat="1" x14ac:dyDescent="0.2">
      <c r="A125" s="170"/>
      <c r="B125"/>
      <c r="C125" s="169"/>
      <c r="D125" s="37"/>
      <c r="E125" s="37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1" s="9" customFormat="1" x14ac:dyDescent="0.2">
      <c r="A126" s="170"/>
      <c r="B126" t="s">
        <v>1390</v>
      </c>
      <c r="C126" s="169">
        <v>4980</v>
      </c>
      <c r="D126" s="37">
        <v>1345</v>
      </c>
      <c r="E126" s="37">
        <f>SUM(C126+D126)</f>
        <v>6325</v>
      </c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1" s="9" customFormat="1" x14ac:dyDescent="0.2">
      <c r="A127" s="170"/>
      <c r="B127" t="s">
        <v>1378</v>
      </c>
      <c r="C127" s="169">
        <v>2362</v>
      </c>
      <c r="D127" s="37">
        <v>638</v>
      </c>
      <c r="E127" s="37">
        <f>SUM(C127+D127)</f>
        <v>3000</v>
      </c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1" s="9" customFormat="1" x14ac:dyDescent="0.2">
      <c r="A128" s="170"/>
      <c r="B128" t="s">
        <v>1379</v>
      </c>
      <c r="C128" s="169">
        <v>325</v>
      </c>
      <c r="D128" s="37">
        <v>88</v>
      </c>
      <c r="E128" s="37">
        <f>SUM(C128+D128)</f>
        <v>413</v>
      </c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s="9" customFormat="1" ht="25.5" x14ac:dyDescent="0.2">
      <c r="A129" s="170"/>
      <c r="B129" s="230" t="s">
        <v>1380</v>
      </c>
      <c r="C129" s="169">
        <v>4980</v>
      </c>
      <c r="D129" s="37">
        <v>1345</v>
      </c>
      <c r="E129" s="37">
        <f>SUM(C129+D129)</f>
        <v>6325</v>
      </c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s="9" customFormat="1" x14ac:dyDescent="0.2">
      <c r="A130" s="170"/>
      <c r="B130"/>
      <c r="C130" s="169"/>
      <c r="D130" s="37"/>
      <c r="E130" s="37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s="9" customFormat="1" x14ac:dyDescent="0.2">
      <c r="A131" s="170"/>
      <c r="B131" t="s">
        <v>1389</v>
      </c>
      <c r="C131" s="169">
        <v>1000</v>
      </c>
      <c r="D131" s="37">
        <v>270</v>
      </c>
      <c r="E131" s="37">
        <f>SUM(C131+D131)</f>
        <v>1270</v>
      </c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s="9" customFormat="1" x14ac:dyDescent="0.2">
      <c r="A132" s="170"/>
      <c r="B132"/>
      <c r="C132" s="169"/>
      <c r="D132" s="37"/>
      <c r="E132" s="37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s="9" customFormat="1" hidden="1" x14ac:dyDescent="0.2">
      <c r="A133" s="170"/>
      <c r="B133"/>
      <c r="C133" s="169"/>
      <c r="D133" s="37"/>
      <c r="E133" s="37">
        <f>SUM(C133+D133)</f>
        <v>0</v>
      </c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</row>
    <row r="134" spans="1:21" s="9" customFormat="1" hidden="1" x14ac:dyDescent="0.2">
      <c r="A134" s="170"/>
      <c r="B134"/>
      <c r="C134" s="169"/>
      <c r="D134" s="37"/>
      <c r="E134" s="37">
        <f>SUM(C134+D134)</f>
        <v>0</v>
      </c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</row>
    <row r="135" spans="1:21" s="9" customFormat="1" hidden="1" x14ac:dyDescent="0.2">
      <c r="A135" s="170"/>
      <c r="B135"/>
      <c r="C135" s="169"/>
      <c r="D135" s="37"/>
      <c r="E135" s="37">
        <f>SUM(C135+D135)</f>
        <v>0</v>
      </c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</row>
    <row r="136" spans="1:21" s="9" customFormat="1" hidden="1" x14ac:dyDescent="0.2">
      <c r="A136" s="170"/>
      <c r="B136"/>
      <c r="C136" s="169"/>
      <c r="D136" s="37"/>
      <c r="E136" s="37">
        <f>SUM(C136+D136)</f>
        <v>0</v>
      </c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ht="13.5" thickBot="1" x14ac:dyDescent="0.25">
      <c r="C137" s="169"/>
      <c r="D137" s="37"/>
      <c r="E137" s="37"/>
    </row>
    <row r="138" spans="1:21" ht="13.5" thickBot="1" x14ac:dyDescent="0.25">
      <c r="B138" s="293" t="s">
        <v>47</v>
      </c>
      <c r="C138" s="198">
        <f>SUM(C106:C137)</f>
        <v>52682</v>
      </c>
      <c r="D138" s="535">
        <f>SUM(D106:D137)</f>
        <v>13988</v>
      </c>
      <c r="E138" s="169">
        <f>SUM(C138:D138)</f>
        <v>66670</v>
      </c>
      <c r="F138" s="37"/>
    </row>
    <row r="139" spans="1:21" x14ac:dyDescent="0.2">
      <c r="E139" s="37">
        <f>SUM(C138:D138)</f>
        <v>66670</v>
      </c>
    </row>
    <row r="140" spans="1:21" hidden="1" x14ac:dyDescent="0.2">
      <c r="B140" t="e">
        <f>B26+B34+B35+B36+B37+B38+B39+B40+B41+B43+B44+B46+B47+B48+B49+B50+B51+B52+B53+B65+B76+B77+B78+B82+B90</f>
        <v>#VALUE!</v>
      </c>
      <c r="C140">
        <f>(C26+C34+C35+C36+C37+C38+C39+C40+C41+C43+C44+C46+C47+C48+C49+C50+(C51-1000)+C52+C53+C65+C76+C77+C78+C82+(C90-2000-4400))*0.27</f>
        <v>1468.8000000000002</v>
      </c>
      <c r="D140">
        <f t="shared" ref="D140:S140" si="39">(D26+D34+D35+D36+D37+D38+D39+D40+D41+D43+D44+D46+D47+D48+D49+D50+D51+D52+D53+D65+D76+D77+D78+D82+D90)*0.27</f>
        <v>141.75</v>
      </c>
      <c r="E140">
        <f t="shared" si="39"/>
        <v>16742.43</v>
      </c>
      <c r="F140">
        <f t="shared" si="39"/>
        <v>2173.5</v>
      </c>
      <c r="G140">
        <f>(G26+G34+G35+G36+G37+G38+G39+G40+G41+G43+G44+G46+G47+G48+G49+G50+G51+G52+G53+G65+G76+G77+G78+G82+(G90-1000))*0.27+D138</f>
        <v>29232.2</v>
      </c>
      <c r="H140">
        <f>(H26+H34+H35+H36+H37+H38+H39+H40+H41+H43+H44+H46+(H47-8847)+H48+H49+H50+H51+H52+H53+H65+H76+H77+H78+H82+H90)*0.27</f>
        <v>5078.7000000000007</v>
      </c>
      <c r="I140">
        <f t="shared" si="39"/>
        <v>0</v>
      </c>
      <c r="J140">
        <f t="shared" si="39"/>
        <v>0</v>
      </c>
      <c r="K140">
        <f t="shared" si="39"/>
        <v>0</v>
      </c>
      <c r="L140">
        <f t="shared" si="39"/>
        <v>0</v>
      </c>
      <c r="M140">
        <f t="shared" si="39"/>
        <v>0</v>
      </c>
      <c r="N140">
        <f t="shared" si="39"/>
        <v>0</v>
      </c>
      <c r="O140">
        <f t="shared" si="39"/>
        <v>0</v>
      </c>
      <c r="P140">
        <f t="shared" si="39"/>
        <v>0</v>
      </c>
      <c r="Q140">
        <f t="shared" si="39"/>
        <v>0</v>
      </c>
      <c r="R140">
        <f t="shared" si="39"/>
        <v>0</v>
      </c>
      <c r="S140">
        <f t="shared" si="39"/>
        <v>3130.65</v>
      </c>
      <c r="T140">
        <f>(T26+T34+T35+T36+T37+T38+T39+T40+T41+T43+T44+T46+T47+T48+T49+T50+T51+T52+T53+T65+T76+T77+T78+(T82-2000)+T90)*0.27</f>
        <v>1530.9</v>
      </c>
    </row>
    <row r="149" spans="1:4" x14ac:dyDescent="0.2">
      <c r="A149"/>
      <c r="D149"/>
    </row>
    <row r="150" spans="1:4" x14ac:dyDescent="0.2">
      <c r="A150"/>
      <c r="D150"/>
    </row>
    <row r="151" spans="1:4" x14ac:dyDescent="0.2">
      <c r="A151"/>
      <c r="D151"/>
    </row>
    <row r="152" spans="1:4" x14ac:dyDescent="0.2">
      <c r="A152"/>
      <c r="D152"/>
    </row>
    <row r="153" spans="1:4" x14ac:dyDescent="0.2">
      <c r="A153"/>
      <c r="D153"/>
    </row>
    <row r="154" spans="1:4" x14ac:dyDescent="0.2">
      <c r="A154"/>
      <c r="D154"/>
    </row>
    <row r="155" spans="1:4" x14ac:dyDescent="0.2">
      <c r="A155"/>
      <c r="D155"/>
    </row>
    <row r="156" spans="1:4" x14ac:dyDescent="0.2">
      <c r="A156"/>
      <c r="D156"/>
    </row>
    <row r="157" spans="1:4" x14ac:dyDescent="0.2">
      <c r="A157"/>
      <c r="D157"/>
    </row>
    <row r="158" spans="1:4" x14ac:dyDescent="0.2">
      <c r="A158"/>
      <c r="D158"/>
    </row>
    <row r="159" spans="1:4" x14ac:dyDescent="0.2">
      <c r="A159"/>
      <c r="D159"/>
    </row>
    <row r="160" spans="1:4" x14ac:dyDescent="0.2">
      <c r="A160"/>
      <c r="D160"/>
    </row>
    <row r="161" customFormat="1" x14ac:dyDescent="0.2"/>
    <row r="162" customFormat="1" x14ac:dyDescent="0.2"/>
    <row r="163" customFormat="1" x14ac:dyDescent="0.2"/>
    <row r="164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</sheetData>
  <mergeCells count="7">
    <mergeCell ref="C5:H5"/>
    <mergeCell ref="C6:H6"/>
    <mergeCell ref="C7:H7"/>
    <mergeCell ref="A9:A10"/>
    <mergeCell ref="B9:B10"/>
    <mergeCell ref="N9:R9"/>
    <mergeCell ref="I9:M9"/>
  </mergeCells>
  <phoneticPr fontId="13" type="noConversion"/>
  <pageMargins left="0.19685039370078741" right="0.15748031496062992" top="0.43307086614173229" bottom="0.15748031496062992" header="0.39370078740157483" footer="0.15748031496062992"/>
  <pageSetup paperSize="9" scale="60" orientation="landscape" r:id="rId1"/>
  <headerFooter alignWithMargins="0"/>
  <rowBreaks count="2" manualBreakCount="2">
    <brk id="50" max="54" man="1"/>
    <brk id="92" max="5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5"/>
  <sheetViews>
    <sheetView workbookViewId="0">
      <selection activeCell="G21" sqref="G21"/>
    </sheetView>
  </sheetViews>
  <sheetFormatPr defaultRowHeight="12.75" x14ac:dyDescent="0.2"/>
  <cols>
    <col min="5" max="6" width="11.140625" bestFit="1" customWidth="1"/>
    <col min="7" max="7" width="14.5703125" customWidth="1"/>
  </cols>
  <sheetData>
    <row r="1" spans="1:9" x14ac:dyDescent="0.2">
      <c r="A1" t="s">
        <v>985</v>
      </c>
    </row>
    <row r="8" spans="1:9" x14ac:dyDescent="0.2">
      <c r="C8" t="s">
        <v>990</v>
      </c>
    </row>
    <row r="10" spans="1:9" x14ac:dyDescent="0.2">
      <c r="E10" s="494" t="s">
        <v>396</v>
      </c>
      <c r="F10" s="494" t="s">
        <v>989</v>
      </c>
      <c r="G10" s="494" t="s">
        <v>837</v>
      </c>
    </row>
    <row r="11" spans="1:9" x14ac:dyDescent="0.2">
      <c r="C11" t="s">
        <v>988</v>
      </c>
      <c r="E11" s="75">
        <v>576798100</v>
      </c>
      <c r="F11" s="75">
        <f>(E11*0.27)</f>
        <v>155735487</v>
      </c>
      <c r="G11" s="554">
        <f>SUM(E11:F11)</f>
        <v>732533587</v>
      </c>
      <c r="H11" s="75"/>
      <c r="I11" s="75"/>
    </row>
    <row r="12" spans="1:9" x14ac:dyDescent="0.2">
      <c r="C12" t="s">
        <v>986</v>
      </c>
      <c r="E12" s="75">
        <v>158700000</v>
      </c>
      <c r="F12" s="75">
        <f>(E12*0.27)</f>
        <v>42849000</v>
      </c>
      <c r="G12" s="554">
        <f>SUM(E12:F12)</f>
        <v>201549000</v>
      </c>
      <c r="H12" s="75"/>
      <c r="I12" s="75"/>
    </row>
    <row r="13" spans="1:9" x14ac:dyDescent="0.2">
      <c r="C13" t="s">
        <v>987</v>
      </c>
      <c r="E13" s="554">
        <f>SUM(E11-E12)</f>
        <v>418098100</v>
      </c>
      <c r="F13" s="554">
        <f>SUM(F11-F12)</f>
        <v>112886487</v>
      </c>
      <c r="G13" s="75">
        <f>SUM(G11-G12)</f>
        <v>530984587</v>
      </c>
      <c r="H13" s="75"/>
      <c r="I13" s="75"/>
    </row>
    <row r="14" spans="1:9" x14ac:dyDescent="0.2">
      <c r="E14" s="75"/>
      <c r="F14" s="37">
        <f>SUM(E13*0.27)</f>
        <v>112886487</v>
      </c>
      <c r="G14" s="75"/>
      <c r="H14" s="75"/>
      <c r="I14" s="75"/>
    </row>
    <row r="15" spans="1:9" x14ac:dyDescent="0.2">
      <c r="E15" s="75"/>
      <c r="F15" s="75"/>
      <c r="G15" s="75"/>
      <c r="H15" s="75"/>
      <c r="I15" s="75"/>
    </row>
    <row r="16" spans="1:9" x14ac:dyDescent="0.2">
      <c r="C16" t="s">
        <v>991</v>
      </c>
      <c r="E16" s="75">
        <v>120703587</v>
      </c>
      <c r="F16" s="75"/>
      <c r="G16" s="75"/>
      <c r="H16" s="75"/>
      <c r="I16" s="75"/>
    </row>
    <row r="17" spans="5:9" x14ac:dyDescent="0.2">
      <c r="E17" s="75"/>
      <c r="F17" s="75"/>
      <c r="G17" s="75"/>
      <c r="H17" s="75"/>
      <c r="I17" s="75"/>
    </row>
    <row r="18" spans="5:9" x14ac:dyDescent="0.2">
      <c r="E18" s="75"/>
      <c r="F18" s="75"/>
      <c r="G18" s="75"/>
      <c r="H18" s="75"/>
      <c r="I18" s="75"/>
    </row>
    <row r="19" spans="5:9" x14ac:dyDescent="0.2">
      <c r="E19" s="75"/>
      <c r="F19" s="75"/>
      <c r="G19" s="75"/>
      <c r="H19" s="75"/>
      <c r="I19" s="75"/>
    </row>
    <row r="20" spans="5:9" x14ac:dyDescent="0.2">
      <c r="E20" s="75"/>
      <c r="F20" s="75"/>
      <c r="G20" s="75"/>
      <c r="H20" s="75"/>
      <c r="I20" s="75"/>
    </row>
    <row r="21" spans="5:9" x14ac:dyDescent="0.2">
      <c r="E21" s="75"/>
      <c r="F21" s="75"/>
      <c r="G21" s="75"/>
      <c r="H21" s="75"/>
      <c r="I21" s="75"/>
    </row>
    <row r="22" spans="5:9" x14ac:dyDescent="0.2">
      <c r="E22" s="75"/>
      <c r="F22" s="75"/>
      <c r="G22" s="75"/>
      <c r="H22" s="75"/>
      <c r="I22" s="75"/>
    </row>
    <row r="23" spans="5:9" x14ac:dyDescent="0.2">
      <c r="E23" s="75"/>
      <c r="F23" s="75"/>
      <c r="G23" s="75"/>
      <c r="H23" s="75"/>
      <c r="I23" s="75"/>
    </row>
    <row r="24" spans="5:9" x14ac:dyDescent="0.2">
      <c r="E24" s="75"/>
      <c r="F24" s="75"/>
      <c r="G24" s="75"/>
      <c r="H24" s="75"/>
      <c r="I24" s="75"/>
    </row>
    <row r="25" spans="5:9" x14ac:dyDescent="0.2">
      <c r="E25" s="75"/>
      <c r="F25" s="75"/>
      <c r="G25" s="75"/>
      <c r="H25" s="75"/>
      <c r="I25" s="7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40"/>
  <sheetViews>
    <sheetView topLeftCell="A36" zoomScale="80" zoomScaleNormal="80" zoomScaleSheetLayoutView="90" workbookViewId="0">
      <selection activeCell="P25" sqref="P25"/>
    </sheetView>
  </sheetViews>
  <sheetFormatPr defaultRowHeight="12.75" x14ac:dyDescent="0.2"/>
  <cols>
    <col min="1" max="1" width="6.140625" customWidth="1"/>
    <col min="2" max="2" width="69.28515625" customWidth="1"/>
    <col min="3" max="3" width="18.5703125" customWidth="1"/>
    <col min="4" max="4" width="18.140625" customWidth="1"/>
    <col min="5" max="9" width="10.85546875" hidden="1" customWidth="1"/>
    <col min="10" max="10" width="18.7109375" customWidth="1"/>
    <col min="11" max="11" width="6" style="9" bestFit="1" customWidth="1"/>
  </cols>
  <sheetData>
    <row r="1" spans="1:11" x14ac:dyDescent="0.2">
      <c r="A1" s="54"/>
      <c r="B1" s="1"/>
      <c r="C1" s="84"/>
      <c r="D1" s="54"/>
      <c r="E1" s="54"/>
      <c r="F1" s="54"/>
      <c r="G1" s="54"/>
      <c r="H1" s="54"/>
      <c r="I1" s="54"/>
      <c r="J1" s="177" t="s">
        <v>909</v>
      </c>
    </row>
    <row r="2" spans="1:11" x14ac:dyDescent="0.2">
      <c r="A2" s="54"/>
      <c r="B2" s="1"/>
      <c r="C2" s="84"/>
      <c r="D2" s="54"/>
      <c r="E2" s="54"/>
      <c r="F2" s="54"/>
      <c r="G2" s="54"/>
      <c r="H2" s="54"/>
      <c r="I2" s="54"/>
      <c r="J2" s="181" t="str">
        <f>'1.Bev-kiad.'!C2</f>
        <v>a /2023.() önkormányzati rendelethez</v>
      </c>
    </row>
    <row r="3" spans="1:11" x14ac:dyDescent="0.2">
      <c r="A3" s="54"/>
      <c r="B3" s="1"/>
      <c r="C3" s="84"/>
      <c r="D3" s="54"/>
      <c r="E3" s="54"/>
      <c r="F3" s="54"/>
      <c r="G3" s="54"/>
      <c r="H3" s="54"/>
      <c r="I3" s="54"/>
    </row>
    <row r="4" spans="1:11" ht="15.75" x14ac:dyDescent="0.25">
      <c r="A4" s="795" t="s">
        <v>93</v>
      </c>
      <c r="B4" s="750"/>
      <c r="C4" s="750"/>
      <c r="D4" s="750"/>
      <c r="E4" s="750"/>
      <c r="F4" s="750"/>
      <c r="G4" s="750"/>
      <c r="H4" s="750"/>
      <c r="I4" s="750"/>
      <c r="J4" s="750"/>
    </row>
    <row r="5" spans="1:11" ht="15.75" x14ac:dyDescent="0.25">
      <c r="A5" s="795" t="s">
        <v>1316</v>
      </c>
      <c r="B5" s="750"/>
      <c r="C5" s="750"/>
      <c r="D5" s="750"/>
      <c r="E5" s="750"/>
      <c r="F5" s="750"/>
      <c r="G5" s="750"/>
      <c r="H5" s="750"/>
      <c r="I5" s="750"/>
      <c r="J5" s="750"/>
    </row>
    <row r="6" spans="1:11" ht="15.75" x14ac:dyDescent="0.25">
      <c r="A6" s="795" t="s">
        <v>399</v>
      </c>
      <c r="B6" s="750"/>
      <c r="C6" s="750"/>
      <c r="D6" s="750"/>
      <c r="E6" s="750"/>
      <c r="F6" s="750"/>
      <c r="G6" s="750"/>
      <c r="H6" s="750"/>
      <c r="I6" s="750"/>
      <c r="J6" s="750"/>
    </row>
    <row r="7" spans="1:11" ht="13.5" thickBot="1" x14ac:dyDescent="0.25">
      <c r="A7" s="54"/>
      <c r="B7" s="54"/>
      <c r="C7" s="54"/>
      <c r="D7" s="54"/>
      <c r="E7" s="54"/>
      <c r="F7" s="54"/>
      <c r="G7" s="54"/>
      <c r="H7" s="54"/>
      <c r="I7" s="54"/>
      <c r="J7" s="84" t="s">
        <v>0</v>
      </c>
    </row>
    <row r="8" spans="1:11" ht="77.25" customHeight="1" thickBot="1" x14ac:dyDescent="0.25">
      <c r="A8" s="796" t="s">
        <v>118</v>
      </c>
      <c r="B8" s="796" t="s">
        <v>29</v>
      </c>
      <c r="C8" s="741" t="s">
        <v>908</v>
      </c>
      <c r="D8" s="741" t="s">
        <v>321</v>
      </c>
      <c r="E8" s="798" t="s">
        <v>1064</v>
      </c>
      <c r="F8" s="799"/>
      <c r="G8" s="799"/>
      <c r="H8" s="799"/>
      <c r="I8" s="800"/>
      <c r="J8" s="741" t="s">
        <v>47</v>
      </c>
    </row>
    <row r="9" spans="1:11" ht="39.75" customHeight="1" thickBot="1" x14ac:dyDescent="0.25">
      <c r="A9" s="797"/>
      <c r="B9" s="797"/>
      <c r="C9" s="288" t="s">
        <v>889</v>
      </c>
      <c r="D9" s="288" t="str">
        <f>C9</f>
        <v>2023. évi eredeti előirányzat</v>
      </c>
      <c r="E9" s="288" t="str">
        <f>D9</f>
        <v>2023. évi eredeti előirányzat</v>
      </c>
      <c r="F9" s="288" t="e">
        <f>#REF!</f>
        <v>#REF!</v>
      </c>
      <c r="G9" s="288" t="s">
        <v>1211</v>
      </c>
      <c r="H9" s="288" t="e">
        <f>#REF!</f>
        <v>#REF!</v>
      </c>
      <c r="I9" s="288" t="e">
        <f>#REF!</f>
        <v>#REF!</v>
      </c>
      <c r="J9" s="288" t="str">
        <f>C9</f>
        <v>2023. évi eredeti előirányzat</v>
      </c>
    </row>
    <row r="10" spans="1:11" x14ac:dyDescent="0.2">
      <c r="A10" s="157" t="s">
        <v>295</v>
      </c>
      <c r="B10" s="16" t="s">
        <v>296</v>
      </c>
      <c r="C10" s="41"/>
      <c r="D10" s="41"/>
      <c r="E10" s="41"/>
      <c r="F10" s="41"/>
      <c r="G10" s="41"/>
      <c r="H10" s="41"/>
      <c r="I10" s="41"/>
      <c r="J10" s="308"/>
      <c r="K10" s="29"/>
    </row>
    <row r="11" spans="1:11" x14ac:dyDescent="0.2">
      <c r="A11" s="61" t="s">
        <v>783</v>
      </c>
      <c r="B11" s="8" t="s">
        <v>1321</v>
      </c>
      <c r="C11" s="13">
        <v>150500</v>
      </c>
      <c r="D11" s="13">
        <v>17224</v>
      </c>
      <c r="E11" s="495"/>
      <c r="F11" s="495"/>
      <c r="G11" s="495"/>
      <c r="H11" s="495"/>
      <c r="I11" s="495"/>
      <c r="J11" s="309">
        <f>C11+D11+E11</f>
        <v>167724</v>
      </c>
      <c r="K11" s="262"/>
    </row>
    <row r="12" spans="1:11" x14ac:dyDescent="0.2">
      <c r="A12" s="61" t="s">
        <v>897</v>
      </c>
      <c r="B12" s="8" t="s">
        <v>898</v>
      </c>
      <c r="C12" s="13">
        <v>1000</v>
      </c>
      <c r="D12" s="13"/>
      <c r="E12" s="495"/>
      <c r="F12" s="495"/>
      <c r="G12" s="495"/>
      <c r="H12" s="495"/>
      <c r="I12" s="495"/>
      <c r="J12" s="309">
        <f>C12+D12+E12</f>
        <v>1000</v>
      </c>
      <c r="K12" s="262"/>
    </row>
    <row r="13" spans="1:11" hidden="1" x14ac:dyDescent="0.2">
      <c r="A13" s="61" t="s">
        <v>1273</v>
      </c>
      <c r="B13" s="731" t="s">
        <v>1274</v>
      </c>
      <c r="C13" s="13"/>
      <c r="D13" s="13"/>
      <c r="E13" s="495"/>
      <c r="F13" s="495"/>
      <c r="G13" s="495"/>
      <c r="H13" s="495"/>
      <c r="I13" s="495"/>
      <c r="J13" s="309">
        <f>C13+D13+E13</f>
        <v>0</v>
      </c>
      <c r="K13" s="262"/>
    </row>
    <row r="14" spans="1:11" x14ac:dyDescent="0.2">
      <c r="A14" s="61" t="s">
        <v>821</v>
      </c>
      <c r="B14" s="8" t="s">
        <v>1188</v>
      </c>
      <c r="C14" s="13">
        <v>1951</v>
      </c>
      <c r="D14" s="13"/>
      <c r="E14" s="495"/>
      <c r="F14" s="495"/>
      <c r="G14" s="495"/>
      <c r="H14" s="495"/>
      <c r="I14" s="495"/>
      <c r="J14" s="309">
        <f>C14+D14+E14</f>
        <v>1951</v>
      </c>
      <c r="K14" s="262"/>
    </row>
    <row r="15" spans="1:11" x14ac:dyDescent="0.2">
      <c r="A15" s="61" t="s">
        <v>811</v>
      </c>
      <c r="B15" s="8" t="s">
        <v>453</v>
      </c>
      <c r="C15" s="13">
        <v>5650</v>
      </c>
      <c r="D15" s="13">
        <v>750</v>
      </c>
      <c r="E15" s="495"/>
      <c r="F15" s="495"/>
      <c r="G15" s="495"/>
      <c r="H15" s="495"/>
      <c r="I15" s="495"/>
      <c r="J15" s="309">
        <f>C15+D15+E15</f>
        <v>6400</v>
      </c>
      <c r="K15" s="262"/>
    </row>
    <row r="16" spans="1:11" x14ac:dyDescent="0.2">
      <c r="A16" s="61" t="s">
        <v>820</v>
      </c>
      <c r="B16" s="8" t="s">
        <v>440</v>
      </c>
      <c r="C16" s="13">
        <v>2600</v>
      </c>
      <c r="D16" s="13">
        <v>200</v>
      </c>
      <c r="E16" s="495"/>
      <c r="F16" s="495"/>
      <c r="G16" s="495"/>
      <c r="H16" s="495"/>
      <c r="I16" s="495"/>
      <c r="J16" s="309">
        <f>C16+D16+E16</f>
        <v>2800</v>
      </c>
      <c r="K16" s="262"/>
    </row>
    <row r="17" spans="1:11" x14ac:dyDescent="0.2">
      <c r="A17" s="61" t="s">
        <v>784</v>
      </c>
      <c r="B17" s="8" t="s">
        <v>1264</v>
      </c>
      <c r="C17" s="13">
        <f>1800+75+750</f>
        <v>2625</v>
      </c>
      <c r="D17" s="13">
        <f>350+1500</f>
        <v>1850</v>
      </c>
      <c r="E17" s="495"/>
      <c r="F17" s="495"/>
      <c r="G17" s="495"/>
      <c r="H17" s="495"/>
      <c r="I17" s="495"/>
      <c r="J17" s="309">
        <f>C17+D17+E17</f>
        <v>4475</v>
      </c>
      <c r="K17" s="262"/>
    </row>
    <row r="18" spans="1:11" x14ac:dyDescent="0.2">
      <c r="A18" s="61" t="s">
        <v>784</v>
      </c>
      <c r="B18" s="8" t="s">
        <v>1355</v>
      </c>
      <c r="C18" s="13">
        <f>1858+700+25</f>
        <v>2583</v>
      </c>
      <c r="D18" s="13"/>
      <c r="E18" s="495"/>
      <c r="F18" s="495"/>
      <c r="G18" s="495"/>
      <c r="H18" s="495"/>
      <c r="I18" s="495"/>
      <c r="J18" s="309">
        <f>C18+D18+E18</f>
        <v>2583</v>
      </c>
      <c r="K18" s="262"/>
    </row>
    <row r="19" spans="1:11" x14ac:dyDescent="0.2">
      <c r="A19" s="61" t="s">
        <v>785</v>
      </c>
      <c r="B19" s="8" t="s">
        <v>1356</v>
      </c>
      <c r="C19" s="13">
        <v>3361</v>
      </c>
      <c r="D19" s="13"/>
      <c r="E19" s="495"/>
      <c r="F19" s="495"/>
      <c r="G19" s="495"/>
      <c r="H19" s="495"/>
      <c r="I19" s="495"/>
      <c r="J19" s="309">
        <f>C19+D19+E19</f>
        <v>3361</v>
      </c>
      <c r="K19" s="262"/>
    </row>
    <row r="20" spans="1:11" hidden="1" x14ac:dyDescent="0.2">
      <c r="A20" s="61" t="s">
        <v>785</v>
      </c>
      <c r="B20" s="8" t="s">
        <v>812</v>
      </c>
      <c r="C20" s="13">
        <v>0</v>
      </c>
      <c r="D20" s="13"/>
      <c r="E20" s="495"/>
      <c r="F20" s="495"/>
      <c r="G20" s="495"/>
      <c r="H20" s="495"/>
      <c r="I20" s="495"/>
      <c r="J20" s="309">
        <f>C20+D20+E20</f>
        <v>0</v>
      </c>
      <c r="K20" s="28"/>
    </row>
    <row r="21" spans="1:11" x14ac:dyDescent="0.2">
      <c r="A21" s="61" t="s">
        <v>785</v>
      </c>
      <c r="B21" s="8" t="s">
        <v>1353</v>
      </c>
      <c r="C21" s="13">
        <v>2400</v>
      </c>
      <c r="D21" s="13"/>
      <c r="E21" s="495"/>
      <c r="F21" s="495"/>
      <c r="G21" s="495"/>
      <c r="H21" s="495"/>
      <c r="I21" s="495"/>
      <c r="J21" s="309">
        <f>C21+D21+E21</f>
        <v>2400</v>
      </c>
      <c r="K21" s="28"/>
    </row>
    <row r="22" spans="1:11" x14ac:dyDescent="0.2">
      <c r="A22" s="61" t="s">
        <v>800</v>
      </c>
      <c r="B22" s="8" t="s">
        <v>61</v>
      </c>
      <c r="C22" s="13">
        <f>48+250+2</f>
        <v>300</v>
      </c>
      <c r="D22" s="13"/>
      <c r="E22" s="495"/>
      <c r="F22" s="495"/>
      <c r="G22" s="495"/>
      <c r="H22" s="495"/>
      <c r="I22" s="495"/>
      <c r="J22" s="309">
        <f>C22+D22+E22</f>
        <v>300</v>
      </c>
      <c r="K22" s="29"/>
    </row>
    <row r="23" spans="1:11" x14ac:dyDescent="0.2">
      <c r="A23" s="80" t="s">
        <v>216</v>
      </c>
      <c r="B23" s="114" t="s">
        <v>294</v>
      </c>
      <c r="C23" s="233">
        <f t="shared" ref="C23:J23" si="0">SUM(C11:C22)</f>
        <v>172970</v>
      </c>
      <c r="D23" s="233">
        <f t="shared" si="0"/>
        <v>20024</v>
      </c>
      <c r="E23" s="233">
        <f t="shared" si="0"/>
        <v>0</v>
      </c>
      <c r="F23" s="233">
        <f t="shared" si="0"/>
        <v>0</v>
      </c>
      <c r="G23" s="233">
        <f t="shared" si="0"/>
        <v>0</v>
      </c>
      <c r="H23" s="233"/>
      <c r="I23" s="233"/>
      <c r="J23" s="233">
        <f t="shared" si="0"/>
        <v>192994</v>
      </c>
      <c r="K23" s="29"/>
    </row>
    <row r="24" spans="1:11" x14ac:dyDescent="0.2">
      <c r="A24" s="61"/>
      <c r="B24" s="8" t="s">
        <v>30</v>
      </c>
      <c r="C24" s="13">
        <v>21710</v>
      </c>
      <c r="D24" s="13">
        <v>2580</v>
      </c>
      <c r="E24" s="495"/>
      <c r="F24" s="495"/>
      <c r="G24" s="495"/>
      <c r="H24" s="495"/>
      <c r="I24" s="495"/>
      <c r="J24" s="309">
        <f>C24+D24+E24</f>
        <v>24290</v>
      </c>
      <c r="K24" s="29"/>
    </row>
    <row r="25" spans="1:11" x14ac:dyDescent="0.2">
      <c r="A25" s="61"/>
      <c r="B25" s="8" t="s">
        <v>116</v>
      </c>
      <c r="C25" s="13">
        <v>895</v>
      </c>
      <c r="D25" s="13">
        <v>115</v>
      </c>
      <c r="E25" s="495"/>
      <c r="F25" s="495"/>
      <c r="G25" s="495"/>
      <c r="H25" s="495"/>
      <c r="I25" s="495"/>
      <c r="J25" s="309">
        <f>C25+D25+E25</f>
        <v>1010</v>
      </c>
      <c r="K25" s="29"/>
    </row>
    <row r="26" spans="1:11" x14ac:dyDescent="0.2">
      <c r="A26" s="80" t="s">
        <v>217</v>
      </c>
      <c r="B26" s="114" t="s">
        <v>102</v>
      </c>
      <c r="C26" s="233">
        <f t="shared" ref="C26:E26" si="1">SUM(C24:C25)</f>
        <v>22605</v>
      </c>
      <c r="D26" s="233">
        <f t="shared" si="1"/>
        <v>2695</v>
      </c>
      <c r="E26" s="233">
        <f t="shared" si="1"/>
        <v>0</v>
      </c>
      <c r="F26" s="233">
        <f t="shared" ref="F26:G26" si="2">SUM(F24:F25)</f>
        <v>0</v>
      </c>
      <c r="G26" s="233">
        <f t="shared" si="2"/>
        <v>0</v>
      </c>
      <c r="H26" s="233"/>
      <c r="I26" s="233"/>
      <c r="J26" s="161">
        <f>SUM(J24:J25)</f>
        <v>25300</v>
      </c>
      <c r="K26" s="29"/>
    </row>
    <row r="27" spans="1:11" x14ac:dyDescent="0.2">
      <c r="A27" s="80" t="s">
        <v>261</v>
      </c>
      <c r="B27" s="14" t="s">
        <v>283</v>
      </c>
      <c r="C27" s="5">
        <f t="shared" ref="C27:E27" si="3">SUM(C28:C35)</f>
        <v>4550</v>
      </c>
      <c r="D27" s="5">
        <f t="shared" si="3"/>
        <v>50</v>
      </c>
      <c r="E27" s="5">
        <f t="shared" si="3"/>
        <v>0</v>
      </c>
      <c r="F27" s="5">
        <f t="shared" ref="F27:G27" si="4">SUM(F28:F35)</f>
        <v>0</v>
      </c>
      <c r="G27" s="5">
        <f t="shared" si="4"/>
        <v>0</v>
      </c>
      <c r="H27" s="5"/>
      <c r="I27" s="5"/>
      <c r="J27" s="308">
        <f>(D27+C27+E27)</f>
        <v>4600</v>
      </c>
      <c r="K27" s="29"/>
    </row>
    <row r="28" spans="1:11" x14ac:dyDescent="0.2">
      <c r="A28" s="61" t="s">
        <v>262</v>
      </c>
      <c r="B28" s="8" t="s">
        <v>325</v>
      </c>
      <c r="C28" s="13">
        <v>150</v>
      </c>
      <c r="D28" s="13">
        <v>50</v>
      </c>
      <c r="E28" s="13"/>
      <c r="F28" s="13"/>
      <c r="G28" s="13"/>
      <c r="H28" s="13"/>
      <c r="I28" s="13"/>
      <c r="J28" s="309">
        <f>C28+D28+E28</f>
        <v>200</v>
      </c>
      <c r="K28" s="29"/>
    </row>
    <row r="29" spans="1:11" x14ac:dyDescent="0.2">
      <c r="A29" s="61" t="s">
        <v>263</v>
      </c>
      <c r="B29" s="8" t="s">
        <v>284</v>
      </c>
      <c r="C29" s="13">
        <v>200</v>
      </c>
      <c r="D29" s="13"/>
      <c r="E29" s="13"/>
      <c r="F29" s="13"/>
      <c r="G29" s="13"/>
      <c r="H29" s="13"/>
      <c r="I29" s="13"/>
      <c r="J29" s="309">
        <f>C29+D29+E29</f>
        <v>200</v>
      </c>
      <c r="K29" s="28"/>
    </row>
    <row r="30" spans="1:11" x14ac:dyDescent="0.2">
      <c r="A30" s="61"/>
      <c r="B30" s="8" t="s">
        <v>330</v>
      </c>
      <c r="C30" s="13">
        <v>1750</v>
      </c>
      <c r="D30" s="13"/>
      <c r="E30" s="13"/>
      <c r="F30" s="13"/>
      <c r="G30" s="13"/>
      <c r="H30" s="13"/>
      <c r="I30" s="13"/>
      <c r="J30" s="309">
        <f>C30+D30+E30</f>
        <v>1750</v>
      </c>
      <c r="K30" s="28"/>
    </row>
    <row r="31" spans="1:11" x14ac:dyDescent="0.2">
      <c r="A31" s="61"/>
      <c r="B31" s="8" t="s">
        <v>444</v>
      </c>
      <c r="C31" s="13">
        <v>750</v>
      </c>
      <c r="D31" s="13"/>
      <c r="E31" s="13"/>
      <c r="F31" s="13"/>
      <c r="G31" s="13"/>
      <c r="H31" s="13"/>
      <c r="I31" s="13"/>
      <c r="J31" s="309">
        <f>C31+D31+E31</f>
        <v>750</v>
      </c>
      <c r="K31" s="28"/>
    </row>
    <row r="32" spans="1:11" x14ac:dyDescent="0.2">
      <c r="A32" s="61"/>
      <c r="B32" s="8" t="s">
        <v>307</v>
      </c>
      <c r="C32" s="13">
        <v>1700</v>
      </c>
      <c r="D32" s="13"/>
      <c r="E32" s="13"/>
      <c r="F32" s="13"/>
      <c r="G32" s="13"/>
      <c r="H32" s="13"/>
      <c r="I32" s="13"/>
      <c r="J32" s="309">
        <f>C32+D32+E32</f>
        <v>1700</v>
      </c>
      <c r="K32" s="28"/>
    </row>
    <row r="33" spans="1:11" hidden="1" x14ac:dyDescent="0.2">
      <c r="A33" s="61"/>
      <c r="B33" s="8"/>
      <c r="C33" s="13"/>
      <c r="D33" s="13"/>
      <c r="E33" s="13"/>
      <c r="F33" s="13"/>
      <c r="G33" s="13"/>
      <c r="H33" s="13"/>
      <c r="I33" s="13"/>
      <c r="J33" s="309">
        <f>C33+D33+E33</f>
        <v>0</v>
      </c>
      <c r="K33" s="28"/>
    </row>
    <row r="34" spans="1:11" hidden="1" x14ac:dyDescent="0.2">
      <c r="A34" s="61"/>
      <c r="B34" s="8"/>
      <c r="C34" s="13"/>
      <c r="D34" s="13"/>
      <c r="E34" s="13"/>
      <c r="F34" s="13"/>
      <c r="G34" s="13"/>
      <c r="H34" s="13"/>
      <c r="I34" s="13"/>
      <c r="J34" s="309">
        <f>C34+D34+E34</f>
        <v>0</v>
      </c>
      <c r="K34" s="28"/>
    </row>
    <row r="35" spans="1:11" hidden="1" x14ac:dyDescent="0.2">
      <c r="A35" s="61"/>
      <c r="B35" s="8"/>
      <c r="C35" s="13"/>
      <c r="D35" s="13"/>
      <c r="E35" s="13"/>
      <c r="F35" s="13"/>
      <c r="G35" s="13"/>
      <c r="H35" s="13"/>
      <c r="I35" s="13"/>
      <c r="J35" s="309">
        <f>C35+D35+E35</f>
        <v>0</v>
      </c>
      <c r="K35" s="28"/>
    </row>
    <row r="36" spans="1:11" x14ac:dyDescent="0.2">
      <c r="A36" s="80" t="s">
        <v>264</v>
      </c>
      <c r="B36" s="14" t="s">
        <v>285</v>
      </c>
      <c r="C36" s="5">
        <f>SUM(C37:C43)</f>
        <v>1650</v>
      </c>
      <c r="D36" s="5">
        <f t="shared" ref="D36:E36" si="5">SUM(D37:D41)</f>
        <v>0</v>
      </c>
      <c r="E36" s="5">
        <f t="shared" si="5"/>
        <v>0</v>
      </c>
      <c r="F36" s="5">
        <f t="shared" ref="F36" si="6">SUM(F37:F41)</f>
        <v>0</v>
      </c>
      <c r="G36" s="5">
        <f t="shared" ref="G36" si="7">SUM(G37:G41)</f>
        <v>0</v>
      </c>
      <c r="H36" s="5"/>
      <c r="I36" s="5"/>
      <c r="J36" s="308">
        <f>C36+D36+E36</f>
        <v>1650</v>
      </c>
      <c r="K36" s="29"/>
    </row>
    <row r="37" spans="1:11" x14ac:dyDescent="0.2">
      <c r="A37" s="61" t="s">
        <v>265</v>
      </c>
      <c r="B37" s="8" t="s">
        <v>286</v>
      </c>
      <c r="C37" s="13"/>
      <c r="D37" s="13"/>
      <c r="E37" s="495"/>
      <c r="F37" s="495"/>
      <c r="G37" s="495"/>
      <c r="H37" s="495"/>
      <c r="I37" s="495"/>
      <c r="J37" s="309">
        <f>C37+D37+E37</f>
        <v>0</v>
      </c>
      <c r="K37" s="28"/>
    </row>
    <row r="38" spans="1:11" x14ac:dyDescent="0.2">
      <c r="A38" s="61"/>
      <c r="B38" s="8" t="s">
        <v>1331</v>
      </c>
      <c r="C38" s="13">
        <v>200</v>
      </c>
      <c r="D38" s="13"/>
      <c r="E38" s="495"/>
      <c r="F38" s="495"/>
      <c r="G38" s="495"/>
      <c r="H38" s="495"/>
      <c r="I38" s="495"/>
      <c r="J38" s="309">
        <f>C38+D38+E38</f>
        <v>200</v>
      </c>
      <c r="K38" s="28"/>
    </row>
    <row r="39" spans="1:11" x14ac:dyDescent="0.2">
      <c r="A39" s="61"/>
      <c r="B39" s="8" t="s">
        <v>1190</v>
      </c>
      <c r="C39" s="13">
        <v>400</v>
      </c>
      <c r="D39" s="13"/>
      <c r="E39" s="495"/>
      <c r="F39" s="495"/>
      <c r="G39" s="495"/>
      <c r="H39" s="495"/>
      <c r="I39" s="495"/>
      <c r="J39" s="309">
        <f>C39+D39+E39</f>
        <v>400</v>
      </c>
      <c r="K39" s="28"/>
    </row>
    <row r="40" spans="1:11" x14ac:dyDescent="0.2">
      <c r="A40" s="61"/>
      <c r="B40" s="8" t="s">
        <v>1335</v>
      </c>
      <c r="C40" s="13">
        <v>300</v>
      </c>
      <c r="D40" s="13"/>
      <c r="E40" s="495"/>
      <c r="F40" s="495"/>
      <c r="G40" s="495"/>
      <c r="H40" s="495"/>
      <c r="I40" s="495"/>
      <c r="J40" s="309">
        <f>C40+D40+E40</f>
        <v>300</v>
      </c>
      <c r="K40" s="28"/>
    </row>
    <row r="41" spans="1:11" x14ac:dyDescent="0.2">
      <c r="A41" s="61" t="s">
        <v>266</v>
      </c>
      <c r="B41" s="8" t="s">
        <v>880</v>
      </c>
      <c r="C41" s="13">
        <v>750</v>
      </c>
      <c r="D41" s="13"/>
      <c r="E41" s="495"/>
      <c r="F41" s="495"/>
      <c r="G41" s="495"/>
      <c r="H41" s="495"/>
      <c r="I41" s="495"/>
      <c r="J41" s="309">
        <f>C41+D41+E41</f>
        <v>750</v>
      </c>
      <c r="K41" s="28"/>
    </row>
    <row r="42" spans="1:11" hidden="1" x14ac:dyDescent="0.2">
      <c r="A42" s="61"/>
      <c r="B42" s="8" t="s">
        <v>323</v>
      </c>
      <c r="C42" s="13"/>
      <c r="D42" s="13"/>
      <c r="E42" s="495"/>
      <c r="F42" s="495"/>
      <c r="G42" s="495"/>
      <c r="H42" s="495"/>
      <c r="I42" s="495"/>
      <c r="J42" s="309">
        <f>C42+D42+E42</f>
        <v>0</v>
      </c>
      <c r="K42" s="28"/>
    </row>
    <row r="43" spans="1:11" hidden="1" x14ac:dyDescent="0.2">
      <c r="A43" s="61"/>
      <c r="B43" s="8" t="s">
        <v>324</v>
      </c>
      <c r="C43" s="13"/>
      <c r="D43" s="13"/>
      <c r="E43" s="495"/>
      <c r="F43" s="495"/>
      <c r="G43" s="495"/>
      <c r="H43" s="495"/>
      <c r="I43" s="495"/>
      <c r="J43" s="309">
        <f>C43+D43+E43</f>
        <v>0</v>
      </c>
      <c r="K43" s="28"/>
    </row>
    <row r="44" spans="1:11" x14ac:dyDescent="0.2">
      <c r="A44" s="80" t="s">
        <v>267</v>
      </c>
      <c r="B44" s="14" t="s">
        <v>287</v>
      </c>
      <c r="C44" s="5">
        <f t="shared" ref="C44:G44" si="8">SUM(C45:C60)</f>
        <v>14190</v>
      </c>
      <c r="D44" s="5">
        <f t="shared" si="8"/>
        <v>5580</v>
      </c>
      <c r="E44" s="5">
        <f t="shared" si="8"/>
        <v>0</v>
      </c>
      <c r="F44" s="5">
        <f t="shared" si="8"/>
        <v>0</v>
      </c>
      <c r="G44" s="5">
        <f t="shared" si="8"/>
        <v>0</v>
      </c>
      <c r="H44" s="5"/>
      <c r="I44" s="5"/>
      <c r="J44" s="308">
        <f>C44+D44+E44</f>
        <v>19770</v>
      </c>
      <c r="K44" s="29"/>
    </row>
    <row r="45" spans="1:11" x14ac:dyDescent="0.2">
      <c r="A45" s="61" t="s">
        <v>268</v>
      </c>
      <c r="B45" s="8" t="s">
        <v>304</v>
      </c>
      <c r="C45" s="13"/>
      <c r="D45" s="13"/>
      <c r="E45" s="13"/>
      <c r="F45" s="13"/>
      <c r="G45" s="13"/>
      <c r="H45" s="13"/>
      <c r="I45" s="13"/>
      <c r="J45" s="309">
        <f>C45+D45+E45</f>
        <v>0</v>
      </c>
      <c r="K45" s="28"/>
    </row>
    <row r="46" spans="1:11" x14ac:dyDescent="0.2">
      <c r="A46" s="61" t="s">
        <v>269</v>
      </c>
      <c r="B46" s="8" t="s">
        <v>1336</v>
      </c>
      <c r="C46" s="11">
        <v>60</v>
      </c>
      <c r="D46" s="13"/>
      <c r="E46" s="13"/>
      <c r="F46" s="13"/>
      <c r="G46" s="13"/>
      <c r="H46" s="13"/>
      <c r="I46" s="13"/>
      <c r="J46" s="309">
        <f>C46+D46+E46</f>
        <v>60</v>
      </c>
      <c r="K46" s="28"/>
    </row>
    <row r="47" spans="1:11" x14ac:dyDescent="0.2">
      <c r="A47" s="61" t="s">
        <v>270</v>
      </c>
      <c r="B47" s="8" t="s">
        <v>302</v>
      </c>
      <c r="C47" s="11"/>
      <c r="D47" s="13"/>
      <c r="E47" s="13"/>
      <c r="F47" s="13"/>
      <c r="G47" s="13"/>
      <c r="H47" s="13"/>
      <c r="I47" s="13"/>
      <c r="J47" s="309">
        <f>C47+D47+E47</f>
        <v>0</v>
      </c>
      <c r="K47" s="28"/>
    </row>
    <row r="48" spans="1:11" x14ac:dyDescent="0.2">
      <c r="A48" s="61"/>
      <c r="B48" s="8" t="s">
        <v>1334</v>
      </c>
      <c r="C48" s="11">
        <v>500</v>
      </c>
      <c r="D48" s="13"/>
      <c r="E48" s="13"/>
      <c r="F48" s="13"/>
      <c r="G48" s="13"/>
      <c r="H48" s="13"/>
      <c r="I48" s="13"/>
      <c r="J48" s="309">
        <f>C48+D48+E48</f>
        <v>500</v>
      </c>
      <c r="K48" s="28"/>
    </row>
    <row r="49" spans="1:11" x14ac:dyDescent="0.2">
      <c r="A49" s="61"/>
      <c r="B49" s="8" t="s">
        <v>1189</v>
      </c>
      <c r="C49" s="11">
        <v>1080</v>
      </c>
      <c r="D49" s="13"/>
      <c r="E49" s="13"/>
      <c r="F49" s="13"/>
      <c r="G49" s="13"/>
      <c r="H49" s="13"/>
      <c r="I49" s="13"/>
      <c r="J49" s="309">
        <f>C49+D49+E49</f>
        <v>1080</v>
      </c>
      <c r="K49" s="28"/>
    </row>
    <row r="50" spans="1:11" x14ac:dyDescent="0.2">
      <c r="A50" s="61"/>
      <c r="B50" s="8" t="s">
        <v>454</v>
      </c>
      <c r="C50" s="11">
        <v>250</v>
      </c>
      <c r="D50" s="13"/>
      <c r="E50" s="13"/>
      <c r="F50" s="13"/>
      <c r="G50" s="13"/>
      <c r="H50" s="13"/>
      <c r="I50" s="13"/>
      <c r="J50" s="309">
        <f>C50+D50+E50</f>
        <v>250</v>
      </c>
      <c r="K50" s="28"/>
    </row>
    <row r="51" spans="1:11" x14ac:dyDescent="0.2">
      <c r="A51" s="61" t="s">
        <v>271</v>
      </c>
      <c r="B51" s="8" t="s">
        <v>301</v>
      </c>
      <c r="C51" s="11"/>
      <c r="D51" s="13"/>
      <c r="E51" s="13"/>
      <c r="F51" s="13"/>
      <c r="G51" s="13"/>
      <c r="H51" s="13"/>
      <c r="I51" s="13"/>
      <c r="J51" s="309">
        <f>C51+D51+E51</f>
        <v>0</v>
      </c>
      <c r="K51" s="28"/>
    </row>
    <row r="52" spans="1:11" x14ac:dyDescent="0.2">
      <c r="A52" s="61" t="s">
        <v>272</v>
      </c>
      <c r="B52" s="8" t="s">
        <v>300</v>
      </c>
      <c r="C52" s="11"/>
      <c r="D52" s="13"/>
      <c r="E52" s="13"/>
      <c r="F52" s="13"/>
      <c r="G52" s="13"/>
      <c r="H52" s="13"/>
      <c r="I52" s="13"/>
      <c r="J52" s="309">
        <f>C52+D52+E52</f>
        <v>0</v>
      </c>
      <c r="K52" s="28"/>
    </row>
    <row r="53" spans="1:11" hidden="1" x14ac:dyDescent="0.2">
      <c r="A53" s="61"/>
      <c r="B53" s="8"/>
      <c r="C53" s="11"/>
      <c r="D53" s="13"/>
      <c r="E53" s="13"/>
      <c r="F53" s="13"/>
      <c r="G53" s="13"/>
      <c r="H53" s="13"/>
      <c r="I53" s="13"/>
      <c r="J53" s="309">
        <f>C53+D53+E53</f>
        <v>0</v>
      </c>
      <c r="K53" s="28"/>
    </row>
    <row r="54" spans="1:11" x14ac:dyDescent="0.2">
      <c r="A54" s="61"/>
      <c r="B54" s="8" t="s">
        <v>458</v>
      </c>
      <c r="C54" s="11">
        <v>560</v>
      </c>
      <c r="D54" s="13"/>
      <c r="E54" s="13"/>
      <c r="F54" s="13"/>
      <c r="G54" s="13"/>
      <c r="H54" s="13"/>
      <c r="I54" s="13"/>
      <c r="J54" s="309">
        <f>C54+D54+E54</f>
        <v>560</v>
      </c>
      <c r="K54" s="28"/>
    </row>
    <row r="55" spans="1:11" x14ac:dyDescent="0.2">
      <c r="A55" s="61"/>
      <c r="B55" s="8" t="s">
        <v>1332</v>
      </c>
      <c r="C55" s="11">
        <v>630</v>
      </c>
      <c r="D55" s="13"/>
      <c r="E55" s="13"/>
      <c r="F55" s="13"/>
      <c r="G55" s="13"/>
      <c r="H55" s="13"/>
      <c r="I55" s="13"/>
      <c r="J55" s="309">
        <f>C55+D55+E55</f>
        <v>630</v>
      </c>
      <c r="K55" s="28"/>
    </row>
    <row r="56" spans="1:11" x14ac:dyDescent="0.2">
      <c r="A56" s="61"/>
      <c r="B56" s="8" t="s">
        <v>1333</v>
      </c>
      <c r="C56" s="11">
        <v>250</v>
      </c>
      <c r="D56" s="13">
        <v>80</v>
      </c>
      <c r="E56" s="13"/>
      <c r="F56" s="13"/>
      <c r="G56" s="13"/>
      <c r="H56" s="13"/>
      <c r="I56" s="13"/>
      <c r="J56" s="309">
        <f>C56+D56+E56</f>
        <v>330</v>
      </c>
      <c r="K56" s="28"/>
    </row>
    <row r="57" spans="1:11" hidden="1" x14ac:dyDescent="0.2">
      <c r="A57" s="61"/>
      <c r="B57" s="8"/>
      <c r="C57" s="11"/>
      <c r="D57" s="13"/>
      <c r="E57" s="13"/>
      <c r="F57" s="13"/>
      <c r="G57" s="13"/>
      <c r="H57" s="13"/>
      <c r="I57" s="13"/>
      <c r="J57" s="309">
        <f>C57+D57+E57</f>
        <v>0</v>
      </c>
      <c r="K57" s="28"/>
    </row>
    <row r="58" spans="1:11" x14ac:dyDescent="0.2">
      <c r="A58" s="61" t="s">
        <v>273</v>
      </c>
      <c r="B58" s="8" t="s">
        <v>299</v>
      </c>
      <c r="C58" s="11">
        <v>1610</v>
      </c>
      <c r="D58" s="13">
        <f>40+4960+500</f>
        <v>5500</v>
      </c>
      <c r="E58" s="13"/>
      <c r="F58" s="13"/>
      <c r="G58" s="13"/>
      <c r="H58" s="13"/>
      <c r="I58" s="13"/>
      <c r="J58" s="309">
        <f>C58+D58+E58</f>
        <v>7110</v>
      </c>
      <c r="K58" s="28"/>
    </row>
    <row r="59" spans="1:11" x14ac:dyDescent="0.2">
      <c r="A59" s="61"/>
      <c r="B59" s="8" t="s">
        <v>338</v>
      </c>
      <c r="C59" s="11">
        <v>8500</v>
      </c>
      <c r="D59" s="13"/>
      <c r="E59" s="13"/>
      <c r="F59" s="13"/>
      <c r="G59" s="13"/>
      <c r="H59" s="13"/>
      <c r="I59" s="13"/>
      <c r="J59" s="309">
        <f>C59+D59+E59</f>
        <v>8500</v>
      </c>
      <c r="K59" s="28"/>
    </row>
    <row r="60" spans="1:11" x14ac:dyDescent="0.2">
      <c r="A60" s="61"/>
      <c r="B60" s="8" t="s">
        <v>441</v>
      </c>
      <c r="C60" s="11">
        <v>750</v>
      </c>
      <c r="D60" s="13"/>
      <c r="E60" s="13"/>
      <c r="F60" s="13"/>
      <c r="G60" s="13"/>
      <c r="H60" s="13"/>
      <c r="I60" s="13"/>
      <c r="J60" s="309">
        <f>C60+D60+E60</f>
        <v>750</v>
      </c>
      <c r="K60" s="28"/>
    </row>
    <row r="61" spans="1:11" x14ac:dyDescent="0.2">
      <c r="A61" s="80" t="s">
        <v>274</v>
      </c>
      <c r="B61" s="14" t="s">
        <v>259</v>
      </c>
      <c r="C61" s="6">
        <f t="shared" ref="C61:E61" si="9">SUM(C62:C63)</f>
        <v>180</v>
      </c>
      <c r="D61" s="5">
        <f t="shared" si="9"/>
        <v>10</v>
      </c>
      <c r="E61" s="5">
        <f t="shared" si="9"/>
        <v>0</v>
      </c>
      <c r="F61" s="5">
        <f t="shared" ref="F61" si="10">SUM(F62:F63)</f>
        <v>0</v>
      </c>
      <c r="G61" s="5">
        <f t="shared" ref="G61" si="11">SUM(G62:G63)</f>
        <v>0</v>
      </c>
      <c r="H61" s="5"/>
      <c r="I61" s="5"/>
      <c r="J61" s="308">
        <f>C61+D61+E61</f>
        <v>190</v>
      </c>
      <c r="K61" s="29"/>
    </row>
    <row r="62" spans="1:11" x14ac:dyDescent="0.2">
      <c r="A62" s="61" t="s">
        <v>275</v>
      </c>
      <c r="B62" s="8" t="s">
        <v>298</v>
      </c>
      <c r="C62" s="13">
        <v>150</v>
      </c>
      <c r="D62" s="13">
        <v>10</v>
      </c>
      <c r="E62" s="495"/>
      <c r="F62" s="495"/>
      <c r="G62" s="495"/>
      <c r="H62" s="495"/>
      <c r="I62" s="495"/>
      <c r="J62" s="309">
        <f>C62+D62+E62</f>
        <v>160</v>
      </c>
      <c r="K62" s="28"/>
    </row>
    <row r="63" spans="1:11" x14ac:dyDescent="0.2">
      <c r="A63" s="61" t="s">
        <v>276</v>
      </c>
      <c r="B63" s="8" t="s">
        <v>310</v>
      </c>
      <c r="C63" s="13">
        <v>30</v>
      </c>
      <c r="D63" s="13"/>
      <c r="E63" s="495"/>
      <c r="F63" s="495"/>
      <c r="G63" s="495"/>
      <c r="H63" s="495"/>
      <c r="I63" s="495"/>
      <c r="J63" s="309">
        <f>C63+D63+E63</f>
        <v>30</v>
      </c>
      <c r="K63" s="28"/>
    </row>
    <row r="64" spans="1:11" x14ac:dyDescent="0.2">
      <c r="A64" s="80" t="s">
        <v>277</v>
      </c>
      <c r="B64" s="14" t="s">
        <v>260</v>
      </c>
      <c r="C64" s="5">
        <f t="shared" ref="C64:G64" si="12">SUM(C65:C72)</f>
        <v>8515</v>
      </c>
      <c r="D64" s="5">
        <f t="shared" si="12"/>
        <v>1520</v>
      </c>
      <c r="E64" s="5">
        <f t="shared" si="12"/>
        <v>0</v>
      </c>
      <c r="F64" s="5">
        <f t="shared" si="12"/>
        <v>0</v>
      </c>
      <c r="G64" s="5">
        <f t="shared" si="12"/>
        <v>0</v>
      </c>
      <c r="H64" s="5"/>
      <c r="I64" s="5"/>
      <c r="J64" s="308">
        <f>C64+D64+E64</f>
        <v>10035</v>
      </c>
      <c r="K64" s="29"/>
    </row>
    <row r="65" spans="1:11" x14ac:dyDescent="0.2">
      <c r="A65" s="61" t="s">
        <v>278</v>
      </c>
      <c r="B65" s="8" t="s">
        <v>288</v>
      </c>
      <c r="C65" s="13">
        <v>3140</v>
      </c>
      <c r="D65" s="13">
        <v>1520</v>
      </c>
      <c r="E65" s="13"/>
      <c r="F65" s="13"/>
      <c r="G65" s="13"/>
      <c r="H65" s="13"/>
      <c r="I65" s="13"/>
      <c r="J65" s="309">
        <f>C65+D65+E65</f>
        <v>4660</v>
      </c>
      <c r="K65" s="28"/>
    </row>
    <row r="66" spans="1:11" x14ac:dyDescent="0.2">
      <c r="A66" s="61" t="s">
        <v>279</v>
      </c>
      <c r="B66" s="8" t="s">
        <v>289</v>
      </c>
      <c r="C66" s="13"/>
      <c r="D66" s="13"/>
      <c r="E66" s="13"/>
      <c r="F66" s="13"/>
      <c r="G66" s="13"/>
      <c r="H66" s="13"/>
      <c r="I66" s="13"/>
      <c r="J66" s="309">
        <f>C66+D66+E66</f>
        <v>0</v>
      </c>
      <c r="K66" s="28"/>
    </row>
    <row r="67" spans="1:11" x14ac:dyDescent="0.2">
      <c r="A67" s="61" t="s">
        <v>280</v>
      </c>
      <c r="B67" s="8" t="s">
        <v>290</v>
      </c>
      <c r="C67" s="13"/>
      <c r="D67" s="13"/>
      <c r="E67" s="13"/>
      <c r="F67" s="13"/>
      <c r="G67" s="13"/>
      <c r="H67" s="13"/>
      <c r="I67" s="13"/>
      <c r="J67" s="309">
        <f>C67+D67+E67</f>
        <v>0</v>
      </c>
      <c r="K67" s="28"/>
    </row>
    <row r="68" spans="1:11" hidden="1" x14ac:dyDescent="0.2">
      <c r="A68" s="61" t="s">
        <v>281</v>
      </c>
      <c r="B68" s="8" t="s">
        <v>291</v>
      </c>
      <c r="C68" s="13"/>
      <c r="D68" s="13"/>
      <c r="E68" s="13"/>
      <c r="F68" s="13"/>
      <c r="G68" s="13"/>
      <c r="H68" s="13"/>
      <c r="I68" s="13"/>
      <c r="J68" s="309">
        <f>C68+D68+E68</f>
        <v>0</v>
      </c>
      <c r="K68" s="28"/>
    </row>
    <row r="69" spans="1:11" x14ac:dyDescent="0.2">
      <c r="A69" s="61" t="s">
        <v>282</v>
      </c>
      <c r="B69" s="8" t="s">
        <v>58</v>
      </c>
      <c r="C69" s="13">
        <f>975+4400</f>
        <v>5375</v>
      </c>
      <c r="D69" s="13"/>
      <c r="E69" s="13"/>
      <c r="F69" s="13"/>
      <c r="G69" s="13"/>
      <c r="H69" s="13"/>
      <c r="I69" s="13"/>
      <c r="J69" s="309">
        <f>C69+D69+E69</f>
        <v>5375</v>
      </c>
      <c r="K69" s="28"/>
    </row>
    <row r="70" spans="1:11" hidden="1" x14ac:dyDescent="0.2">
      <c r="A70" s="61"/>
      <c r="B70" s="8"/>
      <c r="C70" s="13"/>
      <c r="D70" s="13"/>
      <c r="E70" s="13"/>
      <c r="F70" s="13"/>
      <c r="G70" s="13"/>
      <c r="H70" s="13"/>
      <c r="I70" s="13"/>
      <c r="J70" s="309">
        <f>C70+D70+E70</f>
        <v>0</v>
      </c>
      <c r="K70" s="28"/>
    </row>
    <row r="71" spans="1:11" hidden="1" x14ac:dyDescent="0.2">
      <c r="A71" s="61"/>
      <c r="B71" s="8" t="s">
        <v>313</v>
      </c>
      <c r="C71" s="13"/>
      <c r="D71" s="13"/>
      <c r="E71" s="13"/>
      <c r="F71" s="13"/>
      <c r="G71" s="13"/>
      <c r="H71" s="13"/>
      <c r="I71" s="13"/>
      <c r="J71" s="309">
        <f>C71+D71+E71</f>
        <v>0</v>
      </c>
      <c r="K71" s="28"/>
    </row>
    <row r="72" spans="1:11" hidden="1" x14ac:dyDescent="0.2">
      <c r="A72" s="61"/>
      <c r="B72" s="8" t="s">
        <v>1322</v>
      </c>
      <c r="C72" s="13"/>
      <c r="D72" s="13"/>
      <c r="E72" s="13"/>
      <c r="F72" s="13"/>
      <c r="G72" s="13"/>
      <c r="H72" s="13"/>
      <c r="I72" s="13"/>
      <c r="J72" s="309">
        <f>C72+D72+E72</f>
        <v>0</v>
      </c>
      <c r="K72" s="28"/>
    </row>
    <row r="73" spans="1:11" x14ac:dyDescent="0.2">
      <c r="A73" s="80" t="s">
        <v>293</v>
      </c>
      <c r="B73" s="114" t="s">
        <v>31</v>
      </c>
      <c r="C73" s="233">
        <f t="shared" ref="C73:G73" si="13">SUM(C27+C36+C44+C61+C64)</f>
        <v>29085</v>
      </c>
      <c r="D73" s="233">
        <f t="shared" si="13"/>
        <v>7160</v>
      </c>
      <c r="E73" s="233">
        <f t="shared" si="13"/>
        <v>0</v>
      </c>
      <c r="F73" s="233">
        <f t="shared" si="13"/>
        <v>0</v>
      </c>
      <c r="G73" s="233">
        <f t="shared" si="13"/>
        <v>0</v>
      </c>
      <c r="H73" s="233"/>
      <c r="I73" s="233"/>
      <c r="J73" s="161">
        <f>(D73+C73+E73)</f>
        <v>36245</v>
      </c>
      <c r="K73" s="28"/>
    </row>
    <row r="74" spans="1:11" x14ac:dyDescent="0.2">
      <c r="A74" s="153" t="s">
        <v>292</v>
      </c>
      <c r="B74" s="114" t="s">
        <v>439</v>
      </c>
      <c r="C74" s="233"/>
      <c r="D74" s="233"/>
      <c r="E74" s="233"/>
      <c r="F74" s="233"/>
      <c r="G74" s="233"/>
      <c r="H74" s="233"/>
      <c r="I74" s="233"/>
      <c r="J74" s="234">
        <f>C74+D74+E74</f>
        <v>0</v>
      </c>
      <c r="K74" s="28"/>
    </row>
    <row r="75" spans="1:11" ht="13.5" thickBot="1" x14ac:dyDescent="0.25">
      <c r="A75" s="153" t="s">
        <v>318</v>
      </c>
      <c r="B75" s="152" t="s">
        <v>40</v>
      </c>
      <c r="C75" s="233">
        <v>512</v>
      </c>
      <c r="D75" s="234"/>
      <c r="E75" s="234"/>
      <c r="F75" s="234"/>
      <c r="G75" s="234"/>
      <c r="H75" s="234"/>
      <c r="I75" s="234"/>
      <c r="J75" s="234">
        <f>C75+D75+E75</f>
        <v>512</v>
      </c>
      <c r="K75" s="28"/>
    </row>
    <row r="76" spans="1:11" ht="16.5" thickBot="1" x14ac:dyDescent="0.3">
      <c r="A76" s="153"/>
      <c r="B76" s="207" t="s">
        <v>10</v>
      </c>
      <c r="C76" s="235">
        <f t="shared" ref="C76:J76" si="14">SUM(C23+C26+C73+C74+C75)</f>
        <v>225172</v>
      </c>
      <c r="D76" s="235">
        <f t="shared" si="14"/>
        <v>29879</v>
      </c>
      <c r="E76" s="235">
        <f t="shared" si="14"/>
        <v>0</v>
      </c>
      <c r="F76" s="235">
        <f t="shared" si="14"/>
        <v>0</v>
      </c>
      <c r="G76" s="235">
        <f t="shared" si="14"/>
        <v>0</v>
      </c>
      <c r="H76" s="235"/>
      <c r="I76" s="235"/>
      <c r="J76" s="235">
        <f t="shared" si="14"/>
        <v>255051</v>
      </c>
      <c r="K76" s="28"/>
    </row>
    <row r="77" spans="1:11" x14ac:dyDescent="0.2">
      <c r="A77" s="153" t="s">
        <v>319</v>
      </c>
      <c r="B77" s="206" t="s">
        <v>757</v>
      </c>
      <c r="C77" s="236">
        <f t="shared" ref="C77:G77" si="15">SUM(C78:C79)</f>
        <v>1000</v>
      </c>
      <c r="D77" s="236">
        <f t="shared" si="15"/>
        <v>0</v>
      </c>
      <c r="E77" s="236">
        <f t="shared" si="15"/>
        <v>0</v>
      </c>
      <c r="F77" s="236">
        <f t="shared" si="15"/>
        <v>0</v>
      </c>
      <c r="G77" s="236">
        <f t="shared" si="15"/>
        <v>0</v>
      </c>
      <c r="H77" s="236"/>
      <c r="I77" s="236"/>
      <c r="J77" s="161">
        <f>(D77+C77+E77)</f>
        <v>1000</v>
      </c>
      <c r="K77" s="28"/>
    </row>
    <row r="78" spans="1:11" hidden="1" x14ac:dyDescent="0.2">
      <c r="A78" s="153"/>
      <c r="B78" s="8"/>
      <c r="C78" s="13"/>
      <c r="D78" s="13"/>
      <c r="E78" s="13"/>
      <c r="F78" s="13"/>
      <c r="G78" s="13"/>
      <c r="H78" s="13"/>
      <c r="I78" s="13"/>
      <c r="J78" s="309"/>
      <c r="K78" s="28"/>
    </row>
    <row r="79" spans="1:11" ht="13.5" thickBot="1" x14ac:dyDescent="0.25">
      <c r="A79" s="153"/>
      <c r="B79" s="12" t="s">
        <v>870</v>
      </c>
      <c r="C79" s="32">
        <v>1000</v>
      </c>
      <c r="D79" s="32"/>
      <c r="E79" s="32"/>
      <c r="F79" s="32"/>
      <c r="G79" s="32"/>
      <c r="H79" s="32"/>
      <c r="I79" s="32"/>
      <c r="J79" s="575">
        <f>(D79+C79+E79)</f>
        <v>1000</v>
      </c>
      <c r="K79" s="28"/>
    </row>
    <row r="80" spans="1:11" ht="20.25" thickBot="1" x14ac:dyDescent="0.4">
      <c r="A80" s="150"/>
      <c r="B80" s="156" t="s">
        <v>7</v>
      </c>
      <c r="C80" s="235">
        <f t="shared" ref="C80:G80" si="16">SUM(C23+C26+C73+C74+C75+C77)</f>
        <v>226172</v>
      </c>
      <c r="D80" s="235">
        <f t="shared" si="16"/>
        <v>29879</v>
      </c>
      <c r="E80" s="235">
        <f t="shared" si="16"/>
        <v>0</v>
      </c>
      <c r="F80" s="235">
        <f t="shared" si="16"/>
        <v>0</v>
      </c>
      <c r="G80" s="235">
        <f t="shared" si="16"/>
        <v>0</v>
      </c>
      <c r="H80" s="235"/>
      <c r="I80" s="235"/>
      <c r="J80" s="155">
        <f>SUM(J76+J77)</f>
        <v>256051</v>
      </c>
      <c r="K80" s="29"/>
    </row>
    <row r="81" spans="1:11" x14ac:dyDescent="0.2">
      <c r="A81" s="61"/>
      <c r="B81" s="77" t="s">
        <v>59</v>
      </c>
      <c r="C81" s="154">
        <v>34</v>
      </c>
      <c r="D81" s="81">
        <v>4</v>
      </c>
      <c r="E81" s="81"/>
      <c r="F81" s="81"/>
      <c r="G81" s="81"/>
      <c r="H81" s="81"/>
      <c r="I81" s="81"/>
      <c r="J81" s="41">
        <f>(D81+C81+E81)</f>
        <v>38</v>
      </c>
      <c r="K81" s="29"/>
    </row>
    <row r="83" spans="1:11" x14ac:dyDescent="0.2">
      <c r="B83" s="9" t="s">
        <v>427</v>
      </c>
      <c r="C83" s="9"/>
      <c r="D83" s="9"/>
      <c r="E83" s="9"/>
      <c r="F83" s="9"/>
      <c r="G83" s="9"/>
      <c r="H83" s="9"/>
      <c r="I83" s="37"/>
      <c r="J83" s="37">
        <v>16067</v>
      </c>
    </row>
    <row r="84" spans="1:11" x14ac:dyDescent="0.2">
      <c r="B84" s="9" t="s">
        <v>980</v>
      </c>
      <c r="C84" s="9"/>
      <c r="D84" s="9"/>
      <c r="E84" s="9"/>
      <c r="F84" s="9"/>
      <c r="G84" s="9"/>
      <c r="H84" s="9"/>
      <c r="I84" s="37"/>
      <c r="J84" s="37">
        <f>SUM('2.működés'!C13)</f>
        <v>133919</v>
      </c>
    </row>
    <row r="85" spans="1:11" x14ac:dyDescent="0.2">
      <c r="B85" s="9" t="s">
        <v>405</v>
      </c>
      <c r="C85" s="9"/>
      <c r="D85" s="9"/>
      <c r="E85" s="9"/>
      <c r="F85" s="9"/>
      <c r="G85" s="9"/>
      <c r="H85" s="9"/>
      <c r="I85" s="37"/>
      <c r="J85" s="37">
        <f>700+980+1+19</f>
        <v>1700</v>
      </c>
    </row>
    <row r="86" spans="1:11" x14ac:dyDescent="0.2">
      <c r="B86" s="9" t="s">
        <v>878</v>
      </c>
      <c r="C86" s="9"/>
      <c r="D86" s="9"/>
      <c r="E86" s="9"/>
      <c r="F86" s="9"/>
      <c r="G86" s="9"/>
      <c r="H86" s="9"/>
      <c r="I86" s="37"/>
      <c r="J86" s="37">
        <f>SUM('2.működés'!C59)</f>
        <v>48369</v>
      </c>
    </row>
    <row r="87" spans="1:11" x14ac:dyDescent="0.2">
      <c r="B87" s="9" t="s">
        <v>877</v>
      </c>
      <c r="C87" s="9"/>
      <c r="D87" s="9"/>
      <c r="E87" s="9"/>
      <c r="F87" s="9"/>
      <c r="G87" s="9"/>
      <c r="H87" s="9"/>
      <c r="I87" s="37"/>
      <c r="J87" s="37">
        <v>4000</v>
      </c>
    </row>
    <row r="88" spans="1:11" hidden="1" x14ac:dyDescent="0.2"/>
    <row r="89" spans="1:11" hidden="1" x14ac:dyDescent="0.2">
      <c r="B89" s="9" t="s">
        <v>1097</v>
      </c>
      <c r="C89" s="9"/>
      <c r="D89" s="9"/>
      <c r="E89" s="9"/>
      <c r="F89" s="9"/>
      <c r="G89" s="9"/>
      <c r="H89" s="9"/>
      <c r="I89" s="37"/>
      <c r="J89" s="37">
        <f>SUM('2.működés'!C62)</f>
        <v>0</v>
      </c>
    </row>
    <row r="90" spans="1:11" hidden="1" x14ac:dyDescent="0.2">
      <c r="B90" s="9" t="s">
        <v>1260</v>
      </c>
      <c r="C90" s="9"/>
      <c r="D90" s="9"/>
      <c r="E90" s="9"/>
      <c r="F90" s="9"/>
      <c r="G90" s="9"/>
      <c r="H90" s="9"/>
      <c r="I90" s="37"/>
      <c r="J90" s="37">
        <f>'2.működés'!C64</f>
        <v>0</v>
      </c>
    </row>
    <row r="91" spans="1:11" x14ac:dyDescent="0.2">
      <c r="B91" s="496" t="s">
        <v>1323</v>
      </c>
      <c r="C91" s="51"/>
      <c r="D91" s="51"/>
      <c r="E91" s="51"/>
      <c r="F91" s="51"/>
      <c r="G91" s="51"/>
      <c r="H91" s="51"/>
      <c r="I91" s="497"/>
      <c r="J91" s="497">
        <f>SUM(J83:J90)</f>
        <v>204055</v>
      </c>
    </row>
    <row r="92" spans="1:11" x14ac:dyDescent="0.2">
      <c r="B92" s="9" t="s">
        <v>334</v>
      </c>
      <c r="I92" s="37"/>
      <c r="J92" s="595">
        <f>SUM(J80-J91)</f>
        <v>51996</v>
      </c>
      <c r="K92"/>
    </row>
    <row r="93" spans="1:11" x14ac:dyDescent="0.2">
      <c r="B93" s="9" t="s">
        <v>1182</v>
      </c>
      <c r="J93" s="75">
        <f>J84+J92</f>
        <v>185915</v>
      </c>
      <c r="K93"/>
    </row>
    <row r="140" spans="11:11" x14ac:dyDescent="0.2">
      <c r="K140" s="9">
        <f>(K26+K34+K35+K36+K37+K38+K39+K40+K41+K43+K44+K46+K47+K48+K49+K50+K51+K52+K53+K65+K76+K77+K78+K82+(K90-1000))*0.27+D138</f>
        <v>-270</v>
      </c>
    </row>
  </sheetData>
  <mergeCells count="6">
    <mergeCell ref="A6:J6"/>
    <mergeCell ref="A4:J4"/>
    <mergeCell ref="A5:J5"/>
    <mergeCell ref="A8:A9"/>
    <mergeCell ref="B8:B9"/>
    <mergeCell ref="E8:I8"/>
  </mergeCells>
  <phoneticPr fontId="13" type="noConversion"/>
  <pageMargins left="0.35433070866141736" right="0" top="0.19685039370078741" bottom="0.15748031496062992" header="0.19685039370078741" footer="0.15748031496062992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85"/>
  <sheetViews>
    <sheetView zoomScaleNormal="100" workbookViewId="0">
      <selection activeCell="B11" sqref="B11:C12"/>
    </sheetView>
  </sheetViews>
  <sheetFormatPr defaultRowHeight="12.75" x14ac:dyDescent="0.2"/>
  <cols>
    <col min="1" max="1" width="44.85546875" customWidth="1"/>
    <col min="2" max="2" width="12.7109375" customWidth="1"/>
    <col min="3" max="3" width="12.7109375" style="95" customWidth="1"/>
    <col min="4" max="8" width="10.140625" customWidth="1"/>
    <col min="9" max="13" width="10.28515625" customWidth="1"/>
    <col min="14" max="14" width="12.7109375" customWidth="1"/>
    <col min="15" max="15" width="6.7109375" customWidth="1"/>
    <col min="16" max="17" width="12.7109375" customWidth="1"/>
    <col min="18" max="18" width="10.28515625" customWidth="1"/>
  </cols>
  <sheetData>
    <row r="1" spans="1:32" x14ac:dyDescent="0.2">
      <c r="A1" s="3"/>
      <c r="B1" s="3"/>
      <c r="C1" s="3"/>
      <c r="D1" s="3"/>
      <c r="E1" s="3"/>
      <c r="F1" s="3"/>
      <c r="G1" s="3"/>
      <c r="H1" s="3"/>
      <c r="J1" s="84"/>
      <c r="K1" s="84"/>
      <c r="L1" s="84"/>
      <c r="M1" s="84"/>
      <c r="N1" s="84" t="s">
        <v>910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x14ac:dyDescent="0.2">
      <c r="A2" s="85"/>
      <c r="B2" s="3"/>
      <c r="C2" s="86"/>
      <c r="D2" s="3"/>
      <c r="E2" s="3"/>
      <c r="F2" s="3"/>
      <c r="G2" s="3"/>
      <c r="H2" s="3"/>
      <c r="I2" s="582"/>
      <c r="J2" s="87"/>
      <c r="K2" s="87"/>
      <c r="L2" s="87"/>
      <c r="M2" s="87"/>
      <c r="N2" s="181" t="str">
        <f>'1.Bev-kiad.'!C2</f>
        <v>a /2023.() önkormányzati rendelethez</v>
      </c>
      <c r="O2" s="3"/>
      <c r="P2" s="3"/>
      <c r="Q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2">
      <c r="A3" s="85"/>
      <c r="B3" s="3"/>
      <c r="C3" s="86"/>
      <c r="D3" s="3"/>
      <c r="E3" s="3"/>
      <c r="F3" s="3"/>
      <c r="G3" s="3"/>
      <c r="H3" s="3"/>
      <c r="I3" s="582"/>
      <c r="J3" s="87"/>
      <c r="K3" s="87"/>
      <c r="L3" s="87"/>
      <c r="M3" s="87"/>
      <c r="N3" s="181"/>
      <c r="O3" s="3"/>
      <c r="P3" s="3"/>
      <c r="Q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5" x14ac:dyDescent="0.2">
      <c r="A4" s="801" t="s">
        <v>27</v>
      </c>
      <c r="B4" s="802"/>
      <c r="C4" s="802"/>
      <c r="D4" s="802"/>
      <c r="E4" s="802"/>
      <c r="F4" s="802"/>
      <c r="G4" s="54"/>
      <c r="H4" s="54"/>
      <c r="I4" s="87"/>
      <c r="J4" s="87"/>
      <c r="K4" s="542"/>
      <c r="L4" s="89"/>
      <c r="M4" s="89"/>
      <c r="N4" s="54"/>
      <c r="O4" s="54"/>
      <c r="P4" s="54"/>
      <c r="Q4" s="54"/>
      <c r="R4" s="3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2" ht="15" x14ac:dyDescent="0.2">
      <c r="A5" s="801" t="s">
        <v>1194</v>
      </c>
      <c r="B5" s="802"/>
      <c r="C5" s="802"/>
      <c r="D5" s="802"/>
      <c r="E5" s="802"/>
      <c r="F5" s="802"/>
      <c r="G5" s="54"/>
      <c r="H5" s="54"/>
      <c r="I5" s="87"/>
      <c r="J5" s="87"/>
      <c r="K5" s="542"/>
      <c r="L5" s="89"/>
      <c r="M5" s="89"/>
      <c r="N5" s="54"/>
      <c r="O5" s="54"/>
      <c r="P5" s="54"/>
      <c r="Q5" s="3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6" spans="1:32" x14ac:dyDescent="0.2">
      <c r="A6" s="3"/>
      <c r="B6" s="3"/>
      <c r="C6" s="86"/>
      <c r="D6" s="54"/>
      <c r="E6" s="54"/>
      <c r="F6" s="84" t="s">
        <v>28</v>
      </c>
      <c r="G6" s="54"/>
      <c r="H6" s="54"/>
      <c r="J6" s="84"/>
      <c r="L6" s="90"/>
      <c r="M6" s="90"/>
      <c r="N6" s="54"/>
      <c r="O6" s="54"/>
      <c r="P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</row>
    <row r="7" spans="1:32" ht="42.75" x14ac:dyDescent="0.2">
      <c r="A7" s="558" t="s">
        <v>372</v>
      </c>
      <c r="B7" s="557" t="s">
        <v>1324</v>
      </c>
      <c r="C7" s="564">
        <v>2023</v>
      </c>
      <c r="D7" s="564">
        <v>2024</v>
      </c>
      <c r="E7" s="564">
        <v>2025</v>
      </c>
      <c r="F7" s="564">
        <v>2026</v>
      </c>
      <c r="G7" s="563"/>
      <c r="H7" s="292"/>
      <c r="J7" s="563"/>
      <c r="K7" s="91"/>
      <c r="L7" s="91"/>
      <c r="M7" s="91"/>
    </row>
    <row r="8" spans="1:32" ht="15" customHeight="1" x14ac:dyDescent="0.2">
      <c r="A8" s="694" t="s">
        <v>64</v>
      </c>
      <c r="B8" s="565" t="e">
        <f>SUM(B9:B9)</f>
        <v>#REF!</v>
      </c>
      <c r="C8" s="565" t="e">
        <f>SUM(C9:C9)</f>
        <v>#REF!</v>
      </c>
      <c r="D8" s="543" t="s">
        <v>66</v>
      </c>
      <c r="E8" s="569" t="s">
        <v>66</v>
      </c>
      <c r="F8" s="567" t="s">
        <v>66</v>
      </c>
      <c r="G8" s="292"/>
      <c r="H8" s="292"/>
      <c r="I8" s="292"/>
      <c r="J8" s="292"/>
      <c r="K8" s="27"/>
      <c r="L8" s="27"/>
      <c r="M8" s="27"/>
    </row>
    <row r="9" spans="1:32" ht="16.5" customHeight="1" x14ac:dyDescent="0.2">
      <c r="A9" s="695" t="s">
        <v>1046</v>
      </c>
      <c r="B9" s="429" t="e">
        <f>(221049-C9)</f>
        <v>#REF!</v>
      </c>
      <c r="C9" s="145" t="e">
        <f>SUM('8.Önk.'!#REF!+'8.Önk.'!E106+'8.Önk.'!E107+'8.Önk.'!E108+'3.felh'!C47+'3.felh'!C48)</f>
        <v>#REF!</v>
      </c>
      <c r="D9" s="566" t="s">
        <v>66</v>
      </c>
      <c r="E9" s="566" t="s">
        <v>66</v>
      </c>
      <c r="F9" s="567" t="s">
        <v>66</v>
      </c>
      <c r="G9" s="195"/>
      <c r="H9" s="195"/>
      <c r="I9" s="195"/>
      <c r="J9" s="195"/>
      <c r="K9" s="27"/>
      <c r="L9" s="27"/>
      <c r="M9" s="27"/>
    </row>
    <row r="10" spans="1:32" ht="17.25" customHeight="1" x14ac:dyDescent="0.2">
      <c r="A10" s="689" t="s">
        <v>65</v>
      </c>
      <c r="B10" s="184">
        <f>SUM(B11)</f>
        <v>255977</v>
      </c>
      <c r="C10" s="184" t="e">
        <f>SUM(C11)</f>
        <v>#REF!</v>
      </c>
      <c r="D10" s="569" t="s">
        <v>66</v>
      </c>
      <c r="E10" s="569" t="s">
        <v>66</v>
      </c>
      <c r="F10" s="543" t="s">
        <v>66</v>
      </c>
      <c r="G10" s="560"/>
      <c r="H10" s="560"/>
      <c r="I10" s="560"/>
      <c r="J10" s="560"/>
      <c r="K10" s="27"/>
      <c r="L10" s="27"/>
      <c r="M10" s="27"/>
    </row>
    <row r="11" spans="1:32" ht="17.25" customHeight="1" x14ac:dyDescent="0.2">
      <c r="A11" s="695" t="s">
        <v>480</v>
      </c>
      <c r="B11" s="429">
        <v>255977</v>
      </c>
      <c r="C11" s="145" t="e">
        <f>SUM('8.Önk.'!E111+'8.Önk.'!E114+'8.Önk.'!#REF!+'3.felh'!C68)+'8.Önk.'!E115+'8.Önk.'!E116</f>
        <v>#REF!</v>
      </c>
      <c r="D11" s="566" t="s">
        <v>66</v>
      </c>
      <c r="E11" s="566" t="s">
        <v>66</v>
      </c>
      <c r="F11" s="40" t="s">
        <v>66</v>
      </c>
      <c r="G11" s="561"/>
      <c r="H11" s="561"/>
      <c r="I11" s="561"/>
      <c r="J11" s="561"/>
      <c r="K11" s="27"/>
      <c r="L11" s="27"/>
      <c r="M11" s="27"/>
    </row>
    <row r="12" spans="1:32" ht="27.75" customHeight="1" x14ac:dyDescent="0.2">
      <c r="A12" s="695" t="s">
        <v>1206</v>
      </c>
      <c r="B12" s="429">
        <v>0</v>
      </c>
      <c r="C12" s="145">
        <v>0</v>
      </c>
      <c r="D12" s="429">
        <v>227589</v>
      </c>
      <c r="E12" s="40" t="s">
        <v>66</v>
      </c>
      <c r="F12" s="40" t="s">
        <v>66</v>
      </c>
      <c r="G12" s="561"/>
      <c r="H12" s="561"/>
      <c r="I12" s="561"/>
      <c r="J12" s="561"/>
      <c r="K12" s="27"/>
      <c r="L12" s="27"/>
      <c r="M12" s="27"/>
    </row>
    <row r="13" spans="1:32" ht="15.75" customHeight="1" x14ac:dyDescent="0.2">
      <c r="A13" s="689" t="s">
        <v>67</v>
      </c>
      <c r="B13" s="727">
        <v>0</v>
      </c>
      <c r="C13" s="727">
        <v>0</v>
      </c>
      <c r="D13" s="569" t="s">
        <v>66</v>
      </c>
      <c r="E13" s="569" t="s">
        <v>66</v>
      </c>
      <c r="F13" s="543" t="s">
        <v>66</v>
      </c>
      <c r="G13" s="560"/>
      <c r="H13" s="560"/>
      <c r="I13" s="560"/>
      <c r="J13" s="560"/>
      <c r="K13" s="27"/>
      <c r="L13" s="27"/>
      <c r="M13" s="27"/>
    </row>
    <row r="14" spans="1:32" x14ac:dyDescent="0.2">
      <c r="A14" s="690" t="s">
        <v>66</v>
      </c>
      <c r="B14" s="145">
        <v>0</v>
      </c>
      <c r="C14" s="145">
        <v>0</v>
      </c>
      <c r="D14" s="566" t="s">
        <v>66</v>
      </c>
      <c r="E14" s="566" t="s">
        <v>66</v>
      </c>
      <c r="F14" s="40" t="s">
        <v>66</v>
      </c>
      <c r="G14" s="561"/>
      <c r="H14" s="561"/>
      <c r="I14" s="561"/>
      <c r="J14" s="561"/>
      <c r="K14" s="27"/>
      <c r="L14" s="27"/>
      <c r="M14" s="27"/>
    </row>
    <row r="15" spans="1:32" x14ac:dyDescent="0.2">
      <c r="A15" s="689" t="s">
        <v>47</v>
      </c>
      <c r="B15" s="104" t="e">
        <f>SUM(B8+B10)</f>
        <v>#REF!</v>
      </c>
      <c r="C15" s="104" t="e">
        <f>SUM(C8+C10)</f>
        <v>#REF!</v>
      </c>
      <c r="D15" s="570" t="s">
        <v>66</v>
      </c>
      <c r="E15" s="570" t="s">
        <v>66</v>
      </c>
      <c r="F15" s="568" t="s">
        <v>66</v>
      </c>
      <c r="G15" s="562"/>
      <c r="H15" s="562"/>
      <c r="I15" s="562"/>
      <c r="J15" s="562"/>
      <c r="K15" s="92"/>
      <c r="L15" s="92"/>
      <c r="M15" s="92"/>
    </row>
    <row r="16" spans="1:32" x14ac:dyDescent="0.2">
      <c r="A16" s="3"/>
      <c r="B16" s="3"/>
      <c r="C16" s="3"/>
      <c r="D16" s="185"/>
      <c r="E16" s="185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5" ht="12.95" customHeight="1" x14ac:dyDescent="0.2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5" ht="16.5" customHeight="1" x14ac:dyDescent="0.2">
      <c r="A18" s="825" t="s">
        <v>911</v>
      </c>
      <c r="B18" s="825"/>
      <c r="C18" s="825"/>
      <c r="D18" s="825"/>
      <c r="E18" s="825"/>
      <c r="F18" s="825"/>
      <c r="G18" s="825"/>
      <c r="H18" s="825"/>
      <c r="I18" s="825"/>
      <c r="J18" s="825"/>
      <c r="K18" s="825"/>
      <c r="L18" s="825"/>
      <c r="M18" s="825"/>
      <c r="N18" s="825"/>
    </row>
    <row r="19" spans="1:15" ht="12.95" customHeight="1" x14ac:dyDescent="0.2">
      <c r="A19" s="801" t="s">
        <v>1325</v>
      </c>
      <c r="B19" s="802"/>
      <c r="C19" s="802"/>
      <c r="D19" s="802"/>
      <c r="E19" s="802"/>
      <c r="F19" s="802"/>
      <c r="G19" s="802"/>
      <c r="H19" s="802"/>
      <c r="I19" s="802"/>
      <c r="J19" s="802"/>
      <c r="K19" s="802"/>
      <c r="L19" s="802"/>
      <c r="M19" s="802"/>
      <c r="N19" s="802"/>
    </row>
    <row r="20" spans="1:15" ht="12.95" customHeight="1" x14ac:dyDescent="0.2">
      <c r="A20" s="3"/>
      <c r="B20" s="3"/>
      <c r="C20" s="86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4" t="s">
        <v>0</v>
      </c>
    </row>
    <row r="21" spans="1:15" ht="17.25" customHeight="1" x14ac:dyDescent="0.2">
      <c r="A21" s="826" t="s">
        <v>892</v>
      </c>
      <c r="B21" s="826" t="s">
        <v>68</v>
      </c>
      <c r="C21" s="826" t="s">
        <v>69</v>
      </c>
      <c r="D21" s="820" t="s">
        <v>872</v>
      </c>
      <c r="E21" s="820"/>
      <c r="F21" s="820"/>
      <c r="G21" s="820"/>
      <c r="H21" s="820"/>
      <c r="I21" s="820"/>
      <c r="J21" s="820"/>
      <c r="K21" s="820"/>
      <c r="L21" s="426"/>
      <c r="M21" s="426"/>
      <c r="N21" s="814" t="s">
        <v>47</v>
      </c>
    </row>
    <row r="22" spans="1:15" ht="33.75" customHeight="1" x14ac:dyDescent="0.2">
      <c r="A22" s="826"/>
      <c r="B22" s="826"/>
      <c r="C22" s="826"/>
      <c r="D22" s="812">
        <v>2023</v>
      </c>
      <c r="E22" s="813"/>
      <c r="F22" s="812">
        <v>2024</v>
      </c>
      <c r="G22" s="813"/>
      <c r="H22" s="812">
        <v>2025</v>
      </c>
      <c r="I22" s="813"/>
      <c r="J22" s="812">
        <v>2026</v>
      </c>
      <c r="K22" s="813"/>
      <c r="L22" s="820" t="s">
        <v>1326</v>
      </c>
      <c r="M22" s="821"/>
      <c r="N22" s="814"/>
    </row>
    <row r="23" spans="1:15" ht="15.75" customHeight="1" x14ac:dyDescent="0.2">
      <c r="A23" s="827"/>
      <c r="B23" s="827"/>
      <c r="C23" s="827"/>
      <c r="D23" s="119" t="s">
        <v>893</v>
      </c>
      <c r="E23" s="119" t="s">
        <v>894</v>
      </c>
      <c r="F23" s="119" t="s">
        <v>893</v>
      </c>
      <c r="G23" s="119" t="s">
        <v>894</v>
      </c>
      <c r="H23" s="119" t="s">
        <v>893</v>
      </c>
      <c r="I23" s="119" t="s">
        <v>894</v>
      </c>
      <c r="J23" s="119" t="s">
        <v>893</v>
      </c>
      <c r="K23" s="119" t="s">
        <v>894</v>
      </c>
      <c r="L23" s="119" t="s">
        <v>893</v>
      </c>
      <c r="M23" s="119" t="s">
        <v>894</v>
      </c>
      <c r="N23" s="815"/>
    </row>
    <row r="24" spans="1:15" ht="24.75" customHeight="1" x14ac:dyDescent="0.2">
      <c r="A24" s="428" t="s">
        <v>895</v>
      </c>
      <c r="B24" s="26">
        <v>2019</v>
      </c>
      <c r="C24" s="429">
        <v>100000</v>
      </c>
      <c r="D24" s="120">
        <v>10400</v>
      </c>
      <c r="E24" s="120">
        <v>8350</v>
      </c>
      <c r="F24" s="145">
        <v>10400</v>
      </c>
      <c r="G24" s="145">
        <v>1270</v>
      </c>
      <c r="H24" s="145">
        <v>10400</v>
      </c>
      <c r="I24" s="145">
        <v>1031</v>
      </c>
      <c r="J24" s="145">
        <v>10400</v>
      </c>
      <c r="K24" s="145">
        <v>785</v>
      </c>
      <c r="L24" s="145">
        <v>19400</v>
      </c>
      <c r="M24" s="145">
        <v>909</v>
      </c>
      <c r="N24" s="40">
        <f>SUM(D24:M24)</f>
        <v>73345</v>
      </c>
      <c r="O24" s="824">
        <f>SUM(N24+N25)</f>
        <v>163172</v>
      </c>
    </row>
    <row r="25" spans="1:15" x14ac:dyDescent="0.2">
      <c r="A25" s="58" t="s">
        <v>896</v>
      </c>
      <c r="B25" s="61">
        <v>2019</v>
      </c>
      <c r="C25" s="429">
        <v>100000</v>
      </c>
      <c r="D25" s="120">
        <v>9756</v>
      </c>
      <c r="E25" s="120">
        <v>8890</v>
      </c>
      <c r="F25" s="145">
        <v>9756</v>
      </c>
      <c r="G25" s="58">
        <v>1437</v>
      </c>
      <c r="H25" s="58">
        <v>9756</v>
      </c>
      <c r="I25" s="58">
        <v>1215</v>
      </c>
      <c r="J25" s="58">
        <v>9756</v>
      </c>
      <c r="K25" s="58">
        <v>986</v>
      </c>
      <c r="L25" s="58">
        <v>36585</v>
      </c>
      <c r="M25" s="58">
        <v>1690</v>
      </c>
      <c r="N25" s="40">
        <f t="shared" ref="N25:N27" si="0">SUM(D25:M25)</f>
        <v>89827</v>
      </c>
      <c r="O25" s="824"/>
    </row>
    <row r="26" spans="1:15" ht="12.95" customHeight="1" x14ac:dyDescent="0.2">
      <c r="A26" s="58" t="s">
        <v>1084</v>
      </c>
      <c r="B26" s="61">
        <v>2022</v>
      </c>
      <c r="C26" s="429">
        <v>342000</v>
      </c>
      <c r="D26" s="120">
        <v>38000</v>
      </c>
      <c r="E26" s="120">
        <v>12310</v>
      </c>
      <c r="F26" s="145">
        <v>38000</v>
      </c>
      <c r="G26" s="58">
        <v>12481</v>
      </c>
      <c r="H26" s="58">
        <v>38000</v>
      </c>
      <c r="I26" s="58">
        <v>10875</v>
      </c>
      <c r="J26" s="58">
        <v>38000</v>
      </c>
      <c r="K26" s="58">
        <v>9207</v>
      </c>
      <c r="L26" s="58">
        <f>(38000*5)</f>
        <v>190000</v>
      </c>
      <c r="M26" s="58">
        <v>21483</v>
      </c>
      <c r="N26" s="40">
        <f t="shared" si="0"/>
        <v>408356</v>
      </c>
    </row>
    <row r="27" spans="1:15" ht="12.95" customHeight="1" x14ac:dyDescent="0.2">
      <c r="A27" s="93" t="s">
        <v>47</v>
      </c>
      <c r="B27" s="62"/>
      <c r="C27" s="184">
        <f t="shared" ref="C27:M27" si="1">SUM(C24:C26)</f>
        <v>542000</v>
      </c>
      <c r="D27" s="121">
        <f t="shared" si="1"/>
        <v>58156</v>
      </c>
      <c r="E27" s="121">
        <f t="shared" si="1"/>
        <v>29550</v>
      </c>
      <c r="F27" s="58">
        <f t="shared" si="1"/>
        <v>58156</v>
      </c>
      <c r="G27" s="58">
        <f t="shared" si="1"/>
        <v>15188</v>
      </c>
      <c r="H27" s="58">
        <f t="shared" si="1"/>
        <v>58156</v>
      </c>
      <c r="I27" s="60">
        <f t="shared" si="1"/>
        <v>13121</v>
      </c>
      <c r="J27" s="58">
        <f t="shared" si="1"/>
        <v>58156</v>
      </c>
      <c r="K27" s="58">
        <f t="shared" si="1"/>
        <v>10978</v>
      </c>
      <c r="L27" s="58">
        <f>SUM(L24:L26)</f>
        <v>245985</v>
      </c>
      <c r="M27" s="58">
        <f t="shared" si="1"/>
        <v>24082</v>
      </c>
      <c r="N27" s="543">
        <f t="shared" si="0"/>
        <v>571528</v>
      </c>
      <c r="O27" s="213">
        <f>SUM(N24:N26)</f>
        <v>571528</v>
      </c>
    </row>
    <row r="28" spans="1:15" ht="22.5" customHeight="1" x14ac:dyDescent="0.2">
      <c r="A28" s="803" t="s">
        <v>359</v>
      </c>
      <c r="B28" s="804"/>
      <c r="C28" s="805"/>
      <c r="D28" s="820" t="s">
        <v>371</v>
      </c>
      <c r="E28" s="820"/>
      <c r="F28" s="820"/>
      <c r="G28" s="820"/>
      <c r="H28" s="820"/>
      <c r="I28" s="820"/>
      <c r="J28" s="820"/>
      <c r="K28" s="820"/>
      <c r="L28" s="426"/>
      <c r="M28" s="426"/>
      <c r="N28" s="814" t="s">
        <v>47</v>
      </c>
    </row>
    <row r="29" spans="1:15" ht="21.75" customHeight="1" x14ac:dyDescent="0.2">
      <c r="A29" s="806"/>
      <c r="B29" s="807"/>
      <c r="C29" s="808"/>
      <c r="D29" s="828">
        <f>D22</f>
        <v>2023</v>
      </c>
      <c r="E29" s="829"/>
      <c r="F29" s="822">
        <f>F22</f>
        <v>2024</v>
      </c>
      <c r="G29" s="823"/>
      <c r="H29" s="822">
        <f t="shared" ref="H29" si="2">H22</f>
        <v>2025</v>
      </c>
      <c r="I29" s="823"/>
      <c r="J29" s="822">
        <f t="shared" ref="J29" si="3">J22</f>
        <v>2026</v>
      </c>
      <c r="K29" s="823"/>
      <c r="L29" s="822" t="str">
        <f t="shared" ref="L29" si="4">L22</f>
        <v>2027 és további évek</v>
      </c>
      <c r="M29" s="823"/>
      <c r="N29" s="815"/>
    </row>
    <row r="30" spans="1:15" ht="12.95" customHeight="1" x14ac:dyDescent="0.2">
      <c r="A30" s="809"/>
      <c r="B30" s="810"/>
      <c r="C30" s="811"/>
      <c r="D30" s="816">
        <f>SUM('2.működés'!C73+'2.működés'!C74+'2.működés'!C75+'2.működés'!C77+'2.működés'!C85+'2.működés'!C80+'3.felh'!C25+'2.működés'!C79)/2</f>
        <v>260740</v>
      </c>
      <c r="E30" s="817"/>
      <c r="F30" s="818">
        <v>187500</v>
      </c>
      <c r="G30" s="819"/>
      <c r="H30" s="818">
        <v>187500</v>
      </c>
      <c r="I30" s="819"/>
      <c r="J30" s="818">
        <v>187500</v>
      </c>
      <c r="K30" s="819"/>
      <c r="L30" s="818">
        <f>(187500*6)</f>
        <v>1125000</v>
      </c>
      <c r="M30" s="819"/>
      <c r="N30" s="40">
        <f>SUM(D30:M30)</f>
        <v>1948240</v>
      </c>
    </row>
    <row r="31" spans="1:15" ht="12.95" customHeight="1" x14ac:dyDescent="0.2">
      <c r="B31" s="75"/>
      <c r="C31" s="94"/>
    </row>
    <row r="32" spans="1:15" ht="12.95" hidden="1" customHeight="1" x14ac:dyDescent="0.2">
      <c r="B32" s="75"/>
      <c r="C32" s="94"/>
      <c r="D32" s="75" t="e">
        <f>('2.működés'!#REF!+'2.működés'!#REF!+'2.működés'!#REF!+'2.működés'!#REF!+'2.működés'!#REF!+'3.felh'!#REF!)/2</f>
        <v>#REF!</v>
      </c>
      <c r="E32" s="75"/>
      <c r="F32" s="75" t="e">
        <f>('2.működés'!#REF!+'2.működés'!#REF!+'2.működés'!#REF!+'2.működés'!#REF!+'2.működés'!#REF!+'3.felh'!#REF!)/2</f>
        <v>#REF!</v>
      </c>
      <c r="G32" s="75"/>
      <c r="H32" s="75"/>
    </row>
    <row r="33" spans="2:6" ht="12.95" hidden="1" customHeight="1" x14ac:dyDescent="0.2">
      <c r="B33" s="75"/>
      <c r="C33" s="94"/>
      <c r="D33" s="75" t="e">
        <f>D32*2</f>
        <v>#REF!</v>
      </c>
      <c r="E33" s="75"/>
    </row>
    <row r="34" spans="2:6" ht="12.95" hidden="1" customHeight="1" x14ac:dyDescent="0.2">
      <c r="B34" s="75"/>
      <c r="C34" s="94"/>
      <c r="D34" s="75" t="e">
        <f>368582-D33</f>
        <v>#REF!</v>
      </c>
      <c r="E34" s="75"/>
    </row>
    <row r="35" spans="2:6" ht="12.95" customHeight="1" x14ac:dyDescent="0.2">
      <c r="B35" s="75"/>
      <c r="C35" s="94"/>
    </row>
    <row r="36" spans="2:6" ht="12.95" customHeight="1" x14ac:dyDescent="0.2">
      <c r="B36" s="75"/>
      <c r="C36" s="94"/>
      <c r="F36" s="75"/>
    </row>
    <row r="37" spans="2:6" ht="12.95" customHeight="1" x14ac:dyDescent="0.2">
      <c r="B37" s="75"/>
      <c r="C37" s="94"/>
    </row>
    <row r="38" spans="2:6" ht="12.95" customHeight="1" x14ac:dyDescent="0.2">
      <c r="B38" s="75"/>
      <c r="C38" s="94"/>
    </row>
    <row r="39" spans="2:6" ht="12.95" customHeight="1" x14ac:dyDescent="0.2">
      <c r="B39" s="75"/>
      <c r="C39" s="94"/>
    </row>
    <row r="40" spans="2:6" ht="12.95" customHeight="1" x14ac:dyDescent="0.2">
      <c r="B40" s="75"/>
      <c r="C40" s="94"/>
    </row>
    <row r="41" spans="2:6" ht="12.95" customHeight="1" x14ac:dyDescent="0.2">
      <c r="B41" s="75"/>
      <c r="C41" s="94"/>
    </row>
    <row r="42" spans="2:6" ht="12.95" customHeight="1" x14ac:dyDescent="0.2">
      <c r="B42" s="75"/>
      <c r="C42" s="94"/>
    </row>
    <row r="43" spans="2:6" ht="12.95" customHeight="1" x14ac:dyDescent="0.2">
      <c r="B43" s="75"/>
      <c r="C43" s="94"/>
    </row>
    <row r="44" spans="2:6" ht="12.95" customHeight="1" x14ac:dyDescent="0.2">
      <c r="B44" s="75"/>
      <c r="C44" s="94"/>
    </row>
    <row r="45" spans="2:6" ht="12.95" customHeight="1" x14ac:dyDescent="0.2">
      <c r="B45" s="75"/>
      <c r="C45" s="94"/>
    </row>
    <row r="46" spans="2:6" ht="12.95" customHeight="1" x14ac:dyDescent="0.2">
      <c r="B46" s="75"/>
      <c r="C46" s="94"/>
    </row>
    <row r="47" spans="2:6" ht="12.95" customHeight="1" x14ac:dyDescent="0.2">
      <c r="B47" s="75"/>
      <c r="C47" s="94"/>
    </row>
    <row r="48" spans="2:6" ht="12.95" customHeight="1" x14ac:dyDescent="0.2">
      <c r="B48" s="75"/>
      <c r="C48" s="94"/>
    </row>
    <row r="49" spans="2:3" ht="12.95" customHeight="1" x14ac:dyDescent="0.2">
      <c r="B49" s="75"/>
      <c r="C49" s="94"/>
    </row>
    <row r="50" spans="2:3" ht="12.95" customHeight="1" x14ac:dyDescent="0.2">
      <c r="B50" s="75"/>
      <c r="C50" s="94"/>
    </row>
    <row r="51" spans="2:3" ht="12.95" customHeight="1" x14ac:dyDescent="0.2">
      <c r="B51" s="75"/>
      <c r="C51" s="94"/>
    </row>
    <row r="52" spans="2:3" ht="12.95" customHeight="1" x14ac:dyDescent="0.2">
      <c r="B52" s="75"/>
      <c r="C52" s="94"/>
    </row>
    <row r="53" spans="2:3" ht="12.95" customHeight="1" x14ac:dyDescent="0.2">
      <c r="B53" s="75"/>
      <c r="C53" s="94"/>
    </row>
    <row r="54" spans="2:3" ht="12.95" customHeight="1" x14ac:dyDescent="0.2">
      <c r="B54" s="75"/>
      <c r="C54" s="94"/>
    </row>
    <row r="55" spans="2:3" ht="12.95" customHeight="1" x14ac:dyDescent="0.2">
      <c r="B55" s="75"/>
      <c r="C55" s="94"/>
    </row>
    <row r="56" spans="2:3" ht="12.95" customHeight="1" x14ac:dyDescent="0.2">
      <c r="B56" s="75"/>
      <c r="C56" s="94"/>
    </row>
    <row r="57" spans="2:3" ht="12.95" customHeight="1" x14ac:dyDescent="0.2">
      <c r="B57" s="75"/>
      <c r="C57" s="94"/>
    </row>
    <row r="58" spans="2:3" ht="12.95" customHeight="1" x14ac:dyDescent="0.2">
      <c r="B58" s="75"/>
      <c r="C58" s="94"/>
    </row>
    <row r="59" spans="2:3" ht="12.95" customHeight="1" x14ac:dyDescent="0.2">
      <c r="B59" s="75"/>
      <c r="C59" s="94"/>
    </row>
    <row r="60" spans="2:3" ht="12.95" customHeight="1" x14ac:dyDescent="0.2">
      <c r="B60" s="75"/>
      <c r="C60" s="94"/>
    </row>
    <row r="61" spans="2:3" ht="12.95" customHeight="1" x14ac:dyDescent="0.2">
      <c r="B61" s="75"/>
      <c r="C61" s="94"/>
    </row>
    <row r="62" spans="2:3" ht="12.95" customHeight="1" x14ac:dyDescent="0.2">
      <c r="B62" s="75"/>
      <c r="C62" s="94"/>
    </row>
    <row r="63" spans="2:3" ht="12.95" customHeight="1" x14ac:dyDescent="0.2">
      <c r="B63" s="75"/>
      <c r="C63" s="94"/>
    </row>
    <row r="64" spans="2:3" ht="12.95" customHeight="1" x14ac:dyDescent="0.2">
      <c r="B64" s="75"/>
      <c r="C64" s="94"/>
    </row>
    <row r="65" spans="2:3" ht="12.95" customHeight="1" x14ac:dyDescent="0.2">
      <c r="B65" s="75"/>
      <c r="C65" s="94"/>
    </row>
    <row r="66" spans="2:3" ht="12.95" customHeight="1" x14ac:dyDescent="0.2">
      <c r="B66" s="75"/>
      <c r="C66" s="94"/>
    </row>
    <row r="67" spans="2:3" ht="12.95" customHeight="1" x14ac:dyDescent="0.2">
      <c r="B67" s="75"/>
      <c r="C67" s="94"/>
    </row>
    <row r="68" spans="2:3" x14ac:dyDescent="0.2">
      <c r="B68" s="75"/>
      <c r="C68" s="94"/>
    </row>
    <row r="69" spans="2:3" x14ac:dyDescent="0.2">
      <c r="B69" s="75"/>
      <c r="C69" s="94"/>
    </row>
    <row r="70" spans="2:3" x14ac:dyDescent="0.2">
      <c r="B70" s="75"/>
      <c r="C70" s="94"/>
    </row>
    <row r="71" spans="2:3" x14ac:dyDescent="0.2">
      <c r="B71" s="75"/>
      <c r="C71" s="94"/>
    </row>
    <row r="72" spans="2:3" x14ac:dyDescent="0.2">
      <c r="B72" s="75"/>
      <c r="C72" s="94"/>
    </row>
    <row r="73" spans="2:3" x14ac:dyDescent="0.2">
      <c r="B73" s="75"/>
      <c r="C73" s="94"/>
    </row>
    <row r="74" spans="2:3" x14ac:dyDescent="0.2">
      <c r="B74" s="75"/>
      <c r="C74" s="94"/>
    </row>
    <row r="75" spans="2:3" x14ac:dyDescent="0.2">
      <c r="B75" s="75"/>
      <c r="C75" s="94"/>
    </row>
    <row r="76" spans="2:3" x14ac:dyDescent="0.2">
      <c r="B76" s="75"/>
      <c r="C76" s="94"/>
    </row>
    <row r="77" spans="2:3" x14ac:dyDescent="0.2">
      <c r="B77" s="75"/>
      <c r="C77" s="94"/>
    </row>
    <row r="78" spans="2:3" x14ac:dyDescent="0.2">
      <c r="B78" s="75"/>
      <c r="C78" s="94"/>
    </row>
    <row r="79" spans="2:3" x14ac:dyDescent="0.2">
      <c r="B79" s="75"/>
      <c r="C79" s="94"/>
    </row>
    <row r="80" spans="2:3" x14ac:dyDescent="0.2">
      <c r="B80" s="75"/>
      <c r="C80" s="94"/>
    </row>
    <row r="81" spans="2:3" x14ac:dyDescent="0.2">
      <c r="B81" s="75"/>
      <c r="C81" s="94"/>
    </row>
    <row r="82" spans="2:3" x14ac:dyDescent="0.2">
      <c r="B82" s="75"/>
      <c r="C82" s="94"/>
    </row>
    <row r="83" spans="2:3" x14ac:dyDescent="0.2">
      <c r="B83" s="75"/>
      <c r="C83" s="94"/>
    </row>
    <row r="84" spans="2:3" x14ac:dyDescent="0.2">
      <c r="B84" s="75"/>
      <c r="C84" s="94"/>
    </row>
    <row r="85" spans="2:3" x14ac:dyDescent="0.2">
      <c r="B85" s="75"/>
      <c r="C85" s="94"/>
    </row>
  </sheetData>
  <mergeCells count="28">
    <mergeCell ref="O24:O25"/>
    <mergeCell ref="A18:N18"/>
    <mergeCell ref="H22:I22"/>
    <mergeCell ref="H29:I29"/>
    <mergeCell ref="D22:E22"/>
    <mergeCell ref="J29:K29"/>
    <mergeCell ref="A21:A23"/>
    <mergeCell ref="A19:N19"/>
    <mergeCell ref="B21:B23"/>
    <mergeCell ref="D28:K28"/>
    <mergeCell ref="J22:K22"/>
    <mergeCell ref="F29:G29"/>
    <mergeCell ref="C21:C23"/>
    <mergeCell ref="D29:E29"/>
    <mergeCell ref="D21:K21"/>
    <mergeCell ref="N21:N23"/>
    <mergeCell ref="A4:F4"/>
    <mergeCell ref="A5:F5"/>
    <mergeCell ref="A28:C30"/>
    <mergeCell ref="F22:G22"/>
    <mergeCell ref="N28:N29"/>
    <mergeCell ref="D30:E30"/>
    <mergeCell ref="F30:G30"/>
    <mergeCell ref="H30:I30"/>
    <mergeCell ref="J30:K30"/>
    <mergeCell ref="L22:M22"/>
    <mergeCell ref="L29:M29"/>
    <mergeCell ref="L30:M30"/>
  </mergeCells>
  <pageMargins left="0.43307086614173229" right="0.19685039370078741" top="0.31496062992125984" bottom="0.98425196850393704" header="0.19685039370078741" footer="0.51181102362204722"/>
  <pageSetup paperSize="9" scale="7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5"/>
  <sheetViews>
    <sheetView zoomScaleNormal="100" workbookViewId="0">
      <selection activeCell="C15" sqref="C15"/>
    </sheetView>
  </sheetViews>
  <sheetFormatPr defaultRowHeight="12.75" x14ac:dyDescent="0.2"/>
  <cols>
    <col min="1" max="1" width="6.140625" style="314" customWidth="1"/>
    <col min="2" max="2" width="46.85546875" style="314" customWidth="1"/>
    <col min="3" max="3" width="15.28515625" style="314" customWidth="1"/>
    <col min="4" max="4" width="13.7109375" style="314" customWidth="1"/>
    <col min="5" max="5" width="13.85546875" style="314" customWidth="1"/>
    <col min="6" max="7" width="9.140625" style="314" hidden="1" customWidth="1"/>
    <col min="8" max="16384" width="9.140625" style="314"/>
  </cols>
  <sheetData>
    <row r="1" spans="1:7" x14ac:dyDescent="0.2">
      <c r="E1" s="315" t="s">
        <v>360</v>
      </c>
    </row>
    <row r="2" spans="1:7" ht="19.5" x14ac:dyDescent="0.35">
      <c r="A2" s="742" t="s">
        <v>27</v>
      </c>
      <c r="B2" s="750"/>
      <c r="C2" s="750"/>
      <c r="D2" s="750"/>
      <c r="E2" s="750"/>
    </row>
    <row r="3" spans="1:7" ht="19.5" x14ac:dyDescent="0.35">
      <c r="A3" s="742" t="s">
        <v>697</v>
      </c>
      <c r="B3" s="750"/>
      <c r="C3" s="750"/>
      <c r="D3" s="750"/>
      <c r="E3" s="750"/>
    </row>
    <row r="4" spans="1:7" ht="20.25" thickBot="1" x14ac:dyDescent="0.4">
      <c r="B4" s="311"/>
      <c r="C4" s="311"/>
      <c r="D4" s="311"/>
    </row>
    <row r="5" spans="1:7" s="319" customFormat="1" ht="48.75" customHeight="1" thickBot="1" x14ac:dyDescent="0.25">
      <c r="A5" s="316"/>
      <c r="B5" s="317" t="s">
        <v>489</v>
      </c>
      <c r="C5" s="317" t="s">
        <v>44</v>
      </c>
      <c r="D5" s="317" t="s">
        <v>490</v>
      </c>
      <c r="E5" s="318" t="s">
        <v>47</v>
      </c>
    </row>
    <row r="6" spans="1:7" x14ac:dyDescent="0.2">
      <c r="A6" s="320" t="s">
        <v>491</v>
      </c>
      <c r="B6" s="321" t="s">
        <v>492</v>
      </c>
      <c r="C6" s="322">
        <v>2162596</v>
      </c>
      <c r="D6" s="322">
        <v>31806</v>
      </c>
      <c r="E6" s="323">
        <f>SUM(C6:D6)</f>
        <v>2194402</v>
      </c>
      <c r="G6" s="314">
        <v>252931</v>
      </c>
    </row>
    <row r="7" spans="1:7" x14ac:dyDescent="0.2">
      <c r="A7" s="324" t="s">
        <v>493</v>
      </c>
      <c r="B7" s="325" t="s">
        <v>494</v>
      </c>
      <c r="C7" s="326">
        <v>813907</v>
      </c>
      <c r="D7" s="326">
        <v>185259</v>
      </c>
      <c r="E7" s="327">
        <f>SUM(C7:D7)</f>
        <v>999166</v>
      </c>
      <c r="F7" s="328"/>
      <c r="G7" s="314">
        <v>252931</v>
      </c>
    </row>
    <row r="8" spans="1:7" x14ac:dyDescent="0.2">
      <c r="A8" s="329" t="s">
        <v>495</v>
      </c>
      <c r="B8" s="330" t="s">
        <v>496</v>
      </c>
      <c r="C8" s="331">
        <f>C6-C7</f>
        <v>1348689</v>
      </c>
      <c r="D8" s="331">
        <f>D6-D7</f>
        <v>-153453</v>
      </c>
      <c r="E8" s="332">
        <f>E6-E7</f>
        <v>1195236</v>
      </c>
      <c r="F8" s="333"/>
    </row>
    <row r="9" spans="1:7" x14ac:dyDescent="0.2">
      <c r="A9" s="324" t="s">
        <v>497</v>
      </c>
      <c r="B9" s="325" t="s">
        <v>498</v>
      </c>
      <c r="C9" s="326">
        <v>162293</v>
      </c>
      <c r="D9" s="326">
        <v>173994</v>
      </c>
      <c r="E9" s="327">
        <f>SUM(C9:D9)</f>
        <v>336287</v>
      </c>
      <c r="F9" s="328">
        <f>E6+E9</f>
        <v>2530689</v>
      </c>
      <c r="G9" s="328">
        <f>F9-G6</f>
        <v>2277758</v>
      </c>
    </row>
    <row r="10" spans="1:7" x14ac:dyDescent="0.2">
      <c r="A10" s="324" t="s">
        <v>499</v>
      </c>
      <c r="B10" s="325" t="s">
        <v>500</v>
      </c>
      <c r="C10" s="326">
        <v>184852</v>
      </c>
      <c r="D10" s="326">
        <v>0</v>
      </c>
      <c r="E10" s="327">
        <f>SUM(C10:D10)</f>
        <v>184852</v>
      </c>
      <c r="F10" s="328">
        <f>E7+E10</f>
        <v>1184018</v>
      </c>
      <c r="G10" s="328">
        <f>F10-G7</f>
        <v>931087</v>
      </c>
    </row>
    <row r="11" spans="1:7" ht="14.25" customHeight="1" x14ac:dyDescent="0.2">
      <c r="A11" s="329" t="s">
        <v>501</v>
      </c>
      <c r="B11" s="330" t="s">
        <v>502</v>
      </c>
      <c r="C11" s="331">
        <f>C9-C10</f>
        <v>-22559</v>
      </c>
      <c r="D11" s="331">
        <f>D9-D10</f>
        <v>173994</v>
      </c>
      <c r="E11" s="332">
        <f>E9-E10</f>
        <v>151435</v>
      </c>
    </row>
    <row r="12" spans="1:7" x14ac:dyDescent="0.2">
      <c r="A12" s="329" t="s">
        <v>503</v>
      </c>
      <c r="B12" s="330" t="s">
        <v>504</v>
      </c>
      <c r="C12" s="331">
        <f>C8+C11</f>
        <v>1326130</v>
      </c>
      <c r="D12" s="331">
        <f>D8+D11</f>
        <v>20541</v>
      </c>
      <c r="E12" s="332">
        <f>E8+E11</f>
        <v>1346671</v>
      </c>
    </row>
    <row r="13" spans="1:7" x14ac:dyDescent="0.2">
      <c r="A13" s="329">
        <v>15</v>
      </c>
      <c r="B13" s="330" t="s">
        <v>505</v>
      </c>
      <c r="C13" s="331">
        <f>C12</f>
        <v>1326130</v>
      </c>
      <c r="D13" s="331">
        <f>D12</f>
        <v>20541</v>
      </c>
      <c r="E13" s="332">
        <f>E12</f>
        <v>1346671</v>
      </c>
    </row>
    <row r="14" spans="1:7" ht="25.5" hidden="1" x14ac:dyDescent="0.2">
      <c r="A14" s="329" t="s">
        <v>506</v>
      </c>
      <c r="B14" s="330" t="s">
        <v>507</v>
      </c>
      <c r="C14" s="334">
        <v>0</v>
      </c>
      <c r="D14" s="334">
        <v>0</v>
      </c>
      <c r="E14" s="335">
        <f>SUM(C14:D14)</f>
        <v>0</v>
      </c>
    </row>
    <row r="15" spans="1:7" ht="13.5" thickBot="1" x14ac:dyDescent="0.25">
      <c r="A15" s="336">
        <v>17</v>
      </c>
      <c r="B15" s="337" t="s">
        <v>508</v>
      </c>
      <c r="C15" s="338">
        <f>C12-C14</f>
        <v>1326130</v>
      </c>
      <c r="D15" s="338">
        <f>D12-D14</f>
        <v>20541</v>
      </c>
      <c r="E15" s="339">
        <f>E12-E14</f>
        <v>1346671</v>
      </c>
    </row>
  </sheetData>
  <mergeCells count="2">
    <mergeCell ref="A2:E2"/>
    <mergeCell ref="A3:E3"/>
  </mergeCells>
  <pageMargins left="0.7" right="0.7" top="0.75" bottom="0.75" header="0.3" footer="0.3"/>
  <pageSetup paperSize="9" scale="9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H82"/>
  <sheetViews>
    <sheetView topLeftCell="A13" zoomScaleNormal="100" workbookViewId="0">
      <selection activeCell="F19" sqref="F19"/>
    </sheetView>
  </sheetViews>
  <sheetFormatPr defaultRowHeight="12.75" x14ac:dyDescent="0.2"/>
  <cols>
    <col min="1" max="1" width="0.28515625" style="314" customWidth="1"/>
    <col min="2" max="2" width="8.140625" style="314" customWidth="1"/>
    <col min="3" max="3" width="78.5703125" style="314" customWidth="1"/>
    <col min="4" max="4" width="13.42578125" style="314" customWidth="1"/>
    <col min="5" max="5" width="14.140625" style="314" customWidth="1"/>
    <col min="6" max="6" width="12.42578125" style="314" customWidth="1"/>
    <col min="7" max="16384" width="9.140625" style="314"/>
  </cols>
  <sheetData>
    <row r="1" spans="2:8" x14ac:dyDescent="0.2">
      <c r="F1" s="315" t="s">
        <v>467</v>
      </c>
    </row>
    <row r="2" spans="2:8" ht="19.5" x14ac:dyDescent="0.35">
      <c r="B2" s="742" t="s">
        <v>27</v>
      </c>
      <c r="C2" s="750"/>
      <c r="D2" s="750"/>
      <c r="E2" s="750"/>
      <c r="F2" s="750"/>
      <c r="G2"/>
      <c r="H2"/>
    </row>
    <row r="3" spans="2:8" ht="19.5" x14ac:dyDescent="0.35">
      <c r="B3" s="742" t="s">
        <v>698</v>
      </c>
      <c r="C3" s="750"/>
      <c r="D3" s="750"/>
      <c r="E3" s="750"/>
      <c r="F3" s="750"/>
      <c r="G3"/>
      <c r="H3"/>
    </row>
    <row r="4" spans="2:8" x14ac:dyDescent="0.2">
      <c r="F4" s="315"/>
    </row>
    <row r="5" spans="2:8" x14ac:dyDescent="0.2">
      <c r="F5" s="315" t="s">
        <v>708</v>
      </c>
    </row>
    <row r="6" spans="2:8" s="319" customFormat="1" ht="31.5" x14ac:dyDescent="0.2">
      <c r="B6" s="340"/>
      <c r="C6" s="341" t="s">
        <v>71</v>
      </c>
      <c r="D6" s="341" t="s">
        <v>510</v>
      </c>
      <c r="E6" s="340" t="s">
        <v>511</v>
      </c>
      <c r="F6" s="340" t="s">
        <v>512</v>
      </c>
    </row>
    <row r="7" spans="2:8" hidden="1" x14ac:dyDescent="0.2">
      <c r="B7" s="342" t="s">
        <v>491</v>
      </c>
      <c r="C7" s="325" t="s">
        <v>513</v>
      </c>
      <c r="D7" s="326">
        <v>0</v>
      </c>
      <c r="E7" s="326">
        <v>0</v>
      </c>
      <c r="F7" s="326">
        <v>0</v>
      </c>
    </row>
    <row r="8" spans="2:8" hidden="1" x14ac:dyDescent="0.2">
      <c r="B8" s="342" t="s">
        <v>493</v>
      </c>
      <c r="C8" s="325" t="s">
        <v>514</v>
      </c>
      <c r="D8" s="326">
        <v>71</v>
      </c>
      <c r="E8" s="326">
        <v>0</v>
      </c>
      <c r="F8" s="326">
        <v>34</v>
      </c>
    </row>
    <row r="9" spans="2:8" x14ac:dyDescent="0.2">
      <c r="B9" s="342" t="s">
        <v>491</v>
      </c>
      <c r="C9" s="325" t="s">
        <v>515</v>
      </c>
      <c r="D9" s="326">
        <v>292</v>
      </c>
      <c r="E9" s="326">
        <f>E7+E8</f>
        <v>0</v>
      </c>
      <c r="F9" s="326">
        <v>812</v>
      </c>
    </row>
    <row r="10" spans="2:8" hidden="1" x14ac:dyDescent="0.2">
      <c r="B10" s="342" t="s">
        <v>499</v>
      </c>
      <c r="C10" s="325" t="s">
        <v>516</v>
      </c>
      <c r="D10" s="326">
        <v>453294</v>
      </c>
      <c r="E10" s="326">
        <v>0</v>
      </c>
      <c r="F10" s="326">
        <v>456355</v>
      </c>
    </row>
    <row r="11" spans="2:8" hidden="1" x14ac:dyDescent="0.2">
      <c r="B11" s="342" t="s">
        <v>501</v>
      </c>
      <c r="C11" s="325" t="s">
        <v>517</v>
      </c>
      <c r="D11" s="326">
        <v>20376</v>
      </c>
      <c r="E11" s="326">
        <v>0</v>
      </c>
      <c r="F11" s="326">
        <v>0</v>
      </c>
    </row>
    <row r="12" spans="2:8" hidden="1" x14ac:dyDescent="0.2">
      <c r="B12" s="342" t="s">
        <v>518</v>
      </c>
      <c r="C12" s="325" t="s">
        <v>519</v>
      </c>
      <c r="D12" s="326">
        <v>0</v>
      </c>
      <c r="E12" s="326">
        <v>0</v>
      </c>
      <c r="F12" s="326">
        <v>0</v>
      </c>
    </row>
    <row r="13" spans="2:8" x14ac:dyDescent="0.2">
      <c r="B13" s="342" t="s">
        <v>493</v>
      </c>
      <c r="C13" s="325" t="s">
        <v>520</v>
      </c>
      <c r="D13" s="326">
        <v>4808307</v>
      </c>
      <c r="E13" s="326">
        <f>E10+E11+E12</f>
        <v>0</v>
      </c>
      <c r="F13" s="326">
        <v>4824355</v>
      </c>
    </row>
    <row r="14" spans="2:8" hidden="1" x14ac:dyDescent="0.2">
      <c r="B14" s="342" t="s">
        <v>521</v>
      </c>
      <c r="C14" s="325" t="s">
        <v>522</v>
      </c>
      <c r="D14" s="326">
        <v>0</v>
      </c>
      <c r="E14" s="326">
        <v>0</v>
      </c>
      <c r="F14" s="326">
        <v>0</v>
      </c>
    </row>
    <row r="15" spans="2:8" hidden="1" x14ac:dyDescent="0.2">
      <c r="B15" s="342" t="s">
        <v>523</v>
      </c>
      <c r="C15" s="325" t="s">
        <v>524</v>
      </c>
      <c r="D15" s="326">
        <v>0</v>
      </c>
      <c r="E15" s="326">
        <v>0</v>
      </c>
      <c r="F15" s="326">
        <v>0</v>
      </c>
    </row>
    <row r="16" spans="2:8" hidden="1" x14ac:dyDescent="0.2">
      <c r="B16" s="342" t="s">
        <v>525</v>
      </c>
      <c r="C16" s="325" t="s">
        <v>526</v>
      </c>
      <c r="D16" s="326">
        <v>0</v>
      </c>
      <c r="E16" s="326">
        <v>0</v>
      </c>
      <c r="F16" s="326">
        <v>0</v>
      </c>
    </row>
    <row r="17" spans="2:6" hidden="1" x14ac:dyDescent="0.2">
      <c r="B17" s="342">
        <v>17</v>
      </c>
      <c r="C17" s="325" t="s">
        <v>527</v>
      </c>
      <c r="D17" s="326">
        <v>0</v>
      </c>
      <c r="E17" s="326">
        <v>0</v>
      </c>
      <c r="F17" s="326">
        <v>0</v>
      </c>
    </row>
    <row r="18" spans="2:6" x14ac:dyDescent="0.2">
      <c r="B18" s="342" t="s">
        <v>499</v>
      </c>
      <c r="C18" s="325" t="s">
        <v>528</v>
      </c>
      <c r="D18" s="326">
        <v>196666</v>
      </c>
      <c r="E18" s="326">
        <f>E14+E17</f>
        <v>0</v>
      </c>
      <c r="F18" s="326">
        <v>196506</v>
      </c>
    </row>
    <row r="19" spans="2:6" x14ac:dyDescent="0.2">
      <c r="B19" s="343" t="s">
        <v>499</v>
      </c>
      <c r="C19" s="330" t="s">
        <v>529</v>
      </c>
      <c r="D19" s="331">
        <f>D9+D13+D18</f>
        <v>5005265</v>
      </c>
      <c r="E19" s="331">
        <f>E9+E13+E18</f>
        <v>0</v>
      </c>
      <c r="F19" s="331">
        <f>F9+F13+F18</f>
        <v>5021673</v>
      </c>
    </row>
    <row r="20" spans="2:6" hidden="1" x14ac:dyDescent="0.2">
      <c r="C20" s="325" t="s">
        <v>530</v>
      </c>
      <c r="D20" s="326">
        <v>945</v>
      </c>
      <c r="E20" s="326">
        <v>0</v>
      </c>
      <c r="F20" s="326">
        <v>881</v>
      </c>
    </row>
    <row r="21" spans="2:6" x14ac:dyDescent="0.2">
      <c r="B21" s="342" t="s">
        <v>503</v>
      </c>
      <c r="C21" s="325" t="s">
        <v>718</v>
      </c>
      <c r="D21" s="326">
        <v>0</v>
      </c>
      <c r="E21" s="326">
        <f t="shared" ref="D21:F22" si="0">E20</f>
        <v>0</v>
      </c>
      <c r="F21" s="326">
        <v>160</v>
      </c>
    </row>
    <row r="22" spans="2:6" x14ac:dyDescent="0.2">
      <c r="B22" s="343" t="s">
        <v>518</v>
      </c>
      <c r="C22" s="330" t="s">
        <v>531</v>
      </c>
      <c r="D22" s="331">
        <f t="shared" si="0"/>
        <v>0</v>
      </c>
      <c r="E22" s="331">
        <f t="shared" si="0"/>
        <v>0</v>
      </c>
      <c r="F22" s="331">
        <f t="shared" si="0"/>
        <v>160</v>
      </c>
    </row>
    <row r="23" spans="2:6" hidden="1" x14ac:dyDescent="0.2">
      <c r="B23" s="342">
        <v>44</v>
      </c>
      <c r="C23" s="325" t="s">
        <v>532</v>
      </c>
      <c r="D23" s="326">
        <v>0</v>
      </c>
      <c r="E23" s="326">
        <v>0</v>
      </c>
      <c r="F23" s="326">
        <v>0</v>
      </c>
    </row>
    <row r="24" spans="2:6" hidden="1" x14ac:dyDescent="0.2">
      <c r="B24" s="343">
        <v>46</v>
      </c>
      <c r="C24" s="330" t="s">
        <v>533</v>
      </c>
      <c r="D24" s="331">
        <f>D23</f>
        <v>0</v>
      </c>
      <c r="E24" s="331">
        <f>E23</f>
        <v>0</v>
      </c>
      <c r="F24" s="331">
        <f>F23</f>
        <v>0</v>
      </c>
    </row>
    <row r="25" spans="2:6" hidden="1" x14ac:dyDescent="0.2">
      <c r="B25" s="342">
        <v>10</v>
      </c>
      <c r="C25" s="325" t="s">
        <v>534</v>
      </c>
      <c r="D25" s="326">
        <v>568</v>
      </c>
      <c r="E25" s="326">
        <v>0</v>
      </c>
      <c r="F25" s="326">
        <v>959</v>
      </c>
    </row>
    <row r="26" spans="2:6" x14ac:dyDescent="0.2">
      <c r="B26" s="342">
        <v>10</v>
      </c>
      <c r="C26" s="325" t="s">
        <v>535</v>
      </c>
      <c r="D26" s="326">
        <v>245</v>
      </c>
      <c r="E26" s="326">
        <f>E25</f>
        <v>0</v>
      </c>
      <c r="F26" s="326">
        <v>187</v>
      </c>
    </row>
    <row r="27" spans="2:6" x14ac:dyDescent="0.2">
      <c r="B27" s="342">
        <v>11</v>
      </c>
      <c r="C27" s="325" t="s">
        <v>709</v>
      </c>
      <c r="D27" s="326">
        <v>158112</v>
      </c>
      <c r="E27" s="326">
        <v>0</v>
      </c>
      <c r="F27" s="326">
        <v>1349783</v>
      </c>
    </row>
    <row r="28" spans="2:6" hidden="1" x14ac:dyDescent="0.2">
      <c r="B28" s="343">
        <v>12</v>
      </c>
      <c r="C28" s="330" t="s">
        <v>536</v>
      </c>
      <c r="D28" s="331">
        <f>D27</f>
        <v>158112</v>
      </c>
      <c r="E28" s="331">
        <f>E27</f>
        <v>0</v>
      </c>
      <c r="F28" s="331">
        <f>F27</f>
        <v>1349783</v>
      </c>
    </row>
    <row r="29" spans="2:6" x14ac:dyDescent="0.2">
      <c r="B29" s="343">
        <v>12</v>
      </c>
      <c r="C29" s="330" t="s">
        <v>537</v>
      </c>
      <c r="D29" s="331">
        <f>D26+D28+D24</f>
        <v>158357</v>
      </c>
      <c r="E29" s="331">
        <f>E26+E28+E24</f>
        <v>0</v>
      </c>
      <c r="F29" s="331">
        <f>F26+F28+F24</f>
        <v>1349970</v>
      </c>
    </row>
    <row r="30" spans="2:6" hidden="1" x14ac:dyDescent="0.2">
      <c r="B30" s="342">
        <v>62</v>
      </c>
      <c r="C30" s="325" t="s">
        <v>538</v>
      </c>
      <c r="D30" s="326">
        <v>0</v>
      </c>
      <c r="E30" s="326">
        <v>0</v>
      </c>
      <c r="F30" s="326">
        <v>0</v>
      </c>
    </row>
    <row r="31" spans="2:6" hidden="1" x14ac:dyDescent="0.2">
      <c r="B31" s="342">
        <v>66</v>
      </c>
      <c r="C31" s="325" t="s">
        <v>539</v>
      </c>
      <c r="D31" s="326">
        <v>0</v>
      </c>
      <c r="E31" s="326">
        <v>0</v>
      </c>
      <c r="F31" s="326">
        <v>0</v>
      </c>
    </row>
    <row r="32" spans="2:6" hidden="1" x14ac:dyDescent="0.2">
      <c r="B32" s="342">
        <v>67</v>
      </c>
      <c r="C32" s="325" t="s">
        <v>540</v>
      </c>
      <c r="D32" s="326">
        <v>0</v>
      </c>
      <c r="E32" s="326">
        <v>0</v>
      </c>
      <c r="F32" s="326">
        <v>0</v>
      </c>
    </row>
    <row r="33" spans="2:6" hidden="1" x14ac:dyDescent="0.2">
      <c r="B33" s="342">
        <v>68</v>
      </c>
      <c r="C33" s="325" t="s">
        <v>541</v>
      </c>
      <c r="D33" s="326">
        <v>0</v>
      </c>
      <c r="E33" s="326">
        <v>0</v>
      </c>
      <c r="F33" s="326">
        <v>0</v>
      </c>
    </row>
    <row r="34" spans="2:6" hidden="1" x14ac:dyDescent="0.2">
      <c r="B34" s="342" t="s">
        <v>542</v>
      </c>
      <c r="C34" s="325" t="s">
        <v>543</v>
      </c>
      <c r="D34" s="326">
        <v>0</v>
      </c>
      <c r="E34" s="326">
        <v>0</v>
      </c>
      <c r="F34" s="326">
        <v>0</v>
      </c>
    </row>
    <row r="35" spans="2:6" ht="25.5" hidden="1" x14ac:dyDescent="0.2">
      <c r="B35" s="344">
        <v>70</v>
      </c>
      <c r="C35" s="325" t="s">
        <v>710</v>
      </c>
      <c r="D35" s="334">
        <v>0</v>
      </c>
      <c r="E35" s="334">
        <v>0</v>
      </c>
      <c r="F35" s="334">
        <v>0</v>
      </c>
    </row>
    <row r="36" spans="2:6" hidden="1" x14ac:dyDescent="0.2">
      <c r="B36" s="342">
        <v>73</v>
      </c>
      <c r="C36" s="325" t="s">
        <v>544</v>
      </c>
      <c r="D36" s="326">
        <v>0</v>
      </c>
      <c r="E36" s="326">
        <v>0</v>
      </c>
      <c r="F36" s="326">
        <v>0</v>
      </c>
    </row>
    <row r="37" spans="2:6" hidden="1" x14ac:dyDescent="0.2">
      <c r="B37" s="342">
        <v>78</v>
      </c>
      <c r="C37" s="325" t="s">
        <v>545</v>
      </c>
      <c r="D37" s="326">
        <v>0</v>
      </c>
      <c r="E37" s="326">
        <v>0</v>
      </c>
      <c r="F37" s="326">
        <v>0</v>
      </c>
    </row>
    <row r="38" spans="2:6" hidden="1" x14ac:dyDescent="0.2">
      <c r="B38" s="342">
        <v>79</v>
      </c>
      <c r="C38" s="325" t="s">
        <v>546</v>
      </c>
      <c r="D38" s="326">
        <v>0</v>
      </c>
      <c r="E38" s="326">
        <v>0</v>
      </c>
      <c r="F38" s="326">
        <v>0</v>
      </c>
    </row>
    <row r="39" spans="2:6" hidden="1" x14ac:dyDescent="0.2">
      <c r="B39" s="342">
        <v>81</v>
      </c>
      <c r="C39" s="325" t="s">
        <v>547</v>
      </c>
      <c r="D39" s="326">
        <v>0</v>
      </c>
      <c r="E39" s="326">
        <v>0</v>
      </c>
      <c r="F39" s="326">
        <v>0</v>
      </c>
    </row>
    <row r="40" spans="2:6" ht="25.5" hidden="1" x14ac:dyDescent="0.2">
      <c r="B40" s="344">
        <v>85</v>
      </c>
      <c r="C40" s="325" t="s">
        <v>711</v>
      </c>
      <c r="D40" s="334">
        <v>0</v>
      </c>
      <c r="E40" s="334">
        <v>0</v>
      </c>
      <c r="F40" s="334">
        <v>0</v>
      </c>
    </row>
    <row r="41" spans="2:6" ht="25.5" hidden="1" x14ac:dyDescent="0.2">
      <c r="B41" s="344">
        <v>92</v>
      </c>
      <c r="C41" s="325" t="s">
        <v>712</v>
      </c>
      <c r="D41" s="334">
        <v>0</v>
      </c>
      <c r="E41" s="334">
        <v>0</v>
      </c>
      <c r="F41" s="334">
        <v>0</v>
      </c>
    </row>
    <row r="42" spans="2:6" x14ac:dyDescent="0.2">
      <c r="B42" s="342">
        <v>13</v>
      </c>
      <c r="C42" s="325" t="s">
        <v>548</v>
      </c>
      <c r="D42" s="326">
        <v>25534</v>
      </c>
      <c r="E42" s="326">
        <f>E30+E34+E38+E40</f>
        <v>0</v>
      </c>
      <c r="F42" s="326">
        <v>42542</v>
      </c>
    </row>
    <row r="43" spans="2:6" ht="12.75" hidden="1" customHeight="1" x14ac:dyDescent="0.2">
      <c r="B43" s="342">
        <v>123</v>
      </c>
      <c r="C43" s="325" t="s">
        <v>549</v>
      </c>
      <c r="D43" s="326">
        <v>0</v>
      </c>
      <c r="E43" s="326">
        <v>0</v>
      </c>
      <c r="F43" s="326">
        <v>0</v>
      </c>
    </row>
    <row r="44" spans="2:6" hidden="1" x14ac:dyDescent="0.2">
      <c r="B44" s="342">
        <v>125</v>
      </c>
      <c r="C44" s="325" t="s">
        <v>550</v>
      </c>
      <c r="D44" s="326">
        <v>0</v>
      </c>
      <c r="E44" s="326">
        <v>0</v>
      </c>
      <c r="F44" s="326">
        <v>0</v>
      </c>
    </row>
    <row r="45" spans="2:6" x14ac:dyDescent="0.2">
      <c r="B45" s="342">
        <v>14</v>
      </c>
      <c r="C45" s="325" t="s">
        <v>551</v>
      </c>
      <c r="D45" s="326">
        <v>4768</v>
      </c>
      <c r="E45" s="326">
        <f>E43</f>
        <v>0</v>
      </c>
      <c r="F45" s="326">
        <v>53571</v>
      </c>
    </row>
    <row r="46" spans="2:6" hidden="1" x14ac:dyDescent="0.2">
      <c r="B46" s="342">
        <v>142</v>
      </c>
      <c r="C46" s="325" t="s">
        <v>552</v>
      </c>
      <c r="D46" s="326">
        <v>0</v>
      </c>
      <c r="E46" s="326">
        <v>0</v>
      </c>
      <c r="F46" s="326">
        <v>0</v>
      </c>
    </row>
    <row r="47" spans="2:6" hidden="1" x14ac:dyDescent="0.2">
      <c r="B47" s="342">
        <v>147</v>
      </c>
      <c r="C47" s="325" t="s">
        <v>553</v>
      </c>
      <c r="D47" s="326">
        <v>0</v>
      </c>
      <c r="E47" s="326">
        <v>0</v>
      </c>
      <c r="F47" s="326">
        <v>0</v>
      </c>
    </row>
    <row r="48" spans="2:6" hidden="1" x14ac:dyDescent="0.2">
      <c r="B48" s="342">
        <v>152</v>
      </c>
      <c r="C48" s="325" t="s">
        <v>554</v>
      </c>
      <c r="D48" s="326">
        <v>0</v>
      </c>
      <c r="E48" s="326">
        <v>0</v>
      </c>
      <c r="F48" s="326">
        <v>0</v>
      </c>
    </row>
    <row r="49" spans="2:6" x14ac:dyDescent="0.2">
      <c r="B49" s="342">
        <v>15</v>
      </c>
      <c r="C49" s="325" t="s">
        <v>555</v>
      </c>
      <c r="D49" s="326">
        <v>663</v>
      </c>
      <c r="E49" s="326">
        <f>E46+E48</f>
        <v>0</v>
      </c>
      <c r="F49" s="326">
        <v>533</v>
      </c>
    </row>
    <row r="50" spans="2:6" x14ac:dyDescent="0.2">
      <c r="B50" s="343">
        <v>16</v>
      </c>
      <c r="C50" s="330" t="s">
        <v>556</v>
      </c>
      <c r="D50" s="331">
        <f>D42+D45+D49</f>
        <v>30965</v>
      </c>
      <c r="E50" s="331">
        <f>E42+E45+E49</f>
        <v>0</v>
      </c>
      <c r="F50" s="331">
        <f>F42+F45+F49</f>
        <v>96646</v>
      </c>
    </row>
    <row r="51" spans="2:6" hidden="1" x14ac:dyDescent="0.2">
      <c r="B51" s="342">
        <v>161</v>
      </c>
      <c r="C51" s="325" t="s">
        <v>557</v>
      </c>
      <c r="D51" s="326">
        <v>0</v>
      </c>
      <c r="E51" s="326">
        <v>0</v>
      </c>
      <c r="F51" s="326">
        <v>1155</v>
      </c>
    </row>
    <row r="52" spans="2:6" hidden="1" x14ac:dyDescent="0.2">
      <c r="B52" s="343">
        <v>164</v>
      </c>
      <c r="C52" s="330" t="s">
        <v>558</v>
      </c>
      <c r="D52" s="331">
        <f>SUM(D51)</f>
        <v>0</v>
      </c>
      <c r="E52" s="331">
        <f>SUM(E51)</f>
        <v>0</v>
      </c>
      <c r="F52" s="331">
        <f>SUM(F51)</f>
        <v>1155</v>
      </c>
    </row>
    <row r="53" spans="2:6" hidden="1" x14ac:dyDescent="0.2">
      <c r="B53" s="342">
        <v>166</v>
      </c>
      <c r="C53" s="325" t="s">
        <v>559</v>
      </c>
      <c r="D53" s="326">
        <v>0</v>
      </c>
      <c r="E53" s="326">
        <v>0</v>
      </c>
      <c r="F53" s="326">
        <v>0</v>
      </c>
    </row>
    <row r="54" spans="2:6" hidden="1" x14ac:dyDescent="0.2">
      <c r="B54" s="343">
        <v>167</v>
      </c>
      <c r="C54" s="330" t="s">
        <v>560</v>
      </c>
      <c r="D54" s="331">
        <f>SUM(D53)</f>
        <v>0</v>
      </c>
      <c r="E54" s="331">
        <f>SUM(E53)</f>
        <v>0</v>
      </c>
      <c r="F54" s="331">
        <f>SUM(F53)</f>
        <v>0</v>
      </c>
    </row>
    <row r="55" spans="2:6" hidden="1" x14ac:dyDescent="0.2">
      <c r="B55" s="342">
        <v>168</v>
      </c>
      <c r="C55" s="325" t="s">
        <v>561</v>
      </c>
      <c r="D55" s="326">
        <v>0</v>
      </c>
      <c r="E55" s="326">
        <v>0</v>
      </c>
      <c r="F55" s="326">
        <v>0</v>
      </c>
    </row>
    <row r="56" spans="2:6" ht="25.5" hidden="1" x14ac:dyDescent="0.2">
      <c r="B56" s="342">
        <v>169</v>
      </c>
      <c r="C56" s="325" t="s">
        <v>562</v>
      </c>
      <c r="D56" s="334">
        <v>0</v>
      </c>
      <c r="E56" s="334">
        <v>0</v>
      </c>
      <c r="F56" s="334">
        <v>0</v>
      </c>
    </row>
    <row r="57" spans="2:6" hidden="1" x14ac:dyDescent="0.2">
      <c r="B57" s="343">
        <v>170</v>
      </c>
      <c r="C57" s="330" t="s">
        <v>563</v>
      </c>
      <c r="D57" s="331">
        <f>D56+D55</f>
        <v>0</v>
      </c>
      <c r="E57" s="331">
        <f>E56+E55</f>
        <v>0</v>
      </c>
      <c r="F57" s="331">
        <f>F56+F55</f>
        <v>0</v>
      </c>
    </row>
    <row r="58" spans="2:6" x14ac:dyDescent="0.2">
      <c r="B58" s="343">
        <v>17</v>
      </c>
      <c r="C58" s="330" t="s">
        <v>713</v>
      </c>
      <c r="D58" s="331">
        <v>1051</v>
      </c>
      <c r="E58" s="331">
        <f>E52+E54+E57</f>
        <v>0</v>
      </c>
      <c r="F58" s="331">
        <f>F52+F54+F57</f>
        <v>1155</v>
      </c>
    </row>
    <row r="59" spans="2:6" hidden="1" x14ac:dyDescent="0.2">
      <c r="B59" s="342">
        <v>172</v>
      </c>
      <c r="C59" s="325" t="s">
        <v>564</v>
      </c>
      <c r="D59" s="326">
        <v>0</v>
      </c>
      <c r="E59" s="326">
        <v>0</v>
      </c>
      <c r="F59" s="326">
        <v>0</v>
      </c>
    </row>
    <row r="60" spans="2:6" hidden="1" x14ac:dyDescent="0.2">
      <c r="B60" s="342">
        <v>173</v>
      </c>
      <c r="C60" s="325" t="s">
        <v>565</v>
      </c>
      <c r="D60" s="326">
        <v>0</v>
      </c>
      <c r="E60" s="326">
        <v>0</v>
      </c>
      <c r="F60" s="326">
        <v>0</v>
      </c>
    </row>
    <row r="61" spans="2:6" x14ac:dyDescent="0.2">
      <c r="B61" s="343">
        <v>18</v>
      </c>
      <c r="C61" s="330" t="s">
        <v>566</v>
      </c>
      <c r="D61" s="331">
        <v>101</v>
      </c>
      <c r="E61" s="331">
        <f>E59+E60</f>
        <v>0</v>
      </c>
      <c r="F61" s="331">
        <f>F59+F60</f>
        <v>0</v>
      </c>
    </row>
    <row r="62" spans="2:6" x14ac:dyDescent="0.2">
      <c r="B62" s="343">
        <v>19</v>
      </c>
      <c r="C62" s="330" t="s">
        <v>567</v>
      </c>
      <c r="D62" s="331">
        <f>D19+D22+D29+D50+D58+D61</f>
        <v>5195739</v>
      </c>
      <c r="E62" s="331">
        <f>E19+E22+E29+E50+E57+E61</f>
        <v>0</v>
      </c>
      <c r="F62" s="331">
        <f>F19+F22+F29+F50+F58+F61</f>
        <v>6469604</v>
      </c>
    </row>
    <row r="63" spans="2:6" x14ac:dyDescent="0.2">
      <c r="B63" s="342">
        <v>20</v>
      </c>
      <c r="C63" s="325" t="s">
        <v>714</v>
      </c>
      <c r="D63" s="326">
        <v>5004269</v>
      </c>
      <c r="E63" s="326">
        <v>0</v>
      </c>
      <c r="F63" s="326">
        <v>5397196</v>
      </c>
    </row>
    <row r="64" spans="2:6" x14ac:dyDescent="0.2">
      <c r="B64" s="342">
        <v>181</v>
      </c>
      <c r="C64" s="325" t="s">
        <v>568</v>
      </c>
      <c r="D64" s="326">
        <v>410107</v>
      </c>
      <c r="E64" s="326">
        <v>0</v>
      </c>
      <c r="F64" s="326">
        <v>0</v>
      </c>
    </row>
    <row r="65" spans="2:6" x14ac:dyDescent="0.2">
      <c r="B65" s="342">
        <v>21</v>
      </c>
      <c r="C65" s="325" t="s">
        <v>569</v>
      </c>
      <c r="D65" s="326">
        <v>-871417</v>
      </c>
      <c r="E65" s="326">
        <v>0</v>
      </c>
      <c r="F65" s="326">
        <v>-799071</v>
      </c>
    </row>
    <row r="66" spans="2:6" x14ac:dyDescent="0.2">
      <c r="B66" s="342">
        <v>23</v>
      </c>
      <c r="C66" s="325" t="s">
        <v>570</v>
      </c>
      <c r="D66" s="326">
        <v>55541</v>
      </c>
      <c r="E66" s="326">
        <v>0</v>
      </c>
      <c r="F66" s="326">
        <v>113006</v>
      </c>
    </row>
    <row r="67" spans="2:6" x14ac:dyDescent="0.2">
      <c r="B67" s="343">
        <v>24</v>
      </c>
      <c r="C67" s="330" t="s">
        <v>571</v>
      </c>
      <c r="D67" s="331">
        <f>D63+D64+D65+D66</f>
        <v>4598500</v>
      </c>
      <c r="E67" s="331">
        <f>E63+E64+E65+E66</f>
        <v>0</v>
      </c>
      <c r="F67" s="331">
        <f>F63+F64+F65+F66</f>
        <v>4711131</v>
      </c>
    </row>
    <row r="68" spans="2:6" hidden="1" x14ac:dyDescent="0.2">
      <c r="B68" s="342">
        <v>189</v>
      </c>
      <c r="C68" s="325" t="s">
        <v>715</v>
      </c>
      <c r="D68" s="326">
        <v>0</v>
      </c>
      <c r="E68" s="326">
        <v>0</v>
      </c>
      <c r="F68" s="326">
        <v>0</v>
      </c>
    </row>
    <row r="69" spans="2:6" hidden="1" x14ac:dyDescent="0.2">
      <c r="B69" s="342">
        <v>190</v>
      </c>
      <c r="C69" s="325" t="s">
        <v>716</v>
      </c>
      <c r="D69" s="326">
        <v>0</v>
      </c>
      <c r="E69" s="326">
        <v>0</v>
      </c>
      <c r="F69" s="326">
        <v>0</v>
      </c>
    </row>
    <row r="70" spans="2:6" hidden="1" x14ac:dyDescent="0.2">
      <c r="B70" s="342">
        <v>186</v>
      </c>
      <c r="C70" s="325" t="s">
        <v>572</v>
      </c>
      <c r="D70" s="326">
        <v>0</v>
      </c>
      <c r="E70" s="326">
        <v>0</v>
      </c>
      <c r="F70" s="326">
        <v>0</v>
      </c>
    </row>
    <row r="71" spans="2:6" hidden="1" x14ac:dyDescent="0.2">
      <c r="B71" s="343" t="s">
        <v>717</v>
      </c>
      <c r="C71" s="330" t="s">
        <v>573</v>
      </c>
      <c r="D71" s="331">
        <f>D69+D68+D70</f>
        <v>0</v>
      </c>
      <c r="E71" s="331">
        <f>E69+E68+E70</f>
        <v>0</v>
      </c>
      <c r="F71" s="331">
        <f>F69+F68+F70</f>
        <v>0</v>
      </c>
    </row>
    <row r="72" spans="2:6" ht="25.5" hidden="1" x14ac:dyDescent="0.2">
      <c r="B72" s="344">
        <v>225</v>
      </c>
      <c r="C72" s="325" t="s">
        <v>574</v>
      </c>
      <c r="D72" s="334">
        <v>0</v>
      </c>
      <c r="E72" s="334">
        <v>0</v>
      </c>
      <c r="F72" s="334">
        <v>0</v>
      </c>
    </row>
    <row r="73" spans="2:6" hidden="1" x14ac:dyDescent="0.2">
      <c r="B73" s="343">
        <v>236</v>
      </c>
      <c r="C73" s="330" t="s">
        <v>575</v>
      </c>
      <c r="D73" s="331">
        <f>D72</f>
        <v>0</v>
      </c>
      <c r="E73" s="331">
        <f>E72</f>
        <v>0</v>
      </c>
      <c r="F73" s="331">
        <f>F72</f>
        <v>0</v>
      </c>
    </row>
    <row r="74" spans="2:6" x14ac:dyDescent="0.2">
      <c r="B74" s="342">
        <v>25</v>
      </c>
      <c r="C74" s="325" t="s">
        <v>573</v>
      </c>
      <c r="D74" s="326">
        <v>63120</v>
      </c>
      <c r="E74" s="326">
        <v>0</v>
      </c>
      <c r="F74" s="326">
        <v>71</v>
      </c>
    </row>
    <row r="75" spans="2:6" hidden="1" x14ac:dyDescent="0.2">
      <c r="B75" s="342">
        <v>26</v>
      </c>
      <c r="C75" s="325" t="s">
        <v>576</v>
      </c>
      <c r="D75" s="326"/>
      <c r="E75" s="326"/>
      <c r="F75" s="326"/>
    </row>
    <row r="76" spans="2:6" x14ac:dyDescent="0.2">
      <c r="B76" s="342">
        <v>26</v>
      </c>
      <c r="C76" s="325" t="s">
        <v>575</v>
      </c>
      <c r="D76" s="326">
        <v>13583</v>
      </c>
      <c r="E76" s="326">
        <v>0</v>
      </c>
      <c r="F76" s="326">
        <v>77224</v>
      </c>
    </row>
    <row r="77" spans="2:6" x14ac:dyDescent="0.2">
      <c r="B77" s="342">
        <v>27</v>
      </c>
      <c r="C77" s="325" t="s">
        <v>577</v>
      </c>
      <c r="D77" s="326">
        <v>8782</v>
      </c>
      <c r="E77" s="326">
        <f>E74+E76</f>
        <v>0</v>
      </c>
      <c r="F77" s="326">
        <v>4988</v>
      </c>
    </row>
    <row r="78" spans="2:6" x14ac:dyDescent="0.2">
      <c r="B78" s="343">
        <v>28</v>
      </c>
      <c r="C78" s="330" t="s">
        <v>578</v>
      </c>
      <c r="D78" s="331">
        <f>D71+D77+D73+D74+D76</f>
        <v>85485</v>
      </c>
      <c r="E78" s="331">
        <f>E71+E77+E73+E74+E76</f>
        <v>0</v>
      </c>
      <c r="F78" s="331">
        <f>F71+F77+F73+F74+F76</f>
        <v>82283</v>
      </c>
    </row>
    <row r="79" spans="2:6" hidden="1" x14ac:dyDescent="0.2">
      <c r="B79" s="342">
        <v>251</v>
      </c>
      <c r="C79" s="325" t="s">
        <v>579</v>
      </c>
      <c r="D79" s="326">
        <v>28949</v>
      </c>
      <c r="E79" s="326">
        <v>0</v>
      </c>
      <c r="F79" s="326"/>
    </row>
    <row r="80" spans="2:6" hidden="1" x14ac:dyDescent="0.2">
      <c r="B80" s="342">
        <v>252</v>
      </c>
      <c r="C80" s="325" t="s">
        <v>580</v>
      </c>
      <c r="D80" s="326">
        <v>482805</v>
      </c>
      <c r="E80" s="326">
        <v>0</v>
      </c>
      <c r="F80" s="326">
        <v>1676190</v>
      </c>
    </row>
    <row r="81" spans="2:6" x14ac:dyDescent="0.2">
      <c r="B81" s="343">
        <v>30</v>
      </c>
      <c r="C81" s="330" t="s">
        <v>581</v>
      </c>
      <c r="D81" s="331">
        <f>D79+D80</f>
        <v>511754</v>
      </c>
      <c r="E81" s="331">
        <f>E79+E80</f>
        <v>0</v>
      </c>
      <c r="F81" s="331">
        <f>F79+F80</f>
        <v>1676190</v>
      </c>
    </row>
    <row r="82" spans="2:6" x14ac:dyDescent="0.2">
      <c r="B82" s="343">
        <v>31</v>
      </c>
      <c r="C82" s="330" t="s">
        <v>582</v>
      </c>
      <c r="D82" s="331">
        <f>D67+D78+D81</f>
        <v>5195739</v>
      </c>
      <c r="E82" s="331">
        <f>E67+E78+E81</f>
        <v>0</v>
      </c>
      <c r="F82" s="331">
        <f>F67+F78+F81</f>
        <v>6469604</v>
      </c>
    </row>
  </sheetData>
  <mergeCells count="2">
    <mergeCell ref="B2:F2"/>
    <mergeCell ref="B3:F3"/>
  </mergeCells>
  <pageMargins left="0.7" right="0.7" top="0.75" bottom="0.75" header="0.3" footer="0.3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6"/>
  <sheetViews>
    <sheetView topLeftCell="A7" zoomScaleNormal="100" workbookViewId="0">
      <selection activeCell="E32" sqref="E32"/>
    </sheetView>
  </sheetViews>
  <sheetFormatPr defaultRowHeight="12.75" x14ac:dyDescent="0.2"/>
  <cols>
    <col min="1" max="1" width="8.140625" customWidth="1"/>
    <col min="2" max="2" width="65.85546875" customWidth="1"/>
    <col min="3" max="5" width="16" customWidth="1"/>
    <col min="6" max="6" width="3.85546875" customWidth="1"/>
  </cols>
  <sheetData>
    <row r="1" spans="1:8" s="314" customFormat="1" x14ac:dyDescent="0.2">
      <c r="E1" s="315" t="s">
        <v>488</v>
      </c>
    </row>
    <row r="2" spans="1:8" s="314" customFormat="1" ht="19.5" x14ac:dyDescent="0.35">
      <c r="A2" s="742" t="s">
        <v>27</v>
      </c>
      <c r="B2" s="750"/>
      <c r="C2" s="750"/>
      <c r="D2" s="750"/>
      <c r="E2" s="750"/>
      <c r="F2" s="750"/>
      <c r="G2"/>
      <c r="H2"/>
    </row>
    <row r="3" spans="1:8" s="314" customFormat="1" ht="19.5" x14ac:dyDescent="0.35">
      <c r="A3" s="742" t="s">
        <v>699</v>
      </c>
      <c r="B3" s="750"/>
      <c r="C3" s="750"/>
      <c r="D3" s="750"/>
      <c r="E3" s="750"/>
      <c r="F3" s="750"/>
      <c r="G3"/>
      <c r="H3"/>
    </row>
    <row r="4" spans="1:8" ht="5.25" customHeight="1" x14ac:dyDescent="0.2"/>
    <row r="5" spans="1:8" ht="31.5" x14ac:dyDescent="0.2">
      <c r="A5" s="345"/>
      <c r="B5" s="346" t="s">
        <v>71</v>
      </c>
      <c r="C5" s="346" t="s">
        <v>510</v>
      </c>
      <c r="D5" s="346" t="s">
        <v>511</v>
      </c>
      <c r="E5" s="346" t="s">
        <v>512</v>
      </c>
    </row>
    <row r="6" spans="1:8" x14ac:dyDescent="0.2">
      <c r="A6" s="347" t="s">
        <v>491</v>
      </c>
      <c r="B6" s="348" t="s">
        <v>584</v>
      </c>
      <c r="C6" s="349">
        <v>376071</v>
      </c>
      <c r="D6" s="349">
        <v>0</v>
      </c>
      <c r="E6" s="349">
        <v>420997</v>
      </c>
    </row>
    <row r="7" spans="1:8" x14ac:dyDescent="0.2">
      <c r="A7" s="347" t="s">
        <v>493</v>
      </c>
      <c r="B7" s="348" t="s">
        <v>585</v>
      </c>
      <c r="C7" s="349">
        <v>10661</v>
      </c>
      <c r="D7" s="349">
        <v>0</v>
      </c>
      <c r="E7" s="349">
        <v>8508</v>
      </c>
    </row>
    <row r="8" spans="1:8" x14ac:dyDescent="0.2">
      <c r="A8" s="347" t="s">
        <v>495</v>
      </c>
      <c r="B8" s="348" t="s">
        <v>586</v>
      </c>
      <c r="C8" s="349">
        <v>20059</v>
      </c>
      <c r="D8" s="349">
        <v>0</v>
      </c>
      <c r="E8" s="349">
        <v>30058</v>
      </c>
    </row>
    <row r="9" spans="1:8" x14ac:dyDescent="0.2">
      <c r="A9" s="350" t="s">
        <v>497</v>
      </c>
      <c r="B9" s="351" t="s">
        <v>587</v>
      </c>
      <c r="C9" s="352">
        <f>SUM(C6:C8)</f>
        <v>406791</v>
      </c>
      <c r="D9" s="352">
        <f>SUM(D6:D8)</f>
        <v>0</v>
      </c>
      <c r="E9" s="352">
        <f>SUM(E6:E8)</f>
        <v>459563</v>
      </c>
    </row>
    <row r="10" spans="1:8" x14ac:dyDescent="0.2">
      <c r="A10" s="347" t="s">
        <v>518</v>
      </c>
      <c r="B10" s="348" t="s">
        <v>588</v>
      </c>
      <c r="C10" s="349">
        <v>689293</v>
      </c>
      <c r="D10" s="349">
        <v>0</v>
      </c>
      <c r="E10" s="349">
        <v>411244</v>
      </c>
    </row>
    <row r="11" spans="1:8" x14ac:dyDescent="0.2">
      <c r="A11" s="347" t="s">
        <v>506</v>
      </c>
      <c r="B11" s="348" t="s">
        <v>589</v>
      </c>
      <c r="C11" s="349">
        <v>19631</v>
      </c>
      <c r="D11" s="349">
        <v>0</v>
      </c>
      <c r="E11" s="349">
        <v>53204</v>
      </c>
    </row>
    <row r="12" spans="1:8" x14ac:dyDescent="0.2">
      <c r="A12" s="347">
        <v>10</v>
      </c>
      <c r="B12" s="348" t="s">
        <v>590</v>
      </c>
      <c r="C12" s="349">
        <v>6831</v>
      </c>
      <c r="D12" s="349">
        <v>0</v>
      </c>
      <c r="E12" s="349">
        <v>0</v>
      </c>
    </row>
    <row r="13" spans="1:8" x14ac:dyDescent="0.2">
      <c r="A13" s="347">
        <v>11</v>
      </c>
      <c r="B13" s="348" t="s">
        <v>591</v>
      </c>
      <c r="C13" s="349">
        <v>204957</v>
      </c>
      <c r="D13" s="349">
        <v>0</v>
      </c>
      <c r="E13" s="349">
        <v>164858</v>
      </c>
    </row>
    <row r="14" spans="1:8" x14ac:dyDescent="0.2">
      <c r="A14" s="350">
        <v>12</v>
      </c>
      <c r="B14" s="351" t="s">
        <v>592</v>
      </c>
      <c r="C14" s="352">
        <f>SUM(C10:C13)</f>
        <v>920712</v>
      </c>
      <c r="D14" s="352">
        <f>SUM(D10:D13)</f>
        <v>0</v>
      </c>
      <c r="E14" s="352">
        <f>SUM(E10:E13)</f>
        <v>629306</v>
      </c>
    </row>
    <row r="15" spans="1:8" x14ac:dyDescent="0.2">
      <c r="A15" s="347">
        <v>13</v>
      </c>
      <c r="B15" s="348" t="s">
        <v>593</v>
      </c>
      <c r="C15" s="349">
        <v>17806</v>
      </c>
      <c r="D15" s="349">
        <v>0</v>
      </c>
      <c r="E15" s="349">
        <v>6592</v>
      </c>
    </row>
    <row r="16" spans="1:8" x14ac:dyDescent="0.2">
      <c r="A16" s="347">
        <v>14</v>
      </c>
      <c r="B16" s="348" t="s">
        <v>594</v>
      </c>
      <c r="C16" s="349">
        <v>145978</v>
      </c>
      <c r="D16" s="349">
        <v>0</v>
      </c>
      <c r="E16" s="349">
        <v>125511</v>
      </c>
    </row>
    <row r="17" spans="1:5" hidden="1" x14ac:dyDescent="0.2">
      <c r="A17" s="347">
        <v>16</v>
      </c>
      <c r="B17" s="348" t="s">
        <v>595</v>
      </c>
      <c r="C17" s="349">
        <v>0</v>
      </c>
      <c r="D17" s="349">
        <v>0</v>
      </c>
      <c r="E17" s="349">
        <v>0</v>
      </c>
    </row>
    <row r="18" spans="1:5" x14ac:dyDescent="0.2">
      <c r="A18" s="350">
        <v>17</v>
      </c>
      <c r="B18" s="351" t="s">
        <v>596</v>
      </c>
      <c r="C18" s="352">
        <f>SUM(C15:C17)</f>
        <v>163784</v>
      </c>
      <c r="D18" s="352">
        <f>SUM(D15:D17)</f>
        <v>0</v>
      </c>
      <c r="E18" s="352">
        <f>SUM(E15:E17)</f>
        <v>132103</v>
      </c>
    </row>
    <row r="19" spans="1:5" x14ac:dyDescent="0.2">
      <c r="A19" s="347">
        <v>18</v>
      </c>
      <c r="B19" s="348" t="s">
        <v>597</v>
      </c>
      <c r="C19" s="349">
        <v>151365</v>
      </c>
      <c r="D19" s="349">
        <v>0</v>
      </c>
      <c r="E19" s="349">
        <v>116469</v>
      </c>
    </row>
    <row r="20" spans="1:5" x14ac:dyDescent="0.2">
      <c r="A20" s="347">
        <v>19</v>
      </c>
      <c r="B20" s="348" t="s">
        <v>598</v>
      </c>
      <c r="C20" s="349">
        <v>65241</v>
      </c>
      <c r="D20" s="349">
        <v>0</v>
      </c>
      <c r="E20" s="349">
        <v>55597</v>
      </c>
    </row>
    <row r="21" spans="1:5" x14ac:dyDescent="0.2">
      <c r="A21" s="347">
        <v>20</v>
      </c>
      <c r="B21" s="348" t="s">
        <v>599</v>
      </c>
      <c r="C21" s="349">
        <v>59835</v>
      </c>
      <c r="D21" s="349">
        <v>0</v>
      </c>
      <c r="E21" s="349">
        <v>38725</v>
      </c>
    </row>
    <row r="22" spans="1:5" x14ac:dyDescent="0.2">
      <c r="A22" s="350">
        <v>21</v>
      </c>
      <c r="B22" s="351" t="s">
        <v>600</v>
      </c>
      <c r="C22" s="352">
        <f>SUM(C19:C21)</f>
        <v>276441</v>
      </c>
      <c r="D22" s="352">
        <f>SUM(D19:D21)</f>
        <v>0</v>
      </c>
      <c r="E22" s="352">
        <f>SUM(E19:E21)</f>
        <v>210791</v>
      </c>
    </row>
    <row r="23" spans="1:5" x14ac:dyDescent="0.2">
      <c r="A23" s="350">
        <v>22</v>
      </c>
      <c r="B23" s="351" t="s">
        <v>601</v>
      </c>
      <c r="C23" s="352">
        <v>93449</v>
      </c>
      <c r="D23" s="352">
        <v>0</v>
      </c>
      <c r="E23" s="352">
        <v>91234</v>
      </c>
    </row>
    <row r="24" spans="1:5" x14ac:dyDescent="0.2">
      <c r="A24" s="350">
        <v>23</v>
      </c>
      <c r="B24" s="351" t="s">
        <v>602</v>
      </c>
      <c r="C24" s="352">
        <v>739741</v>
      </c>
      <c r="D24" s="352">
        <v>0</v>
      </c>
      <c r="E24" s="352">
        <v>541756</v>
      </c>
    </row>
    <row r="25" spans="1:5" x14ac:dyDescent="0.2">
      <c r="A25" s="350">
        <v>24</v>
      </c>
      <c r="B25" s="351" t="s">
        <v>603</v>
      </c>
      <c r="C25" s="352">
        <f>C9+C14-C18-C22-C23-C24</f>
        <v>54088</v>
      </c>
      <c r="D25" s="352">
        <f>D9+D14-D18-D22-D23-D24</f>
        <v>0</v>
      </c>
      <c r="E25" s="352">
        <f>E9+E14-E18-E22-E23-E24</f>
        <v>112985</v>
      </c>
    </row>
    <row r="26" spans="1:5" x14ac:dyDescent="0.2">
      <c r="A26" s="347">
        <v>25</v>
      </c>
      <c r="B26" s="348" t="s">
        <v>604</v>
      </c>
      <c r="C26" s="349">
        <v>1648</v>
      </c>
      <c r="D26" s="349">
        <v>0</v>
      </c>
      <c r="E26" s="349">
        <v>0</v>
      </c>
    </row>
    <row r="27" spans="1:5" x14ac:dyDescent="0.2">
      <c r="A27" s="347">
        <v>28</v>
      </c>
      <c r="B27" s="348" t="s">
        <v>605</v>
      </c>
      <c r="C27" s="349">
        <v>15</v>
      </c>
      <c r="D27" s="349">
        <v>0</v>
      </c>
      <c r="E27" s="349">
        <v>39</v>
      </c>
    </row>
    <row r="28" spans="1:5" hidden="1" x14ac:dyDescent="0.2">
      <c r="A28" s="347">
        <v>29</v>
      </c>
      <c r="B28" s="348" t="s">
        <v>606</v>
      </c>
      <c r="C28" s="349">
        <v>0</v>
      </c>
      <c r="D28" s="349">
        <v>0</v>
      </c>
      <c r="E28" s="349">
        <v>0</v>
      </c>
    </row>
    <row r="29" spans="1:5" x14ac:dyDescent="0.2">
      <c r="A29" s="350">
        <v>32</v>
      </c>
      <c r="B29" s="351" t="s">
        <v>607</v>
      </c>
      <c r="C29" s="352">
        <f>SUM(C26:C28)</f>
        <v>1663</v>
      </c>
      <c r="D29" s="352">
        <f>SUM(D26:D28)</f>
        <v>0</v>
      </c>
      <c r="E29" s="352">
        <f>SUM(E26:E28)</f>
        <v>39</v>
      </c>
    </row>
    <row r="30" spans="1:5" x14ac:dyDescent="0.2">
      <c r="A30" s="347">
        <v>35</v>
      </c>
      <c r="B30" s="348" t="s">
        <v>608</v>
      </c>
      <c r="C30" s="349">
        <v>210</v>
      </c>
      <c r="D30" s="349">
        <v>0</v>
      </c>
      <c r="E30" s="349">
        <v>18</v>
      </c>
    </row>
    <row r="31" spans="1:5" hidden="1" x14ac:dyDescent="0.2">
      <c r="A31" s="347">
        <v>39</v>
      </c>
      <c r="B31" s="348" t="s">
        <v>609</v>
      </c>
      <c r="C31" s="349">
        <v>0</v>
      </c>
      <c r="D31" s="349">
        <v>0</v>
      </c>
      <c r="E31" s="349">
        <v>0</v>
      </c>
    </row>
    <row r="32" spans="1:5" x14ac:dyDescent="0.2">
      <c r="A32" s="350">
        <v>42</v>
      </c>
      <c r="B32" s="351" t="s">
        <v>610</v>
      </c>
      <c r="C32" s="352">
        <f>SUM(C30:C31)</f>
        <v>210</v>
      </c>
      <c r="D32" s="352">
        <f>SUM(D30:D31)</f>
        <v>0</v>
      </c>
      <c r="E32" s="352">
        <f>SUM(E30:E31)</f>
        <v>18</v>
      </c>
    </row>
    <row r="33" spans="1:7" x14ac:dyDescent="0.2">
      <c r="A33" s="350">
        <v>43</v>
      </c>
      <c r="B33" s="351" t="s">
        <v>611</v>
      </c>
      <c r="C33" s="352">
        <f>C29-C32</f>
        <v>1453</v>
      </c>
      <c r="D33" s="352">
        <f>D29-D32</f>
        <v>0</v>
      </c>
      <c r="E33" s="352">
        <f>E29-E32</f>
        <v>21</v>
      </c>
    </row>
    <row r="34" spans="1:7" x14ac:dyDescent="0.2">
      <c r="A34" s="350">
        <v>44</v>
      </c>
      <c r="B34" s="351" t="s">
        <v>612</v>
      </c>
      <c r="C34" s="352">
        <f>C25+C33</f>
        <v>55541</v>
      </c>
      <c r="D34" s="352">
        <f>D25+D33</f>
        <v>0</v>
      </c>
      <c r="E34" s="352">
        <f>E25+E33</f>
        <v>113006</v>
      </c>
      <c r="G34" s="75"/>
    </row>
    <row r="35" spans="1:7" x14ac:dyDescent="0.2">
      <c r="A35" s="2"/>
      <c r="B35" s="2"/>
      <c r="C35" s="2"/>
      <c r="D35" s="2"/>
      <c r="E35" s="2"/>
    </row>
    <row r="36" spans="1:7" x14ac:dyDescent="0.2">
      <c r="A36" s="2"/>
      <c r="B36" s="2"/>
      <c r="C36" s="2"/>
      <c r="D36" s="2"/>
      <c r="E36" s="2"/>
    </row>
  </sheetData>
  <mergeCells count="2">
    <mergeCell ref="A2:F2"/>
    <mergeCell ref="A3:F3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35"/>
  <sheetViews>
    <sheetView zoomScaleNormal="100" workbookViewId="0">
      <selection activeCell="H102" sqref="H102"/>
    </sheetView>
  </sheetViews>
  <sheetFormatPr defaultRowHeight="12.75" x14ac:dyDescent="0.2"/>
  <cols>
    <col min="1" max="2" width="4.7109375" style="353" customWidth="1"/>
    <col min="3" max="3" width="62.28515625" style="353" customWidth="1"/>
    <col min="4" max="4" width="16.5703125" style="353" customWidth="1"/>
    <col min="5" max="5" width="16.140625" style="353" customWidth="1"/>
    <col min="6" max="6" width="12.28515625" style="355" customWidth="1"/>
    <col min="7" max="12" width="9.140625" style="355"/>
    <col min="13" max="16384" width="9.140625" style="353"/>
  </cols>
  <sheetData>
    <row r="1" spans="1:8" x14ac:dyDescent="0.2">
      <c r="E1" s="354" t="s">
        <v>509</v>
      </c>
    </row>
    <row r="2" spans="1:8" ht="23.25" customHeight="1" x14ac:dyDescent="0.35">
      <c r="A2" s="837" t="s">
        <v>27</v>
      </c>
      <c r="B2" s="837"/>
      <c r="C2" s="837"/>
      <c r="D2" s="837"/>
      <c r="E2" s="837"/>
      <c r="F2" s="356"/>
      <c r="G2" s="356"/>
      <c r="H2" s="356"/>
    </row>
    <row r="3" spans="1:8" ht="21" customHeight="1" x14ac:dyDescent="0.35">
      <c r="A3" s="837" t="s">
        <v>700</v>
      </c>
      <c r="B3" s="837"/>
      <c r="C3" s="837"/>
      <c r="D3" s="837"/>
      <c r="E3" s="837"/>
      <c r="F3" s="356"/>
      <c r="G3" s="356"/>
      <c r="H3" s="356"/>
    </row>
    <row r="4" spans="1:8" ht="13.5" customHeight="1" thickBot="1" x14ac:dyDescent="0.25">
      <c r="E4" s="357" t="s">
        <v>417</v>
      </c>
    </row>
    <row r="5" spans="1:8" ht="19.5" customHeight="1" x14ac:dyDescent="0.2">
      <c r="A5" s="831" t="s">
        <v>614</v>
      </c>
      <c r="B5" s="832"/>
      <c r="C5" s="832"/>
      <c r="D5" s="838" t="s">
        <v>701</v>
      </c>
      <c r="E5" s="839"/>
    </row>
    <row r="6" spans="1:8" ht="15" customHeight="1" thickBot="1" x14ac:dyDescent="0.25">
      <c r="A6" s="358"/>
      <c r="B6" s="359"/>
      <c r="C6" s="359"/>
      <c r="D6" s="360" t="s">
        <v>615</v>
      </c>
      <c r="E6" s="361" t="s">
        <v>616</v>
      </c>
    </row>
    <row r="7" spans="1:8" ht="22.5" customHeight="1" x14ac:dyDescent="0.2">
      <c r="A7" s="362" t="s">
        <v>617</v>
      </c>
      <c r="B7" s="833" t="s">
        <v>618</v>
      </c>
      <c r="C7" s="833"/>
      <c r="D7" s="363">
        <f>SUM(D8+D17+D63)</f>
        <v>5021673</v>
      </c>
      <c r="E7" s="363">
        <f>SUM(E8+E17+E63)</f>
        <v>5709039</v>
      </c>
    </row>
    <row r="8" spans="1:8" ht="12.75" customHeight="1" x14ac:dyDescent="0.2">
      <c r="A8" s="364"/>
      <c r="B8" s="364" t="s">
        <v>619</v>
      </c>
      <c r="C8" s="365" t="s">
        <v>620</v>
      </c>
      <c r="D8" s="366">
        <f>D10+D16</f>
        <v>812</v>
      </c>
      <c r="E8" s="366">
        <f>E10+E16</f>
        <v>843</v>
      </c>
    </row>
    <row r="9" spans="1:8" x14ac:dyDescent="0.2">
      <c r="A9" s="364"/>
      <c r="B9" s="364"/>
      <c r="C9" s="364" t="s">
        <v>621</v>
      </c>
      <c r="D9" s="367"/>
      <c r="E9" s="366"/>
    </row>
    <row r="10" spans="1:8" ht="12.75" customHeight="1" x14ac:dyDescent="0.2">
      <c r="A10" s="364"/>
      <c r="B10" s="364"/>
      <c r="C10" s="368" t="s">
        <v>622</v>
      </c>
      <c r="D10" s="367">
        <f>D12+D15</f>
        <v>779</v>
      </c>
      <c r="E10" s="367">
        <f>E12+E15</f>
        <v>787</v>
      </c>
    </row>
    <row r="11" spans="1:8" ht="12.75" customHeight="1" x14ac:dyDescent="0.2">
      <c r="A11" s="364"/>
      <c r="B11" s="364"/>
      <c r="C11" s="364" t="s">
        <v>623</v>
      </c>
      <c r="D11" s="367"/>
      <c r="E11" s="366"/>
    </row>
    <row r="12" spans="1:8" ht="12.75" customHeight="1" x14ac:dyDescent="0.2">
      <c r="A12" s="364"/>
      <c r="B12" s="364"/>
      <c r="C12" s="368" t="s">
        <v>624</v>
      </c>
      <c r="D12" s="367"/>
      <c r="E12" s="366"/>
    </row>
    <row r="13" spans="1:8" ht="12.75" customHeight="1" x14ac:dyDescent="0.2">
      <c r="A13" s="364"/>
      <c r="B13" s="364"/>
      <c r="C13" s="368" t="s">
        <v>625</v>
      </c>
      <c r="D13" s="367"/>
      <c r="E13" s="366"/>
    </row>
    <row r="14" spans="1:8" x14ac:dyDescent="0.2">
      <c r="A14" s="364"/>
      <c r="B14" s="364"/>
      <c r="C14" s="369" t="s">
        <v>626</v>
      </c>
      <c r="D14" s="367"/>
      <c r="E14" s="366"/>
    </row>
    <row r="15" spans="1:8" ht="12.75" customHeight="1" x14ac:dyDescent="0.2">
      <c r="A15" s="364"/>
      <c r="B15" s="364"/>
      <c r="C15" s="368" t="s">
        <v>627</v>
      </c>
      <c r="D15" s="367">
        <v>779</v>
      </c>
      <c r="E15" s="367">
        <v>787</v>
      </c>
    </row>
    <row r="16" spans="1:8" ht="12.75" customHeight="1" x14ac:dyDescent="0.2">
      <c r="A16" s="364"/>
      <c r="B16" s="364"/>
      <c r="C16" s="368" t="s">
        <v>628</v>
      </c>
      <c r="D16" s="367">
        <v>33</v>
      </c>
      <c r="E16" s="367">
        <v>56</v>
      </c>
    </row>
    <row r="17" spans="1:6" ht="12.75" customHeight="1" x14ac:dyDescent="0.2">
      <c r="A17" s="364"/>
      <c r="B17" s="364" t="s">
        <v>629</v>
      </c>
      <c r="C17" s="365" t="s">
        <v>630</v>
      </c>
      <c r="D17" s="366">
        <f>SUM(D18+D27+D36+D45+D54)</f>
        <v>4824355</v>
      </c>
      <c r="E17" s="366">
        <f>SUM(E18+E27+E36+E45+E54)</f>
        <v>5511690</v>
      </c>
    </row>
    <row r="18" spans="1:6" ht="12.75" customHeight="1" x14ac:dyDescent="0.2">
      <c r="A18" s="370"/>
      <c r="B18" s="370"/>
      <c r="C18" s="365" t="s">
        <v>631</v>
      </c>
      <c r="D18" s="366">
        <f>SUM(D20+D26)</f>
        <v>4742551</v>
      </c>
      <c r="E18" s="366">
        <f>SUM(E20+E26)</f>
        <v>5392868</v>
      </c>
      <c r="F18" s="371"/>
    </row>
    <row r="19" spans="1:6" x14ac:dyDescent="0.2">
      <c r="A19" s="370"/>
      <c r="B19" s="370"/>
      <c r="C19" s="364" t="s">
        <v>632</v>
      </c>
      <c r="D19" s="367"/>
      <c r="E19" s="366"/>
    </row>
    <row r="20" spans="1:6" ht="12.75" customHeight="1" x14ac:dyDescent="0.2">
      <c r="A20" s="370"/>
      <c r="B20" s="370"/>
      <c r="C20" s="368" t="s">
        <v>622</v>
      </c>
      <c r="D20" s="367">
        <f>SUM(D22+D25)</f>
        <v>4290983</v>
      </c>
      <c r="E20" s="367">
        <f>SUM(E22+E25)</f>
        <v>4915121</v>
      </c>
    </row>
    <row r="21" spans="1:6" ht="12.75" customHeight="1" x14ac:dyDescent="0.2">
      <c r="A21" s="370"/>
      <c r="B21" s="370"/>
      <c r="C21" s="364" t="s">
        <v>633</v>
      </c>
      <c r="D21" s="367"/>
      <c r="E21" s="366"/>
    </row>
    <row r="22" spans="1:6" ht="12.75" customHeight="1" x14ac:dyDescent="0.2">
      <c r="A22" s="370"/>
      <c r="B22" s="370"/>
      <c r="C22" s="368" t="s">
        <v>624</v>
      </c>
      <c r="D22" s="367">
        <f>1360503+642572+1183530</f>
        <v>3186605</v>
      </c>
      <c r="E22" s="367">
        <f>(1360503+772377+1619070)</f>
        <v>3751950</v>
      </c>
    </row>
    <row r="23" spans="1:6" ht="12.75" customHeight="1" x14ac:dyDescent="0.2">
      <c r="A23" s="370"/>
      <c r="B23" s="370"/>
      <c r="C23" s="368" t="s">
        <v>634</v>
      </c>
      <c r="D23" s="372">
        <f>D22</f>
        <v>3186605</v>
      </c>
      <c r="E23" s="372">
        <f>E22</f>
        <v>3751950</v>
      </c>
    </row>
    <row r="24" spans="1:6" x14ac:dyDescent="0.2">
      <c r="A24" s="370"/>
      <c r="B24" s="370"/>
      <c r="C24" s="368" t="s">
        <v>635</v>
      </c>
      <c r="D24" s="372"/>
      <c r="E24" s="373"/>
    </row>
    <row r="25" spans="1:6" ht="12.75" customHeight="1" x14ac:dyDescent="0.2">
      <c r="A25" s="370"/>
      <c r="B25" s="370"/>
      <c r="C25" s="368" t="s">
        <v>627</v>
      </c>
      <c r="D25" s="367">
        <f>(849598+84095+59505+111180)</f>
        <v>1104378</v>
      </c>
      <c r="E25" s="367">
        <f>(849598+114818+61809+136946)</f>
        <v>1163171</v>
      </c>
    </row>
    <row r="26" spans="1:6" ht="12.75" customHeight="1" x14ac:dyDescent="0.2">
      <c r="A26" s="370"/>
      <c r="B26" s="370"/>
      <c r="C26" s="368" t="s">
        <v>636</v>
      </c>
      <c r="D26" s="367">
        <f>333489+1050+89045+2324+668+24992</f>
        <v>451568</v>
      </c>
      <c r="E26" s="367">
        <f>333489+1050+111117+2324+668+29099</f>
        <v>477747</v>
      </c>
    </row>
    <row r="27" spans="1:6" ht="12.75" customHeight="1" x14ac:dyDescent="0.2">
      <c r="A27" s="364"/>
      <c r="B27" s="364"/>
      <c r="C27" s="365" t="s">
        <v>637</v>
      </c>
      <c r="D27" s="366">
        <f>SUM(D29+D35)</f>
        <v>81804</v>
      </c>
      <c r="E27" s="366">
        <f>SUM(E29+E35)</f>
        <v>118822</v>
      </c>
    </row>
    <row r="28" spans="1:6" ht="12.75" customHeight="1" x14ac:dyDescent="0.2">
      <c r="A28" s="364"/>
      <c r="B28" s="364"/>
      <c r="C28" s="364" t="s">
        <v>638</v>
      </c>
      <c r="D28" s="367"/>
      <c r="E28" s="366"/>
    </row>
    <row r="29" spans="1:6" ht="12.75" customHeight="1" x14ac:dyDescent="0.2">
      <c r="A29" s="364"/>
      <c r="B29" s="364"/>
      <c r="C29" s="368" t="s">
        <v>622</v>
      </c>
      <c r="D29" s="367"/>
      <c r="E29" s="366"/>
    </row>
    <row r="30" spans="1:6" ht="12.75" customHeight="1" x14ac:dyDescent="0.2">
      <c r="A30" s="364"/>
      <c r="B30" s="364"/>
      <c r="C30" s="364" t="s">
        <v>633</v>
      </c>
      <c r="D30" s="367"/>
      <c r="E30" s="366"/>
    </row>
    <row r="31" spans="1:6" ht="12.75" customHeight="1" x14ac:dyDescent="0.2">
      <c r="A31" s="364"/>
      <c r="B31" s="364"/>
      <c r="C31" s="368" t="s">
        <v>624</v>
      </c>
      <c r="D31" s="367"/>
      <c r="E31" s="366"/>
    </row>
    <row r="32" spans="1:6" ht="12.75" customHeight="1" x14ac:dyDescent="0.2">
      <c r="A32" s="364"/>
      <c r="B32" s="364"/>
      <c r="C32" s="368" t="s">
        <v>634</v>
      </c>
      <c r="D32" s="367"/>
      <c r="E32" s="366"/>
    </row>
    <row r="33" spans="1:5" x14ac:dyDescent="0.2">
      <c r="A33" s="364"/>
      <c r="B33" s="364"/>
      <c r="C33" s="368" t="s">
        <v>635</v>
      </c>
      <c r="D33" s="367"/>
      <c r="E33" s="366"/>
    </row>
    <row r="34" spans="1:5" ht="12.75" customHeight="1" x14ac:dyDescent="0.2">
      <c r="A34" s="364"/>
      <c r="B34" s="364"/>
      <c r="C34" s="368" t="s">
        <v>627</v>
      </c>
      <c r="D34" s="367"/>
      <c r="E34" s="366"/>
    </row>
    <row r="35" spans="1:5" ht="12.75" customHeight="1" x14ac:dyDescent="0.2">
      <c r="A35" s="364"/>
      <c r="B35" s="364"/>
      <c r="C35" s="368" t="s">
        <v>636</v>
      </c>
      <c r="D35" s="367">
        <f>1692+51269+8851+728+144+12296+4153+2671</f>
        <v>81804</v>
      </c>
      <c r="E35" s="367">
        <f>3353+75015+8851+728+144+23907+4153+2671</f>
        <v>118822</v>
      </c>
    </row>
    <row r="36" spans="1:5" ht="12.75" customHeight="1" x14ac:dyDescent="0.2">
      <c r="A36" s="364"/>
      <c r="B36" s="364"/>
      <c r="C36" s="365" t="s">
        <v>639</v>
      </c>
      <c r="D36" s="366">
        <v>0</v>
      </c>
      <c r="E36" s="366">
        <v>0</v>
      </c>
    </row>
    <row r="37" spans="1:5" ht="12.75" customHeight="1" x14ac:dyDescent="0.2">
      <c r="A37" s="364"/>
      <c r="B37" s="364"/>
      <c r="C37" s="364" t="s">
        <v>638</v>
      </c>
      <c r="D37" s="367"/>
      <c r="E37" s="366"/>
    </row>
    <row r="38" spans="1:5" ht="12.75" customHeight="1" x14ac:dyDescent="0.2">
      <c r="A38" s="364"/>
      <c r="B38" s="364"/>
      <c r="C38" s="368" t="s">
        <v>622</v>
      </c>
      <c r="D38" s="367"/>
      <c r="E38" s="366"/>
    </row>
    <row r="39" spans="1:5" ht="12.75" customHeight="1" x14ac:dyDescent="0.2">
      <c r="A39" s="364"/>
      <c r="B39" s="364"/>
      <c r="C39" s="364" t="s">
        <v>633</v>
      </c>
      <c r="D39" s="367"/>
      <c r="E39" s="366"/>
    </row>
    <row r="40" spans="1:5" ht="12.75" customHeight="1" x14ac:dyDescent="0.2">
      <c r="A40" s="364"/>
      <c r="B40" s="364"/>
      <c r="C40" s="368" t="s">
        <v>624</v>
      </c>
      <c r="D40" s="367"/>
      <c r="E40" s="366"/>
    </row>
    <row r="41" spans="1:5" ht="12.75" customHeight="1" x14ac:dyDescent="0.2">
      <c r="A41" s="364"/>
      <c r="B41" s="364"/>
      <c r="C41" s="368" t="s">
        <v>634</v>
      </c>
      <c r="D41" s="367"/>
      <c r="E41" s="366"/>
    </row>
    <row r="42" spans="1:5" x14ac:dyDescent="0.2">
      <c r="A42" s="364"/>
      <c r="B42" s="364"/>
      <c r="C42" s="368" t="s">
        <v>635</v>
      </c>
      <c r="D42" s="367"/>
      <c r="E42" s="366"/>
    </row>
    <row r="43" spans="1:5" ht="12.75" customHeight="1" x14ac:dyDescent="0.2">
      <c r="A43" s="364"/>
      <c r="B43" s="364"/>
      <c r="C43" s="368" t="s">
        <v>627</v>
      </c>
      <c r="D43" s="367"/>
      <c r="E43" s="366"/>
    </row>
    <row r="44" spans="1:5" ht="12.75" customHeight="1" x14ac:dyDescent="0.2">
      <c r="A44" s="374"/>
      <c r="B44" s="374"/>
      <c r="C44" s="368" t="s">
        <v>636</v>
      </c>
      <c r="D44" s="367"/>
      <c r="E44" s="375"/>
    </row>
    <row r="45" spans="1:5" ht="12.75" customHeight="1" x14ac:dyDescent="0.2">
      <c r="A45" s="364"/>
      <c r="B45" s="374"/>
      <c r="C45" s="365" t="s">
        <v>640</v>
      </c>
      <c r="D45" s="366">
        <f>SUM(D47+D53)</f>
        <v>0</v>
      </c>
      <c r="E45" s="366">
        <f>SUM(E47+E53)</f>
        <v>0</v>
      </c>
    </row>
    <row r="46" spans="1:5" ht="12.75" customHeight="1" x14ac:dyDescent="0.2">
      <c r="A46" s="364"/>
      <c r="B46" s="374"/>
      <c r="C46" s="364" t="s">
        <v>638</v>
      </c>
      <c r="D46" s="367"/>
      <c r="E46" s="375"/>
    </row>
    <row r="47" spans="1:5" ht="12.75" customHeight="1" x14ac:dyDescent="0.2">
      <c r="A47" s="364"/>
      <c r="B47" s="374"/>
      <c r="C47" s="368" t="s">
        <v>622</v>
      </c>
      <c r="D47" s="367"/>
      <c r="E47" s="376"/>
    </row>
    <row r="48" spans="1:5" ht="12.75" customHeight="1" x14ac:dyDescent="0.2">
      <c r="A48" s="364"/>
      <c r="B48" s="374"/>
      <c r="C48" s="364" t="s">
        <v>633</v>
      </c>
      <c r="D48" s="367"/>
      <c r="E48" s="375"/>
    </row>
    <row r="49" spans="1:5" ht="12.75" customHeight="1" x14ac:dyDescent="0.2">
      <c r="A49" s="364"/>
      <c r="B49" s="374"/>
      <c r="C49" s="368" t="s">
        <v>624</v>
      </c>
      <c r="D49" s="367"/>
      <c r="E49" s="375"/>
    </row>
    <row r="50" spans="1:5" ht="12.75" customHeight="1" x14ac:dyDescent="0.2">
      <c r="A50" s="364"/>
      <c r="B50" s="374"/>
      <c r="C50" s="368" t="s">
        <v>634</v>
      </c>
      <c r="D50" s="367"/>
      <c r="E50" s="375"/>
    </row>
    <row r="51" spans="1:5" x14ac:dyDescent="0.2">
      <c r="A51" s="364"/>
      <c r="B51" s="374"/>
      <c r="C51" s="368" t="s">
        <v>635</v>
      </c>
      <c r="D51" s="367"/>
      <c r="E51" s="375"/>
    </row>
    <row r="52" spans="1:5" ht="12.75" customHeight="1" x14ac:dyDescent="0.2">
      <c r="A52" s="364"/>
      <c r="B52" s="374"/>
      <c r="C52" s="368" t="s">
        <v>627</v>
      </c>
      <c r="D52" s="367"/>
      <c r="E52" s="376"/>
    </row>
    <row r="53" spans="1:5" ht="12.75" customHeight="1" x14ac:dyDescent="0.2">
      <c r="A53" s="364"/>
      <c r="B53" s="374"/>
      <c r="C53" s="368" t="s">
        <v>641</v>
      </c>
      <c r="D53" s="367">
        <v>0</v>
      </c>
      <c r="E53" s="377">
        <v>0</v>
      </c>
    </row>
    <row r="54" spans="1:5" ht="12.75" customHeight="1" x14ac:dyDescent="0.2">
      <c r="A54" s="364"/>
      <c r="B54" s="364"/>
      <c r="C54" s="365" t="s">
        <v>642</v>
      </c>
      <c r="D54" s="366"/>
      <c r="E54" s="375"/>
    </row>
    <row r="55" spans="1:5" x14ac:dyDescent="0.2">
      <c r="A55" s="364"/>
      <c r="B55" s="364"/>
      <c r="C55" s="364" t="s">
        <v>638</v>
      </c>
      <c r="D55" s="367"/>
      <c r="E55" s="375"/>
    </row>
    <row r="56" spans="1:5" ht="12.75" customHeight="1" x14ac:dyDescent="0.2">
      <c r="A56" s="364"/>
      <c r="B56" s="364"/>
      <c r="C56" s="368" t="s">
        <v>622</v>
      </c>
      <c r="D56" s="367"/>
      <c r="E56" s="375"/>
    </row>
    <row r="57" spans="1:5" ht="12.75" customHeight="1" x14ac:dyDescent="0.2">
      <c r="A57" s="364"/>
      <c r="B57" s="364"/>
      <c r="C57" s="364" t="s">
        <v>633</v>
      </c>
      <c r="D57" s="367"/>
      <c r="E57" s="375"/>
    </row>
    <row r="58" spans="1:5" ht="12.75" customHeight="1" x14ac:dyDescent="0.2">
      <c r="A58" s="364"/>
      <c r="B58" s="364"/>
      <c r="C58" s="368" t="s">
        <v>624</v>
      </c>
      <c r="D58" s="367"/>
      <c r="E58" s="375"/>
    </row>
    <row r="59" spans="1:5" ht="12.75" customHeight="1" x14ac:dyDescent="0.2">
      <c r="A59" s="364"/>
      <c r="B59" s="364"/>
      <c r="C59" s="368" t="s">
        <v>634</v>
      </c>
      <c r="D59" s="367"/>
      <c r="E59" s="375"/>
    </row>
    <row r="60" spans="1:5" x14ac:dyDescent="0.2">
      <c r="A60" s="364"/>
      <c r="B60" s="364"/>
      <c r="C60" s="368" t="s">
        <v>635</v>
      </c>
      <c r="D60" s="367"/>
      <c r="E60" s="375"/>
    </row>
    <row r="61" spans="1:5" ht="12.75" customHeight="1" x14ac:dyDescent="0.2">
      <c r="A61" s="364"/>
      <c r="B61" s="364"/>
      <c r="C61" s="368" t="s">
        <v>627</v>
      </c>
      <c r="D61" s="367"/>
      <c r="E61" s="375"/>
    </row>
    <row r="62" spans="1:5" ht="12.75" customHeight="1" x14ac:dyDescent="0.2">
      <c r="A62" s="364"/>
      <c r="B62" s="364"/>
      <c r="C62" s="368" t="s">
        <v>641</v>
      </c>
      <c r="D62" s="367"/>
      <c r="E62" s="375"/>
    </row>
    <row r="63" spans="1:5" ht="12.75" customHeight="1" x14ac:dyDescent="0.2">
      <c r="A63" s="364"/>
      <c r="B63" s="365" t="s">
        <v>643</v>
      </c>
      <c r="C63" s="378" t="s">
        <v>644</v>
      </c>
      <c r="D63" s="366">
        <f>SUM(D66+D72)</f>
        <v>196506</v>
      </c>
      <c r="E63" s="366">
        <f>SUM(E66+E72)</f>
        <v>196506</v>
      </c>
    </row>
    <row r="64" spans="1:5" ht="12.75" customHeight="1" x14ac:dyDescent="0.2">
      <c r="A64" s="364"/>
      <c r="B64" s="364"/>
      <c r="C64" s="364" t="s">
        <v>645</v>
      </c>
      <c r="D64" s="367"/>
      <c r="E64" s="375"/>
    </row>
    <row r="65" spans="1:5" ht="12.75" customHeight="1" x14ac:dyDescent="0.2">
      <c r="A65" s="364"/>
      <c r="B65" s="364"/>
      <c r="C65" s="364" t="s">
        <v>638</v>
      </c>
      <c r="D65" s="367"/>
      <c r="E65" s="375"/>
    </row>
    <row r="66" spans="1:5" ht="12.75" customHeight="1" x14ac:dyDescent="0.2">
      <c r="A66" s="374"/>
      <c r="B66" s="374"/>
      <c r="C66" s="368" t="s">
        <v>622</v>
      </c>
      <c r="D66" s="367"/>
      <c r="E66" s="375"/>
    </row>
    <row r="67" spans="1:5" ht="12.75" customHeight="1" x14ac:dyDescent="0.2">
      <c r="A67" s="374"/>
      <c r="B67" s="374"/>
      <c r="C67" s="364" t="s">
        <v>633</v>
      </c>
      <c r="D67" s="367"/>
      <c r="E67" s="375"/>
    </row>
    <row r="68" spans="1:5" ht="12.75" customHeight="1" x14ac:dyDescent="0.2">
      <c r="A68" s="374"/>
      <c r="B68" s="374"/>
      <c r="C68" s="368" t="s">
        <v>624</v>
      </c>
      <c r="D68" s="367"/>
      <c r="E68" s="375"/>
    </row>
    <row r="69" spans="1:5" ht="12.75" customHeight="1" x14ac:dyDescent="0.2">
      <c r="A69" s="374"/>
      <c r="B69" s="374"/>
      <c r="C69" s="368" t="s">
        <v>634</v>
      </c>
      <c r="D69" s="367"/>
      <c r="E69" s="375"/>
    </row>
    <row r="70" spans="1:5" ht="17.25" customHeight="1" x14ac:dyDescent="0.2">
      <c r="A70" s="374"/>
      <c r="B70" s="374"/>
      <c r="C70" s="368" t="s">
        <v>635</v>
      </c>
      <c r="D70" s="367"/>
      <c r="E70" s="375"/>
    </row>
    <row r="71" spans="1:5" ht="12.75" customHeight="1" x14ac:dyDescent="0.2">
      <c r="A71" s="374"/>
      <c r="B71" s="374"/>
      <c r="C71" s="368" t="s">
        <v>627</v>
      </c>
      <c r="D71" s="367"/>
      <c r="E71" s="375"/>
    </row>
    <row r="72" spans="1:5" ht="12.75" customHeight="1" x14ac:dyDescent="0.2">
      <c r="A72" s="374"/>
      <c r="B72" s="374"/>
      <c r="C72" s="368" t="s">
        <v>641</v>
      </c>
      <c r="D72" s="367">
        <v>196506</v>
      </c>
      <c r="E72" s="377">
        <v>196506</v>
      </c>
    </row>
    <row r="73" spans="1:5" ht="12.75" customHeight="1" x14ac:dyDescent="0.2">
      <c r="A73" s="374"/>
      <c r="B73" s="374"/>
      <c r="C73" s="364" t="s">
        <v>646</v>
      </c>
      <c r="D73" s="367"/>
      <c r="E73" s="375"/>
    </row>
    <row r="74" spans="1:5" ht="12.75" customHeight="1" x14ac:dyDescent="0.2">
      <c r="A74" s="374"/>
      <c r="B74" s="374"/>
      <c r="C74" s="364" t="s">
        <v>638</v>
      </c>
      <c r="D74" s="367"/>
      <c r="E74" s="375"/>
    </row>
    <row r="75" spans="1:5" ht="12.75" customHeight="1" x14ac:dyDescent="0.2">
      <c r="A75" s="374"/>
      <c r="B75" s="374"/>
      <c r="C75" s="368" t="s">
        <v>622</v>
      </c>
      <c r="D75" s="367"/>
      <c r="E75" s="375"/>
    </row>
    <row r="76" spans="1:5" ht="12.75" customHeight="1" x14ac:dyDescent="0.2">
      <c r="A76" s="374"/>
      <c r="B76" s="374"/>
      <c r="C76" s="364" t="s">
        <v>647</v>
      </c>
      <c r="D76" s="367"/>
      <c r="E76" s="375"/>
    </row>
    <row r="77" spans="1:5" ht="12.75" customHeight="1" x14ac:dyDescent="0.2">
      <c r="A77" s="374"/>
      <c r="B77" s="374"/>
      <c r="C77" s="368" t="s">
        <v>624</v>
      </c>
      <c r="D77" s="367"/>
      <c r="E77" s="375"/>
    </row>
    <row r="78" spans="1:5" ht="12.75" customHeight="1" x14ac:dyDescent="0.2">
      <c r="A78" s="374"/>
      <c r="B78" s="374"/>
      <c r="C78" s="368" t="s">
        <v>634</v>
      </c>
      <c r="D78" s="367"/>
      <c r="E78" s="375"/>
    </row>
    <row r="79" spans="1:5" x14ac:dyDescent="0.2">
      <c r="A79" s="374"/>
      <c r="B79" s="374"/>
      <c r="C79" s="368" t="s">
        <v>635</v>
      </c>
      <c r="D79" s="367"/>
      <c r="E79" s="375"/>
    </row>
    <row r="80" spans="1:5" ht="12.75" customHeight="1" x14ac:dyDescent="0.2">
      <c r="A80" s="374"/>
      <c r="B80" s="374"/>
      <c r="C80" s="368" t="s">
        <v>627</v>
      </c>
      <c r="D80" s="367"/>
      <c r="E80" s="375"/>
    </row>
    <row r="81" spans="1:13" ht="12.75" customHeight="1" x14ac:dyDescent="0.2">
      <c r="A81" s="374"/>
      <c r="B81" s="374"/>
      <c r="C81" s="368" t="s">
        <v>636</v>
      </c>
      <c r="D81" s="367"/>
      <c r="E81" s="375"/>
    </row>
    <row r="82" spans="1:13" ht="12.75" customHeight="1" x14ac:dyDescent="0.2">
      <c r="A82" s="374"/>
      <c r="B82" s="374"/>
      <c r="C82" s="364" t="s">
        <v>648</v>
      </c>
      <c r="D82" s="367"/>
      <c r="E82" s="375"/>
    </row>
    <row r="83" spans="1:13" ht="12.75" customHeight="1" x14ac:dyDescent="0.2">
      <c r="A83" s="374"/>
      <c r="B83" s="374"/>
      <c r="C83" s="364" t="s">
        <v>638</v>
      </c>
      <c r="D83" s="367"/>
      <c r="E83" s="375"/>
    </row>
    <row r="84" spans="1:13" ht="12.75" customHeight="1" x14ac:dyDescent="0.2">
      <c r="A84" s="374"/>
      <c r="B84" s="374"/>
      <c r="C84" s="368" t="s">
        <v>622</v>
      </c>
      <c r="D84" s="367"/>
      <c r="E84" s="375"/>
    </row>
    <row r="85" spans="1:13" ht="12.75" customHeight="1" x14ac:dyDescent="0.2">
      <c r="A85" s="374"/>
      <c r="B85" s="374"/>
      <c r="C85" s="364" t="s">
        <v>633</v>
      </c>
      <c r="D85" s="367"/>
      <c r="E85" s="375"/>
    </row>
    <row r="86" spans="1:13" ht="12.75" customHeight="1" x14ac:dyDescent="0.2">
      <c r="A86" s="374"/>
      <c r="B86" s="374"/>
      <c r="C86" s="368" t="s">
        <v>624</v>
      </c>
      <c r="D86" s="367"/>
      <c r="E86" s="375"/>
    </row>
    <row r="87" spans="1:13" ht="12.75" customHeight="1" x14ac:dyDescent="0.2">
      <c r="A87" s="374"/>
      <c r="B87" s="374"/>
      <c r="C87" s="368" t="s">
        <v>634</v>
      </c>
      <c r="D87" s="367"/>
      <c r="E87" s="375"/>
    </row>
    <row r="88" spans="1:13" x14ac:dyDescent="0.2">
      <c r="A88" s="374"/>
      <c r="B88" s="374"/>
      <c r="C88" s="368" t="s">
        <v>635</v>
      </c>
      <c r="D88" s="367"/>
      <c r="E88" s="375"/>
    </row>
    <row r="89" spans="1:13" ht="12.75" customHeight="1" x14ac:dyDescent="0.2">
      <c r="A89" s="374"/>
      <c r="B89" s="374"/>
      <c r="C89" s="368" t="s">
        <v>627</v>
      </c>
      <c r="D89" s="367"/>
      <c r="E89" s="375"/>
    </row>
    <row r="90" spans="1:13" ht="12.75" customHeight="1" x14ac:dyDescent="0.2">
      <c r="A90" s="374"/>
      <c r="B90" s="374"/>
      <c r="C90" s="368" t="s">
        <v>641</v>
      </c>
      <c r="D90" s="367"/>
      <c r="E90" s="375"/>
    </row>
    <row r="91" spans="1:13" ht="14.25" customHeight="1" x14ac:dyDescent="0.2">
      <c r="A91" s="370"/>
      <c r="B91" s="364" t="s">
        <v>649</v>
      </c>
      <c r="C91" s="379" t="s">
        <v>650</v>
      </c>
      <c r="D91" s="367"/>
      <c r="E91" s="366"/>
      <c r="F91" s="834"/>
      <c r="G91" s="834"/>
      <c r="H91" s="834"/>
      <c r="I91" s="834"/>
      <c r="J91" s="834"/>
      <c r="K91" s="834"/>
      <c r="L91" s="380"/>
      <c r="M91" s="380"/>
    </row>
    <row r="92" spans="1:13" ht="12.75" customHeight="1" x14ac:dyDescent="0.2">
      <c r="A92" s="381" t="s">
        <v>651</v>
      </c>
      <c r="B92" s="381"/>
      <c r="C92" s="381" t="s">
        <v>652</v>
      </c>
      <c r="D92" s="366">
        <f>SUM(D93:D94)</f>
        <v>160</v>
      </c>
      <c r="E92" s="366">
        <f>SUM(E93:E94)</f>
        <v>160</v>
      </c>
    </row>
    <row r="93" spans="1:13" ht="12.75" customHeight="1" x14ac:dyDescent="0.2">
      <c r="A93" s="374"/>
      <c r="B93" s="364" t="s">
        <v>619</v>
      </c>
      <c r="C93" s="364" t="s">
        <v>653</v>
      </c>
      <c r="D93" s="367">
        <v>0</v>
      </c>
      <c r="E93" s="377">
        <v>0</v>
      </c>
    </row>
    <row r="94" spans="1:13" ht="12.75" customHeight="1" x14ac:dyDescent="0.2">
      <c r="A94" s="374"/>
      <c r="B94" s="364" t="s">
        <v>629</v>
      </c>
      <c r="C94" s="364" t="s">
        <v>654</v>
      </c>
      <c r="D94" s="367">
        <v>160</v>
      </c>
      <c r="E94" s="375">
        <v>160</v>
      </c>
    </row>
    <row r="95" spans="1:13" ht="12.75" customHeight="1" x14ac:dyDescent="0.2">
      <c r="A95" s="382" t="s">
        <v>655</v>
      </c>
      <c r="B95" s="365"/>
      <c r="C95" s="381" t="s">
        <v>656</v>
      </c>
      <c r="D95" s="366">
        <f>'13.Mérleg'!F29</f>
        <v>1349970</v>
      </c>
      <c r="E95" s="375">
        <f>D95</f>
        <v>1349970</v>
      </c>
    </row>
    <row r="96" spans="1:13" ht="12.75" customHeight="1" x14ac:dyDescent="0.2">
      <c r="A96" s="382" t="s">
        <v>657</v>
      </c>
      <c r="B96" s="365"/>
      <c r="C96" s="381" t="s">
        <v>658</v>
      </c>
      <c r="D96" s="366">
        <f>'13.Mérleg'!F50</f>
        <v>96646</v>
      </c>
      <c r="E96" s="375">
        <f t="shared" ref="E96:E101" si="0">D96</f>
        <v>96646</v>
      </c>
    </row>
    <row r="97" spans="1:5" ht="12.75" hidden="1" customHeight="1" x14ac:dyDescent="0.2">
      <c r="A97" s="383"/>
      <c r="B97" s="364" t="s">
        <v>619</v>
      </c>
      <c r="C97" s="364" t="s">
        <v>659</v>
      </c>
      <c r="D97" s="367"/>
      <c r="E97" s="375">
        <f t="shared" si="0"/>
        <v>0</v>
      </c>
    </row>
    <row r="98" spans="1:5" ht="12.75" hidden="1" customHeight="1" x14ac:dyDescent="0.2">
      <c r="A98" s="383"/>
      <c r="B98" s="364" t="s">
        <v>629</v>
      </c>
      <c r="C98" s="364" t="s">
        <v>660</v>
      </c>
      <c r="D98" s="367"/>
      <c r="E98" s="375">
        <f t="shared" si="0"/>
        <v>0</v>
      </c>
    </row>
    <row r="99" spans="1:5" ht="12.75" hidden="1" customHeight="1" x14ac:dyDescent="0.2">
      <c r="A99" s="383"/>
      <c r="B99" s="364" t="s">
        <v>643</v>
      </c>
      <c r="C99" s="364" t="s">
        <v>661</v>
      </c>
      <c r="D99" s="367"/>
      <c r="E99" s="375">
        <f t="shared" si="0"/>
        <v>0</v>
      </c>
    </row>
    <row r="100" spans="1:5" ht="12.75" customHeight="1" x14ac:dyDescent="0.2">
      <c r="A100" s="382" t="s">
        <v>662</v>
      </c>
      <c r="B100" s="365"/>
      <c r="C100" s="381" t="s">
        <v>663</v>
      </c>
      <c r="D100" s="366">
        <f>'13.Mérleg'!F58</f>
        <v>1155</v>
      </c>
      <c r="E100" s="375">
        <f t="shared" si="0"/>
        <v>1155</v>
      </c>
    </row>
    <row r="101" spans="1:5" ht="12.75" customHeight="1" x14ac:dyDescent="0.2">
      <c r="A101" s="382" t="s">
        <v>664</v>
      </c>
      <c r="B101" s="365"/>
      <c r="C101" s="381" t="s">
        <v>665</v>
      </c>
      <c r="D101" s="366">
        <f>'13.Mérleg'!F61</f>
        <v>0</v>
      </c>
      <c r="E101" s="375">
        <f t="shared" si="0"/>
        <v>0</v>
      </c>
    </row>
    <row r="102" spans="1:5" ht="21.75" customHeight="1" x14ac:dyDescent="0.2">
      <c r="A102" s="843" t="s">
        <v>666</v>
      </c>
      <c r="B102" s="843"/>
      <c r="C102" s="843"/>
      <c r="D102" s="384">
        <f>SUM(D7+D92+D95+D96+D100+D101)</f>
        <v>6469604</v>
      </c>
      <c r="E102" s="384">
        <f>SUM(E7+E92+E95+E96+E100+E101)</f>
        <v>7156970</v>
      </c>
    </row>
    <row r="103" spans="1:5" ht="16.5" customHeight="1" x14ac:dyDescent="0.2">
      <c r="A103" s="385"/>
      <c r="E103" s="386"/>
    </row>
    <row r="104" spans="1:5" ht="26.25" customHeight="1" x14ac:dyDescent="0.2">
      <c r="A104" s="840" t="s">
        <v>667</v>
      </c>
      <c r="B104" s="840"/>
      <c r="C104" s="840"/>
      <c r="D104" s="840"/>
      <c r="E104" s="840"/>
    </row>
    <row r="105" spans="1:5" ht="13.5" thickBot="1" x14ac:dyDescent="0.25">
      <c r="B105" s="387"/>
      <c r="C105" s="387"/>
      <c r="D105" s="387"/>
      <c r="E105" s="388" t="s">
        <v>417</v>
      </c>
    </row>
    <row r="106" spans="1:5" ht="26.25" customHeight="1" thickBot="1" x14ac:dyDescent="0.25">
      <c r="A106" s="844" t="s">
        <v>71</v>
      </c>
      <c r="B106" s="845"/>
      <c r="C106" s="845"/>
      <c r="D106" s="846"/>
      <c r="E106" s="389" t="s">
        <v>701</v>
      </c>
    </row>
    <row r="107" spans="1:5" ht="13.5" customHeight="1" x14ac:dyDescent="0.2">
      <c r="A107" s="390" t="s">
        <v>668</v>
      </c>
      <c r="B107" s="847" t="s">
        <v>669</v>
      </c>
      <c r="C107" s="847"/>
      <c r="D107" s="391"/>
      <c r="E107" s="392">
        <v>294286</v>
      </c>
    </row>
    <row r="108" spans="1:5" ht="13.5" customHeight="1" x14ac:dyDescent="0.2">
      <c r="A108" s="393" t="s">
        <v>670</v>
      </c>
      <c r="B108" s="830" t="s">
        <v>671</v>
      </c>
      <c r="C108" s="830"/>
      <c r="D108" s="374"/>
      <c r="E108" s="367"/>
    </row>
    <row r="109" spans="1:5" ht="13.5" customHeight="1" x14ac:dyDescent="0.2">
      <c r="A109" s="393" t="s">
        <v>672</v>
      </c>
      <c r="B109" s="830" t="s">
        <v>673</v>
      </c>
      <c r="C109" s="830"/>
      <c r="D109" s="374"/>
      <c r="E109" s="367"/>
    </row>
    <row r="110" spans="1:5" ht="13.5" customHeight="1" x14ac:dyDescent="0.2">
      <c r="A110" s="393" t="s">
        <v>674</v>
      </c>
      <c r="B110" s="830" t="s">
        <v>675</v>
      </c>
      <c r="C110" s="830"/>
      <c r="D110" s="374"/>
      <c r="E110" s="366"/>
    </row>
    <row r="111" spans="1:5" ht="12.75" customHeight="1" x14ac:dyDescent="0.2">
      <c r="A111" s="393" t="s">
        <v>676</v>
      </c>
      <c r="B111" s="830" t="s">
        <v>677</v>
      </c>
      <c r="C111" s="830"/>
      <c r="D111" s="374"/>
      <c r="E111" s="366"/>
    </row>
    <row r="112" spans="1:5" ht="13.5" customHeight="1" x14ac:dyDescent="0.2">
      <c r="A112" s="842" t="s">
        <v>678</v>
      </c>
      <c r="B112" s="842"/>
      <c r="C112" s="842"/>
      <c r="D112" s="394"/>
      <c r="E112" s="366">
        <f>SUM(E107:E111)</f>
        <v>294286</v>
      </c>
    </row>
    <row r="113" spans="1:5" ht="15.75" x14ac:dyDescent="0.2">
      <c r="A113" s="395"/>
    </row>
    <row r="114" spans="1:5" ht="15.75" x14ac:dyDescent="0.2">
      <c r="A114" s="841" t="s">
        <v>679</v>
      </c>
      <c r="B114" s="841"/>
      <c r="C114" s="841"/>
      <c r="D114" s="841"/>
      <c r="E114" s="841"/>
    </row>
    <row r="115" spans="1:5" ht="15.75" x14ac:dyDescent="0.2">
      <c r="A115" s="841" t="s">
        <v>680</v>
      </c>
      <c r="B115" s="841"/>
      <c r="C115" s="841"/>
      <c r="D115" s="841"/>
      <c r="E115" s="841"/>
    </row>
    <row r="116" spans="1:5" ht="15.75" x14ac:dyDescent="0.2">
      <c r="A116" s="841" t="s">
        <v>681</v>
      </c>
      <c r="B116" s="841"/>
      <c r="C116" s="841"/>
      <c r="D116" s="841"/>
      <c r="E116" s="841"/>
    </row>
    <row r="117" spans="1:5" ht="15.75" x14ac:dyDescent="0.2">
      <c r="A117" s="396"/>
      <c r="B117" s="396"/>
      <c r="C117" s="396"/>
      <c r="D117" s="397" t="s">
        <v>682</v>
      </c>
      <c r="E117" s="397" t="s">
        <v>683</v>
      </c>
    </row>
    <row r="118" spans="1:5" x14ac:dyDescent="0.2">
      <c r="A118" s="398" t="s">
        <v>668</v>
      </c>
      <c r="B118" s="835" t="s">
        <v>684</v>
      </c>
      <c r="C118" s="835"/>
      <c r="D118" s="399"/>
      <c r="E118" s="400" t="s">
        <v>66</v>
      </c>
    </row>
    <row r="119" spans="1:5" x14ac:dyDescent="0.2">
      <c r="A119" s="398"/>
      <c r="B119" s="401"/>
      <c r="C119" s="402"/>
      <c r="D119" s="402"/>
      <c r="E119" s="400"/>
    </row>
    <row r="120" spans="1:5" x14ac:dyDescent="0.2">
      <c r="A120" s="398"/>
      <c r="B120" s="401"/>
      <c r="C120" s="402"/>
      <c r="D120" s="402"/>
      <c r="E120" s="400"/>
    </row>
    <row r="121" spans="1:5" x14ac:dyDescent="0.2">
      <c r="A121" s="403"/>
      <c r="B121" s="404"/>
      <c r="C121" s="405"/>
      <c r="D121" s="405"/>
      <c r="E121" s="406"/>
    </row>
    <row r="122" spans="1:5" x14ac:dyDescent="0.2">
      <c r="A122" s="398" t="s">
        <v>670</v>
      </c>
      <c r="B122" s="835" t="s">
        <v>685</v>
      </c>
      <c r="C122" s="835"/>
      <c r="D122" s="399"/>
      <c r="E122" s="400" t="s">
        <v>66</v>
      </c>
    </row>
    <row r="123" spans="1:5" x14ac:dyDescent="0.2">
      <c r="A123" s="398"/>
      <c r="B123" s="401"/>
      <c r="C123" s="402"/>
      <c r="D123" s="402"/>
      <c r="E123" s="400"/>
    </row>
    <row r="124" spans="1:5" x14ac:dyDescent="0.2">
      <c r="A124" s="398"/>
      <c r="B124" s="401"/>
      <c r="C124" s="402"/>
      <c r="D124" s="402"/>
      <c r="E124" s="400"/>
    </row>
    <row r="125" spans="1:5" x14ac:dyDescent="0.2">
      <c r="A125" s="403"/>
      <c r="B125" s="407"/>
      <c r="C125" s="407"/>
      <c r="D125" s="407"/>
      <c r="E125" s="406"/>
    </row>
    <row r="126" spans="1:5" x14ac:dyDescent="0.2">
      <c r="A126" s="398" t="s">
        <v>672</v>
      </c>
      <c r="B126" s="835" t="s">
        <v>686</v>
      </c>
      <c r="C126" s="835"/>
      <c r="D126" s="399"/>
      <c r="E126" s="400" t="s">
        <v>66</v>
      </c>
    </row>
    <row r="127" spans="1:5" x14ac:dyDescent="0.2">
      <c r="A127" s="398"/>
      <c r="B127" s="408"/>
      <c r="C127" s="408"/>
      <c r="D127" s="408"/>
      <c r="E127" s="400"/>
    </row>
    <row r="128" spans="1:5" x14ac:dyDescent="0.2">
      <c r="A128" s="398"/>
      <c r="B128" s="408"/>
      <c r="C128" s="408"/>
      <c r="D128" s="408"/>
      <c r="E128" s="400"/>
    </row>
    <row r="129" spans="1:5" ht="9.75" customHeight="1" x14ac:dyDescent="0.2">
      <c r="A129" s="404"/>
      <c r="B129" s="404"/>
      <c r="C129" s="407"/>
      <c r="D129" s="407"/>
      <c r="E129" s="406"/>
    </row>
    <row r="130" spans="1:5" ht="11.25" customHeight="1" x14ac:dyDescent="0.2">
      <c r="A130" s="404"/>
      <c r="B130" s="404"/>
      <c r="C130" s="407"/>
      <c r="D130" s="407"/>
      <c r="E130" s="406"/>
    </row>
    <row r="131" spans="1:5" ht="13.5" customHeight="1" x14ac:dyDescent="0.2">
      <c r="A131" s="398" t="s">
        <v>674</v>
      </c>
      <c r="B131" s="836" t="s">
        <v>687</v>
      </c>
      <c r="C131" s="836"/>
      <c r="D131" s="365"/>
      <c r="E131" s="400" t="s">
        <v>66</v>
      </c>
    </row>
    <row r="132" spans="1:5" x14ac:dyDescent="0.2">
      <c r="A132" s="398"/>
      <c r="B132" s="398"/>
      <c r="C132" s="409"/>
      <c r="D132" s="409"/>
      <c r="E132" s="400"/>
    </row>
    <row r="133" spans="1:5" x14ac:dyDescent="0.2">
      <c r="A133" s="398"/>
      <c r="B133" s="398"/>
      <c r="C133" s="401"/>
      <c r="D133" s="401"/>
      <c r="E133" s="400"/>
    </row>
    <row r="134" spans="1:5" ht="15.75" x14ac:dyDescent="0.2">
      <c r="A134" s="395"/>
    </row>
    <row r="135" spans="1:5" ht="15.75" x14ac:dyDescent="0.2">
      <c r="A135" s="395"/>
    </row>
  </sheetData>
  <mergeCells count="22">
    <mergeCell ref="B118:C118"/>
    <mergeCell ref="B122:C122"/>
    <mergeCell ref="B126:C126"/>
    <mergeCell ref="B131:C131"/>
    <mergeCell ref="A2:E2"/>
    <mergeCell ref="A3:E3"/>
    <mergeCell ref="D5:E5"/>
    <mergeCell ref="A104:E104"/>
    <mergeCell ref="A114:E114"/>
    <mergeCell ref="A115:E115"/>
    <mergeCell ref="A112:C112"/>
    <mergeCell ref="A116:E116"/>
    <mergeCell ref="A102:C102"/>
    <mergeCell ref="A106:D106"/>
    <mergeCell ref="B107:C107"/>
    <mergeCell ref="B108:C108"/>
    <mergeCell ref="B111:C111"/>
    <mergeCell ref="B109:C109"/>
    <mergeCell ref="A5:C5"/>
    <mergeCell ref="B7:C7"/>
    <mergeCell ref="F91:K91"/>
    <mergeCell ref="B110:C110"/>
  </mergeCells>
  <pageMargins left="0.7" right="0.7" top="0.75" bottom="0.75" header="0.3" footer="0.3"/>
  <pageSetup paperSize="9" scale="85" orientation="portrait" r:id="rId1"/>
  <colBreaks count="1" manualBreakCount="1">
    <brk id="5" max="13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5"/>
  <sheetViews>
    <sheetView zoomScaleNormal="100" workbookViewId="0">
      <selection activeCell="B10" sqref="B10"/>
    </sheetView>
  </sheetViews>
  <sheetFormatPr defaultRowHeight="12.75" x14ac:dyDescent="0.2"/>
  <cols>
    <col min="1" max="1" width="63.28515625" customWidth="1"/>
    <col min="2" max="2" width="17.28515625" customWidth="1"/>
    <col min="3" max="3" width="10.42578125" style="9" hidden="1" customWidth="1"/>
    <col min="4" max="4" width="9.42578125" style="9" hidden="1" customWidth="1"/>
  </cols>
  <sheetData>
    <row r="1" spans="1:4" x14ac:dyDescent="0.2">
      <c r="A1" s="3"/>
      <c r="B1" s="84" t="s">
        <v>583</v>
      </c>
    </row>
    <row r="2" spans="1:4" ht="50.25" customHeight="1" x14ac:dyDescent="0.25">
      <c r="A2" s="848" t="s">
        <v>702</v>
      </c>
      <c r="B2" s="849"/>
    </row>
    <row r="3" spans="1:4" x14ac:dyDescent="0.2">
      <c r="A3" s="3"/>
      <c r="B3" s="84"/>
    </row>
    <row r="4" spans="1:4" ht="13.5" thickBot="1" x14ac:dyDescent="0.25">
      <c r="A4" s="3"/>
      <c r="B4" s="84" t="s">
        <v>0</v>
      </c>
    </row>
    <row r="5" spans="1:4" ht="34.5" customHeight="1" thickBot="1" x14ac:dyDescent="0.25">
      <c r="A5" s="97" t="s">
        <v>71</v>
      </c>
      <c r="B5" s="218" t="s">
        <v>47</v>
      </c>
    </row>
    <row r="6" spans="1:4" ht="15.95" customHeight="1" x14ac:dyDescent="0.2">
      <c r="A6" s="99" t="s">
        <v>704</v>
      </c>
      <c r="B6" s="410">
        <f>'13.Mérleg'!D29</f>
        <v>158357</v>
      </c>
    </row>
    <row r="7" spans="1:4" ht="15.95" customHeight="1" x14ac:dyDescent="0.2">
      <c r="A7" s="103" t="s">
        <v>688</v>
      </c>
      <c r="B7" s="102" t="e">
        <f>SUM(D7-B6)</f>
        <v>#REF!</v>
      </c>
      <c r="D7" s="37" t="e">
        <f>'1.Bev-kiad.'!#REF!</f>
        <v>#REF!</v>
      </c>
    </row>
    <row r="8" spans="1:4" ht="15.95" customHeight="1" x14ac:dyDescent="0.2">
      <c r="A8" s="103" t="s">
        <v>689</v>
      </c>
      <c r="B8" s="102" t="e">
        <f>SUM(B6:B7)</f>
        <v>#REF!</v>
      </c>
      <c r="D8" s="37"/>
    </row>
    <row r="9" spans="1:4" ht="16.5" customHeight="1" x14ac:dyDescent="0.2">
      <c r="A9" s="103" t="s">
        <v>690</v>
      </c>
      <c r="B9" s="102" t="e">
        <f>'1.Bev-kiad.'!#REF!</f>
        <v>#REF!</v>
      </c>
      <c r="D9" s="37" t="e">
        <f>'1.Bev-kiad.'!#REF!</f>
        <v>#REF!</v>
      </c>
    </row>
    <row r="10" spans="1:4" ht="16.5" customHeight="1" x14ac:dyDescent="0.2">
      <c r="A10" s="103" t="s">
        <v>691</v>
      </c>
      <c r="B10" s="102" t="e">
        <f>SUM(B8-B9)</f>
        <v>#REF!</v>
      </c>
      <c r="C10" s="37"/>
      <c r="D10" s="37" t="e">
        <f>SUM(D7-D9)</f>
        <v>#REF!</v>
      </c>
    </row>
    <row r="11" spans="1:4" ht="16.5" customHeight="1" x14ac:dyDescent="0.2">
      <c r="A11" s="103" t="s">
        <v>692</v>
      </c>
      <c r="B11" s="102">
        <v>0</v>
      </c>
      <c r="D11" s="37"/>
    </row>
    <row r="12" spans="1:4" ht="15.95" customHeight="1" x14ac:dyDescent="0.2">
      <c r="A12" s="411" t="s">
        <v>703</v>
      </c>
      <c r="B12" s="412">
        <f>'13.Mérleg'!F29</f>
        <v>1349970</v>
      </c>
      <c r="C12" s="219">
        <v>158357</v>
      </c>
    </row>
    <row r="13" spans="1:4" ht="15.95" customHeight="1" thickBot="1" x14ac:dyDescent="0.25">
      <c r="A13" s="413" t="s">
        <v>693</v>
      </c>
      <c r="B13" s="414">
        <f>SUM(B12-B6)</f>
        <v>1191613</v>
      </c>
    </row>
    <row r="14" spans="1:4" ht="18" customHeight="1" x14ac:dyDescent="0.2">
      <c r="C14" s="37">
        <f>SUM(C12-B12)</f>
        <v>-1191613</v>
      </c>
      <c r="D14" s="37" t="e">
        <f>SUM(D10-C12)</f>
        <v>#REF!</v>
      </c>
    </row>
    <row r="15" spans="1:4" ht="18" customHeight="1" x14ac:dyDescent="0.2">
      <c r="C15"/>
      <c r="D15"/>
    </row>
    <row r="16" spans="1:4" ht="15.95" customHeight="1" x14ac:dyDescent="0.2"/>
    <row r="17" ht="15.95" customHeight="1" x14ac:dyDescent="0.2"/>
    <row r="18" ht="15.95" customHeight="1" x14ac:dyDescent="0.2"/>
    <row r="19" ht="15.95" customHeight="1" x14ac:dyDescent="0.2"/>
    <row r="20" ht="15.95" customHeight="1" x14ac:dyDescent="0.2"/>
    <row r="21" ht="15" customHeight="1" x14ac:dyDescent="0.2"/>
    <row r="22" ht="14.1" customHeight="1" x14ac:dyDescent="0.2"/>
    <row r="23" ht="14.1" customHeight="1" x14ac:dyDescent="0.2"/>
    <row r="24" ht="14.1" customHeight="1" x14ac:dyDescent="0.2"/>
    <row r="25" ht="14.1" customHeight="1" x14ac:dyDescent="0.2"/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21"/>
  <sheetViews>
    <sheetView zoomScaleNormal="100" workbookViewId="0">
      <selection activeCell="H9" sqref="H9"/>
    </sheetView>
  </sheetViews>
  <sheetFormatPr defaultRowHeight="12.75" x14ac:dyDescent="0.2"/>
  <cols>
    <col min="1" max="1" width="69" customWidth="1"/>
    <col min="2" max="2" width="16" customWidth="1"/>
    <col min="3" max="3" width="12.28515625" customWidth="1"/>
    <col min="4" max="4" width="9.42578125" style="9" customWidth="1"/>
  </cols>
  <sheetData>
    <row r="1" spans="1:4" x14ac:dyDescent="0.2">
      <c r="A1" s="3"/>
      <c r="B1" s="84" t="s">
        <v>613</v>
      </c>
    </row>
    <row r="2" spans="1:4" ht="50.25" customHeight="1" x14ac:dyDescent="0.25">
      <c r="A2" s="848" t="s">
        <v>705</v>
      </c>
      <c r="B2" s="849"/>
    </row>
    <row r="3" spans="1:4" x14ac:dyDescent="0.2">
      <c r="A3" s="3"/>
      <c r="B3" s="84"/>
    </row>
    <row r="4" spans="1:4" ht="13.5" thickBot="1" x14ac:dyDescent="0.25">
      <c r="A4" s="3"/>
      <c r="B4" s="84" t="s">
        <v>0</v>
      </c>
    </row>
    <row r="5" spans="1:4" ht="34.5" customHeight="1" thickBot="1" x14ac:dyDescent="0.25">
      <c r="A5" s="97" t="s">
        <v>71</v>
      </c>
      <c r="B5" s="218" t="s">
        <v>47</v>
      </c>
    </row>
    <row r="6" spans="1:4" ht="31.5" customHeight="1" x14ac:dyDescent="0.2">
      <c r="A6" s="415" t="s">
        <v>694</v>
      </c>
      <c r="B6" s="410">
        <f>SUM(B7)</f>
        <v>0</v>
      </c>
    </row>
    <row r="7" spans="1:4" ht="15.95" customHeight="1" x14ac:dyDescent="0.2">
      <c r="A7" s="101" t="s">
        <v>695</v>
      </c>
      <c r="B7" s="416">
        <v>0</v>
      </c>
      <c r="D7" s="37"/>
    </row>
    <row r="8" spans="1:4" ht="25.5" customHeight="1" x14ac:dyDescent="0.2">
      <c r="A8" s="417" t="s">
        <v>696</v>
      </c>
      <c r="B8" s="102">
        <f>SUM(B9)</f>
        <v>3000</v>
      </c>
      <c r="D8" s="37"/>
    </row>
    <row r="9" spans="1:4" ht="16.5" customHeight="1" x14ac:dyDescent="0.2">
      <c r="A9" s="101" t="s">
        <v>695</v>
      </c>
      <c r="B9" s="416">
        <v>3000</v>
      </c>
      <c r="D9" s="37"/>
    </row>
    <row r="10" spans="1:4" s="9" customFormat="1" ht="18" customHeight="1" x14ac:dyDescent="0.2">
      <c r="A10" s="424" t="s">
        <v>707</v>
      </c>
      <c r="B10" s="423">
        <v>100</v>
      </c>
      <c r="C10" s="37"/>
      <c r="D10" s="37"/>
    </row>
    <row r="11" spans="1:4" s="418" customFormat="1" ht="19.5" customHeight="1" x14ac:dyDescent="0.2">
      <c r="A11" s="421" t="s">
        <v>706</v>
      </c>
      <c r="B11" s="422">
        <f>SUM(B12)</f>
        <v>10</v>
      </c>
      <c r="D11" s="419"/>
    </row>
    <row r="12" spans="1:4" ht="16.5" customHeight="1" thickBot="1" x14ac:dyDescent="0.25">
      <c r="A12" s="420" t="s">
        <v>719</v>
      </c>
      <c r="B12" s="425">
        <v>10</v>
      </c>
      <c r="D12" s="37"/>
    </row>
    <row r="13" spans="1:4" ht="15.95" customHeight="1" x14ac:dyDescent="0.2">
      <c r="A13" s="54"/>
      <c r="B13" s="108"/>
    </row>
    <row r="14" spans="1:4" ht="15.95" customHeight="1" x14ac:dyDescent="0.2">
      <c r="A14" s="54"/>
      <c r="B14" s="108"/>
    </row>
    <row r="15" spans="1:4" ht="15.95" customHeight="1" x14ac:dyDescent="0.2">
      <c r="A15" s="54"/>
      <c r="B15" s="108"/>
    </row>
    <row r="16" spans="1:4" ht="15.95" customHeight="1" x14ac:dyDescent="0.2">
      <c r="A16" s="54"/>
      <c r="B16" s="108"/>
    </row>
    <row r="17" spans="1:2" ht="15" customHeight="1" x14ac:dyDescent="0.2">
      <c r="A17" s="54"/>
      <c r="B17" s="54"/>
    </row>
    <row r="18" spans="1:2" ht="14.1" customHeight="1" x14ac:dyDescent="0.2">
      <c r="A18" s="54"/>
      <c r="B18" s="54"/>
    </row>
    <row r="19" spans="1:2" ht="14.1" customHeight="1" x14ac:dyDescent="0.2">
      <c r="A19" s="54"/>
      <c r="B19" s="54"/>
    </row>
    <row r="20" spans="1:2" ht="14.1" customHeight="1" x14ac:dyDescent="0.2"/>
    <row r="21" spans="1:2" ht="14.1" customHeight="1" x14ac:dyDescent="0.2"/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39"/>
  <sheetViews>
    <sheetView zoomScaleNormal="100" workbookViewId="0">
      <selection activeCell="N3" sqref="N3"/>
    </sheetView>
  </sheetViews>
  <sheetFormatPr defaultRowHeight="12.75" x14ac:dyDescent="0.2"/>
  <cols>
    <col min="1" max="1" width="35.28515625" customWidth="1"/>
    <col min="2" max="2" width="9.28515625" customWidth="1"/>
    <col min="3" max="4" width="8.85546875" customWidth="1"/>
    <col min="5" max="5" width="9.42578125" customWidth="1"/>
    <col min="6" max="8" width="9.140625" customWidth="1"/>
    <col min="9" max="9" width="9" customWidth="1"/>
    <col min="10" max="11" width="9.140625" customWidth="1"/>
    <col min="12" max="12" width="9.140625" bestFit="1" customWidth="1"/>
    <col min="13" max="13" width="9.28515625" bestFit="1" customWidth="1"/>
    <col min="14" max="14" width="10.85546875" customWidth="1"/>
    <col min="15" max="15" width="10.85546875" hidden="1" customWidth="1"/>
    <col min="16" max="16" width="12.42578125" style="545" customWidth="1"/>
  </cols>
  <sheetData>
    <row r="1" spans="1:16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M1" s="3"/>
      <c r="N1" s="177" t="s">
        <v>1089</v>
      </c>
      <c r="O1" s="90"/>
    </row>
    <row r="2" spans="1:16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M2" s="3"/>
      <c r="N2" s="181" t="str">
        <f>'1.Bev-kiad.'!C2</f>
        <v>a /2023.() önkormányzati rendelethez</v>
      </c>
      <c r="O2" s="90"/>
    </row>
    <row r="3" spans="1:16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M3" s="3"/>
      <c r="N3" s="181"/>
      <c r="O3" s="90"/>
    </row>
    <row r="4" spans="1:16" ht="15.75" x14ac:dyDescent="0.25">
      <c r="A4" s="96" t="s">
        <v>1327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84"/>
      <c r="O4" s="90"/>
    </row>
    <row r="5" spans="1:16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84"/>
      <c r="O5" s="90"/>
    </row>
    <row r="6" spans="1:16" ht="13.5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4" t="s">
        <v>0</v>
      </c>
      <c r="O6" s="90"/>
    </row>
    <row r="7" spans="1:16" ht="21.75" customHeight="1" thickBot="1" x14ac:dyDescent="0.25">
      <c r="A7" s="97" t="s">
        <v>71</v>
      </c>
      <c r="B7" s="98" t="s">
        <v>72</v>
      </c>
      <c r="C7" s="98" t="s">
        <v>73</v>
      </c>
      <c r="D7" s="98" t="s">
        <v>74</v>
      </c>
      <c r="E7" s="98" t="s">
        <v>75</v>
      </c>
      <c r="F7" s="98" t="s">
        <v>76</v>
      </c>
      <c r="G7" s="98" t="s">
        <v>77</v>
      </c>
      <c r="H7" s="98" t="s">
        <v>78</v>
      </c>
      <c r="I7" s="98" t="s">
        <v>79</v>
      </c>
      <c r="J7" s="98" t="s">
        <v>80</v>
      </c>
      <c r="K7" s="98" t="s">
        <v>81</v>
      </c>
      <c r="L7" s="98" t="s">
        <v>82</v>
      </c>
      <c r="M7" s="98" t="s">
        <v>83</v>
      </c>
      <c r="N7" s="218" t="s">
        <v>47</v>
      </c>
      <c r="O7" s="547"/>
    </row>
    <row r="8" spans="1:16" ht="15.95" customHeight="1" x14ac:dyDescent="0.2">
      <c r="A8" s="99" t="s">
        <v>84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100"/>
      <c r="O8" s="548"/>
    </row>
    <row r="9" spans="1:16" ht="15.95" customHeight="1" x14ac:dyDescent="0.2">
      <c r="A9" s="277" t="s">
        <v>473</v>
      </c>
      <c r="B9" s="33">
        <v>57964</v>
      </c>
      <c r="C9" s="33">
        <v>43095</v>
      </c>
      <c r="D9" s="33">
        <v>42570</v>
      </c>
      <c r="E9" s="33">
        <v>39192</v>
      </c>
      <c r="F9" s="33">
        <v>55031</v>
      </c>
      <c r="G9" s="33">
        <v>66656</v>
      </c>
      <c r="H9" s="33">
        <v>41256</v>
      </c>
      <c r="I9" s="33">
        <v>41882</v>
      </c>
      <c r="J9" s="33">
        <v>26720</v>
      </c>
      <c r="K9" s="33">
        <v>59068</v>
      </c>
      <c r="L9" s="33">
        <v>59068</v>
      </c>
      <c r="M9" s="33">
        <v>59067</v>
      </c>
      <c r="N9" s="102">
        <f t="shared" ref="N9:N17" si="0">SUM(B9:M9)</f>
        <v>591569</v>
      </c>
      <c r="O9" s="219">
        <f>SUM('1.Bev-kiad.'!C9)</f>
        <v>594154</v>
      </c>
      <c r="P9" s="546"/>
    </row>
    <row r="10" spans="1:16" ht="15.95" customHeight="1" x14ac:dyDescent="0.2">
      <c r="A10" s="277" t="s">
        <v>471</v>
      </c>
      <c r="B10" s="33"/>
      <c r="C10" s="33"/>
      <c r="D10" s="33">
        <v>227589</v>
      </c>
      <c r="E10" s="33">
        <v>78483</v>
      </c>
      <c r="F10" s="33">
        <v>301928</v>
      </c>
      <c r="G10" s="33">
        <v>0</v>
      </c>
      <c r="H10" s="33"/>
      <c r="I10" s="33"/>
      <c r="J10" s="33"/>
      <c r="K10" s="33">
        <v>34531</v>
      </c>
      <c r="L10" s="33"/>
      <c r="M10" s="33"/>
      <c r="N10" s="102">
        <f t="shared" si="0"/>
        <v>642531</v>
      </c>
      <c r="O10" s="37">
        <f>SUM('1.Bev-kiad.'!C16)</f>
        <v>40000</v>
      </c>
    </row>
    <row r="11" spans="1:16" ht="15.75" customHeight="1" x14ac:dyDescent="0.2">
      <c r="A11" s="122" t="s">
        <v>361</v>
      </c>
      <c r="B11" s="33">
        <v>5074</v>
      </c>
      <c r="C11" s="33">
        <v>10228</v>
      </c>
      <c r="D11" s="33">
        <v>133635</v>
      </c>
      <c r="E11" s="33">
        <v>9962</v>
      </c>
      <c r="F11" s="33">
        <v>13318</v>
      </c>
      <c r="G11" s="33">
        <v>7703</v>
      </c>
      <c r="H11" s="33">
        <v>16323</v>
      </c>
      <c r="I11" s="33">
        <v>31866</v>
      </c>
      <c r="J11" s="33">
        <v>153639</v>
      </c>
      <c r="K11" s="33">
        <v>5000</v>
      </c>
      <c r="L11" s="33">
        <v>5393</v>
      </c>
      <c r="M11" s="33">
        <f>2000-141</f>
        <v>1859</v>
      </c>
      <c r="N11" s="102">
        <f t="shared" si="0"/>
        <v>394000</v>
      </c>
      <c r="O11" s="37">
        <f>SUM('1.Bev-kiad.'!C22)</f>
        <v>468980</v>
      </c>
    </row>
    <row r="12" spans="1:16" ht="15.95" customHeight="1" x14ac:dyDescent="0.2">
      <c r="A12" s="101" t="s">
        <v>362</v>
      </c>
      <c r="B12" s="33">
        <v>4389</v>
      </c>
      <c r="C12" s="33">
        <v>1261</v>
      </c>
      <c r="D12" s="33">
        <v>2064</v>
      </c>
      <c r="E12" s="33">
        <v>9608</v>
      </c>
      <c r="F12" s="33">
        <v>8284</v>
      </c>
      <c r="G12" s="33">
        <v>10889</v>
      </c>
      <c r="H12" s="33">
        <v>39618</v>
      </c>
      <c r="I12" s="33">
        <v>16182</v>
      </c>
      <c r="J12" s="33">
        <v>5155</v>
      </c>
      <c r="K12" s="33">
        <v>3425</v>
      </c>
      <c r="L12" s="33">
        <f>26394+3425</f>
        <v>29819</v>
      </c>
      <c r="M12" s="33">
        <v>3424</v>
      </c>
      <c r="N12" s="102">
        <f t="shared" si="0"/>
        <v>134118</v>
      </c>
      <c r="O12" s="37">
        <f>SUM('1.Bev-kiad.'!C29)</f>
        <v>134045</v>
      </c>
    </row>
    <row r="13" spans="1:16" ht="15.95" customHeight="1" x14ac:dyDescent="0.2">
      <c r="A13" s="101" t="s">
        <v>364</v>
      </c>
      <c r="B13" s="33">
        <v>171</v>
      </c>
      <c r="C13" s="33">
        <v>1002</v>
      </c>
      <c r="D13" s="33">
        <v>38</v>
      </c>
      <c r="E13" s="33">
        <v>19907</v>
      </c>
      <c r="F13" s="33">
        <v>103</v>
      </c>
      <c r="G13" s="33">
        <v>153</v>
      </c>
      <c r="H13" s="33">
        <v>48</v>
      </c>
      <c r="I13" s="33">
        <v>18</v>
      </c>
      <c r="J13" s="33">
        <v>23</v>
      </c>
      <c r="K13" s="33">
        <f>3011+1829</f>
        <v>4840</v>
      </c>
      <c r="L13" s="33">
        <v>1829</v>
      </c>
      <c r="M13" s="33">
        <v>1829</v>
      </c>
      <c r="N13" s="102">
        <f t="shared" si="0"/>
        <v>29961</v>
      </c>
      <c r="O13" s="37">
        <f>SUM('1.Bev-kiad.'!C40)</f>
        <v>500</v>
      </c>
    </row>
    <row r="14" spans="1:16" ht="15.95" customHeight="1" x14ac:dyDescent="0.2">
      <c r="A14" s="101" t="s">
        <v>363</v>
      </c>
      <c r="B14" s="33"/>
      <c r="C14" s="33">
        <v>516</v>
      </c>
      <c r="D14" s="33"/>
      <c r="E14" s="33"/>
      <c r="F14" s="33"/>
      <c r="G14" s="33"/>
      <c r="H14" s="33"/>
      <c r="I14" s="33"/>
      <c r="J14" s="33">
        <v>1000</v>
      </c>
      <c r="K14" s="33"/>
      <c r="L14" s="33"/>
      <c r="M14" s="33">
        <v>20000</v>
      </c>
      <c r="N14" s="102">
        <f t="shared" si="0"/>
        <v>21516</v>
      </c>
      <c r="O14" s="37">
        <f>SUM('1.Bev-kiad.'!C46)</f>
        <v>40000</v>
      </c>
    </row>
    <row r="15" spans="1:16" ht="15.95" customHeight="1" x14ac:dyDescent="0.2">
      <c r="A15" s="101" t="s">
        <v>472</v>
      </c>
      <c r="B15" s="33"/>
      <c r="C15" s="33"/>
      <c r="D15" s="33"/>
      <c r="E15" s="33"/>
      <c r="F15" s="33"/>
      <c r="G15" s="33"/>
      <c r="H15" s="33"/>
      <c r="I15" s="33"/>
      <c r="J15" s="33">
        <v>10294</v>
      </c>
      <c r="K15" s="33">
        <v>0</v>
      </c>
      <c r="L15" s="33"/>
      <c r="M15" s="33">
        <v>6</v>
      </c>
      <c r="N15" s="102">
        <f t="shared" si="0"/>
        <v>10300</v>
      </c>
      <c r="O15" s="37">
        <f>SUM('1.Bev-kiad.'!C50)</f>
        <v>10300</v>
      </c>
    </row>
    <row r="16" spans="1:16" ht="15.95" customHeight="1" x14ac:dyDescent="0.2">
      <c r="A16" s="101" t="s">
        <v>428</v>
      </c>
      <c r="B16" s="33">
        <f>SUM('1.Bev-kiad.'!C55)</f>
        <v>716048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102">
        <f t="shared" ref="N16" si="1">SUM(B16:M16)</f>
        <v>716048</v>
      </c>
      <c r="O16" s="37">
        <f>SUM('1.Bev-kiad.'!C55)</f>
        <v>716048</v>
      </c>
    </row>
    <row r="17" spans="1:17" ht="15.95" customHeight="1" x14ac:dyDescent="0.2">
      <c r="A17" s="101" t="s">
        <v>1088</v>
      </c>
      <c r="B17" s="33"/>
      <c r="C17" s="33">
        <v>342000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102">
        <f t="shared" si="0"/>
        <v>342000</v>
      </c>
      <c r="O17" s="37">
        <f>SUM('1.Bev-kiad.'!C60)</f>
        <v>0</v>
      </c>
    </row>
    <row r="18" spans="1:17" ht="15.95" customHeight="1" x14ac:dyDescent="0.2">
      <c r="A18" s="103" t="s">
        <v>85</v>
      </c>
      <c r="B18" s="35">
        <f t="shared" ref="B18:N18" si="2">SUM(B9:B17)</f>
        <v>783646</v>
      </c>
      <c r="C18" s="35">
        <f t="shared" si="2"/>
        <v>398102</v>
      </c>
      <c r="D18" s="35">
        <f t="shared" si="2"/>
        <v>405896</v>
      </c>
      <c r="E18" s="35">
        <f t="shared" si="2"/>
        <v>157152</v>
      </c>
      <c r="F18" s="35">
        <f t="shared" si="2"/>
        <v>378664</v>
      </c>
      <c r="G18" s="35">
        <f t="shared" si="2"/>
        <v>85401</v>
      </c>
      <c r="H18" s="35">
        <f t="shared" si="2"/>
        <v>97245</v>
      </c>
      <c r="I18" s="35">
        <f t="shared" si="2"/>
        <v>89948</v>
      </c>
      <c r="J18" s="35">
        <f t="shared" si="2"/>
        <v>196831</v>
      </c>
      <c r="K18" s="35">
        <f t="shared" si="2"/>
        <v>106864</v>
      </c>
      <c r="L18" s="35">
        <f t="shared" si="2"/>
        <v>96109</v>
      </c>
      <c r="M18" s="35">
        <f t="shared" si="2"/>
        <v>86185</v>
      </c>
      <c r="N18" s="102">
        <f t="shared" si="2"/>
        <v>2882043</v>
      </c>
      <c r="O18" s="37">
        <f>SUM(O9:O17)</f>
        <v>2004027</v>
      </c>
      <c r="P18" s="546"/>
      <c r="Q18" s="75"/>
    </row>
    <row r="19" spans="1:17" ht="16.5" customHeight="1" x14ac:dyDescent="0.2">
      <c r="A19" s="103" t="s">
        <v>86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102"/>
      <c r="O19" s="92"/>
    </row>
    <row r="20" spans="1:17" ht="15.95" customHeight="1" x14ac:dyDescent="0.2">
      <c r="A20" s="101" t="s">
        <v>87</v>
      </c>
      <c r="B20" s="33">
        <v>41088</v>
      </c>
      <c r="C20" s="33">
        <v>78602</v>
      </c>
      <c r="D20" s="33">
        <v>74672</v>
      </c>
      <c r="E20" s="33">
        <v>147071</v>
      </c>
      <c r="F20" s="33">
        <v>105073</v>
      </c>
      <c r="G20" s="33">
        <v>97517</v>
      </c>
      <c r="H20" s="33">
        <v>82420</v>
      </c>
      <c r="I20" s="33">
        <v>110114</v>
      </c>
      <c r="J20" s="33">
        <v>120411</v>
      </c>
      <c r="K20" s="33">
        <v>120411</v>
      </c>
      <c r="L20" s="33">
        <v>120411</v>
      </c>
      <c r="M20" s="33">
        <f>120411+3011</f>
        <v>123422</v>
      </c>
      <c r="N20" s="102">
        <f t="shared" ref="N20:N25" si="3">SUM(B20:M20)</f>
        <v>1221212</v>
      </c>
      <c r="O20" s="219">
        <f>SUM('1.Bev-kiad.'!C65)-'1.Bev-kiad.'!C68</f>
        <v>1239970</v>
      </c>
      <c r="P20" s="546"/>
      <c r="Q20" s="75"/>
    </row>
    <row r="21" spans="1:17" ht="15.95" customHeight="1" x14ac:dyDescent="0.2">
      <c r="A21" s="101" t="s">
        <v>88</v>
      </c>
      <c r="B21" s="33">
        <v>178</v>
      </c>
      <c r="C21" s="33">
        <v>342072</v>
      </c>
      <c r="D21" s="33">
        <v>167</v>
      </c>
      <c r="E21" s="33">
        <v>191861</v>
      </c>
      <c r="F21" s="33">
        <v>49683</v>
      </c>
      <c r="G21" s="33">
        <v>85387</v>
      </c>
      <c r="H21" s="33">
        <v>37885</v>
      </c>
      <c r="I21" s="33">
        <v>173753</v>
      </c>
      <c r="J21" s="33">
        <v>0</v>
      </c>
      <c r="K21" s="33">
        <v>23519</v>
      </c>
      <c r="L21" s="33">
        <v>140012</v>
      </c>
      <c r="M21" s="33">
        <v>273102</v>
      </c>
      <c r="N21" s="102">
        <f t="shared" si="3"/>
        <v>1317619</v>
      </c>
      <c r="O21" s="219">
        <f>SUM('1.Bev-kiad.'!C71+'1.Bev-kiad.'!C72)</f>
        <v>550540</v>
      </c>
      <c r="P21" s="546"/>
      <c r="Q21" s="75"/>
    </row>
    <row r="22" spans="1:17" ht="15.95" customHeight="1" x14ac:dyDescent="0.2">
      <c r="A22" s="101" t="s">
        <v>723</v>
      </c>
      <c r="B22" s="33"/>
      <c r="C22" s="33"/>
      <c r="D22" s="33"/>
      <c r="E22" s="33"/>
      <c r="F22" s="33"/>
      <c r="G22" s="33"/>
      <c r="H22" s="33">
        <v>121</v>
      </c>
      <c r="I22" s="33">
        <v>241</v>
      </c>
      <c r="J22" s="33"/>
      <c r="K22" s="33"/>
      <c r="L22" s="33"/>
      <c r="M22" s="33"/>
      <c r="N22" s="102"/>
      <c r="O22" s="37"/>
      <c r="P22" s="546"/>
    </row>
    <row r="23" spans="1:17" ht="15.95" customHeight="1" x14ac:dyDescent="0.2">
      <c r="A23" s="101" t="s">
        <v>443</v>
      </c>
      <c r="B23" s="33">
        <v>15915</v>
      </c>
      <c r="C23" s="33"/>
      <c r="D23" s="33">
        <v>14539</v>
      </c>
      <c r="E23" s="33"/>
      <c r="F23" s="33"/>
      <c r="G23" s="33">
        <v>14539</v>
      </c>
      <c r="H23" s="33"/>
      <c r="I23" s="33"/>
      <c r="J23" s="33">
        <v>14539</v>
      </c>
      <c r="K23" s="33">
        <v>0</v>
      </c>
      <c r="L23" s="33"/>
      <c r="M23" s="33">
        <v>14539</v>
      </c>
      <c r="N23" s="102">
        <f t="shared" si="3"/>
        <v>74071</v>
      </c>
      <c r="O23" s="37">
        <f>SUM('1.Bev-kiad.'!C77)</f>
        <v>77996</v>
      </c>
      <c r="P23" s="546"/>
      <c r="Q23" s="75"/>
    </row>
    <row r="24" spans="1:17" ht="16.5" customHeight="1" x14ac:dyDescent="0.2">
      <c r="A24" s="122" t="s">
        <v>1208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>
        <f>89361+258946</f>
        <v>348307</v>
      </c>
      <c r="N24" s="102">
        <f t="shared" si="3"/>
        <v>348307</v>
      </c>
      <c r="O24" s="37">
        <f>SUM('1.Bev-kiad.'!C76+'1.Bev-kiad.'!C68)</f>
        <v>135521</v>
      </c>
    </row>
    <row r="25" spans="1:17" ht="15.95" customHeight="1" x14ac:dyDescent="0.2">
      <c r="A25" s="103" t="s">
        <v>89</v>
      </c>
      <c r="B25" s="35">
        <f t="shared" ref="B25:M25" si="4">SUM(B20:B24)</f>
        <v>57181</v>
      </c>
      <c r="C25" s="35">
        <f t="shared" si="4"/>
        <v>420674</v>
      </c>
      <c r="D25" s="35">
        <f t="shared" si="4"/>
        <v>89378</v>
      </c>
      <c r="E25" s="35">
        <f t="shared" si="4"/>
        <v>338932</v>
      </c>
      <c r="F25" s="35">
        <f t="shared" si="4"/>
        <v>154756</v>
      </c>
      <c r="G25" s="35">
        <f t="shared" si="4"/>
        <v>197443</v>
      </c>
      <c r="H25" s="35">
        <f t="shared" si="4"/>
        <v>120426</v>
      </c>
      <c r="I25" s="35">
        <f t="shared" si="4"/>
        <v>284108</v>
      </c>
      <c r="J25" s="35">
        <f t="shared" si="4"/>
        <v>134950</v>
      </c>
      <c r="K25" s="35">
        <f t="shared" si="4"/>
        <v>143930</v>
      </c>
      <c r="L25" s="35">
        <f t="shared" si="4"/>
        <v>260423</v>
      </c>
      <c r="M25" s="35">
        <f t="shared" si="4"/>
        <v>759370</v>
      </c>
      <c r="N25" s="102">
        <f t="shared" si="3"/>
        <v>2961571</v>
      </c>
      <c r="O25" s="37"/>
      <c r="P25" s="546"/>
      <c r="Q25" s="75"/>
    </row>
    <row r="26" spans="1:17" ht="15.95" customHeight="1" x14ac:dyDescent="0.2">
      <c r="A26" s="103" t="s">
        <v>90</v>
      </c>
      <c r="B26" s="104">
        <f t="shared" ref="B26:N26" si="5">SUM(B18-B25)</f>
        <v>726465</v>
      </c>
      <c r="C26" s="104">
        <f t="shared" si="5"/>
        <v>-22572</v>
      </c>
      <c r="D26" s="104">
        <f t="shared" si="5"/>
        <v>316518</v>
      </c>
      <c r="E26" s="104">
        <f t="shared" si="5"/>
        <v>-181780</v>
      </c>
      <c r="F26" s="104">
        <f t="shared" si="5"/>
        <v>223908</v>
      </c>
      <c r="G26" s="104">
        <f t="shared" si="5"/>
        <v>-112042</v>
      </c>
      <c r="H26" s="104">
        <f t="shared" si="5"/>
        <v>-23181</v>
      </c>
      <c r="I26" s="104">
        <f t="shared" si="5"/>
        <v>-194160</v>
      </c>
      <c r="J26" s="104">
        <f t="shared" si="5"/>
        <v>61881</v>
      </c>
      <c r="K26" s="104">
        <f t="shared" si="5"/>
        <v>-37066</v>
      </c>
      <c r="L26" s="104">
        <f t="shared" si="5"/>
        <v>-164314</v>
      </c>
      <c r="M26" s="104">
        <f t="shared" si="5"/>
        <v>-673185</v>
      </c>
      <c r="N26" s="102">
        <f t="shared" si="5"/>
        <v>-79528</v>
      </c>
      <c r="O26" s="37"/>
      <c r="P26" s="546"/>
    </row>
    <row r="27" spans="1:17" ht="15.95" customHeight="1" thickBot="1" x14ac:dyDescent="0.25">
      <c r="A27" s="105" t="s">
        <v>91</v>
      </c>
      <c r="B27" s="106">
        <f>SUM(B26)</f>
        <v>726465</v>
      </c>
      <c r="C27" s="106">
        <f t="shared" ref="C27:M27" si="6">B27+C18-C25</f>
        <v>703893</v>
      </c>
      <c r="D27" s="106">
        <f t="shared" si="6"/>
        <v>1020411</v>
      </c>
      <c r="E27" s="106">
        <f t="shared" si="6"/>
        <v>838631</v>
      </c>
      <c r="F27" s="106">
        <f t="shared" si="6"/>
        <v>1062539</v>
      </c>
      <c r="G27" s="106">
        <f t="shared" si="6"/>
        <v>950497</v>
      </c>
      <c r="H27" s="106">
        <f t="shared" si="6"/>
        <v>927316</v>
      </c>
      <c r="I27" s="106">
        <f t="shared" si="6"/>
        <v>733156</v>
      </c>
      <c r="J27" s="106">
        <f t="shared" si="6"/>
        <v>795037</v>
      </c>
      <c r="K27" s="106">
        <f t="shared" si="6"/>
        <v>757971</v>
      </c>
      <c r="L27" s="106">
        <f t="shared" si="6"/>
        <v>593657</v>
      </c>
      <c r="M27" s="106">
        <f t="shared" si="6"/>
        <v>-79528</v>
      </c>
      <c r="N27" s="107">
        <f>SUM(N26)</f>
        <v>-79528</v>
      </c>
      <c r="O27" s="37">
        <f>SUM(O20:O26)</f>
        <v>2004027</v>
      </c>
      <c r="P27" s="546"/>
    </row>
    <row r="28" spans="1:17" ht="18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108"/>
      <c r="O28" s="37">
        <f>SUM(O27-O18)</f>
        <v>0</v>
      </c>
      <c r="P28" s="546"/>
    </row>
    <row r="29" spans="1:17" ht="18" customHeight="1" x14ac:dyDescent="0.2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108"/>
      <c r="O29" s="9"/>
    </row>
    <row r="30" spans="1:17" ht="15.95" customHeight="1" x14ac:dyDescent="0.2">
      <c r="A30" s="54"/>
      <c r="B30" s="54"/>
      <c r="C30" s="54"/>
      <c r="D30" s="54"/>
      <c r="E30" s="54"/>
      <c r="F30" s="54"/>
      <c r="G30" s="109"/>
      <c r="H30" s="54"/>
      <c r="I30" s="54"/>
      <c r="J30" s="54"/>
      <c r="K30" s="54"/>
      <c r="L30" s="54"/>
      <c r="M30" s="54"/>
      <c r="N30" s="108"/>
      <c r="O30" s="548"/>
    </row>
    <row r="31" spans="1:17" ht="15.95" customHeight="1" x14ac:dyDescent="0.2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108"/>
      <c r="O31" s="548"/>
    </row>
    <row r="32" spans="1:17" ht="15.95" customHeight="1" x14ac:dyDescent="0.2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108"/>
      <c r="O32" s="548"/>
    </row>
    <row r="33" spans="1:15" ht="15.95" customHeight="1" x14ac:dyDescent="0.2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108"/>
      <c r="O33" s="548"/>
    </row>
    <row r="34" spans="1:15" ht="15.95" customHeight="1" x14ac:dyDescent="0.2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108"/>
      <c r="O34" s="548"/>
    </row>
    <row r="35" spans="1:15" ht="15" customHeight="1" x14ac:dyDescent="0.2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5" ht="14.1" customHeight="1" x14ac:dyDescent="0.2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5" ht="14.1" customHeight="1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5" ht="14.1" customHeight="1" x14ac:dyDescent="0.2"/>
    <row r="39" spans="1:15" ht="14.1" customHeight="1" x14ac:dyDescent="0.2"/>
  </sheetData>
  <pageMargins left="0.42" right="0.19685039370078741" top="0.74803149606299213" bottom="0.98425196850393704" header="0.51181102362204722" footer="0.51181102362204722"/>
  <pageSetup paperSize="9" scale="92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745"/>
  <sheetViews>
    <sheetView topLeftCell="A46" zoomScaleNormal="100" workbookViewId="0">
      <selection activeCell="I46" sqref="I46"/>
    </sheetView>
  </sheetViews>
  <sheetFormatPr defaultRowHeight="12.75" x14ac:dyDescent="0.2"/>
  <cols>
    <col min="1" max="1" width="6.28515625" style="2" customWidth="1"/>
    <col min="2" max="2" width="71.28515625" customWidth="1"/>
    <col min="3" max="3" width="14.28515625" style="37" hidden="1" customWidth="1"/>
    <col min="4" max="7" width="13.7109375" style="37" customWidth="1"/>
    <col min="9" max="9" width="13" customWidth="1"/>
  </cols>
  <sheetData>
    <row r="1" spans="1:21" ht="15" customHeight="1" x14ac:dyDescent="0.3">
      <c r="A1" s="55"/>
      <c r="B1" s="180"/>
      <c r="E1" s="181"/>
      <c r="F1" s="181"/>
      <c r="G1" s="181" t="s">
        <v>360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customHeight="1" x14ac:dyDescent="0.3">
      <c r="A2" s="55"/>
      <c r="B2" s="180"/>
      <c r="E2" s="181"/>
      <c r="F2" s="181"/>
      <c r="G2" s="181" t="str">
        <f>'1.Bev-kiad.'!C2</f>
        <v>a /2023.() önkormányzati rendelethez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" customHeight="1" x14ac:dyDescent="0.3">
      <c r="A3" s="55"/>
      <c r="B3" s="180"/>
      <c r="E3" s="181"/>
      <c r="F3" s="18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9.5" x14ac:dyDescent="0.35">
      <c r="A4" s="742" t="s">
        <v>27</v>
      </c>
      <c r="B4" s="742"/>
      <c r="C4" s="742"/>
      <c r="D4" s="750"/>
      <c r="E4" s="750"/>
      <c r="F4" s="750"/>
      <c r="G4" s="75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9.5" x14ac:dyDescent="0.35">
      <c r="A5" s="742" t="s">
        <v>1328</v>
      </c>
      <c r="B5" s="742"/>
      <c r="C5" s="742"/>
      <c r="D5" s="750"/>
      <c r="E5" s="750"/>
      <c r="F5" s="750"/>
      <c r="G5" s="75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3.5" thickBot="1" x14ac:dyDescent="0.25">
      <c r="A6" s="55"/>
      <c r="B6" s="55"/>
      <c r="E6" s="181"/>
      <c r="F6" s="181"/>
      <c r="G6" s="181" t="s"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53.25" customHeight="1" thickBot="1" x14ac:dyDescent="0.25">
      <c r="A7" s="217" t="s">
        <v>118</v>
      </c>
      <c r="B7" s="45" t="s">
        <v>375</v>
      </c>
      <c r="C7" s="45" t="s">
        <v>365</v>
      </c>
      <c r="D7" s="45" t="s">
        <v>889</v>
      </c>
      <c r="E7" s="45" t="s">
        <v>1047</v>
      </c>
      <c r="F7" s="45" t="s">
        <v>1099</v>
      </c>
      <c r="G7" s="45" t="s">
        <v>1329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22.5" customHeight="1" x14ac:dyDescent="0.2">
      <c r="A8" s="147" t="s">
        <v>354</v>
      </c>
      <c r="B8" s="226" t="s">
        <v>339</v>
      </c>
      <c r="C8" s="173" t="e">
        <f>SUM(C9:C50)</f>
        <v>#REF!</v>
      </c>
      <c r="D8" s="173" t="e">
        <f>SUM(D9:D50)</f>
        <v>#REF!</v>
      </c>
      <c r="E8" s="173">
        <f>SUM(E9:E50)</f>
        <v>924000</v>
      </c>
      <c r="F8" s="173">
        <f>SUM(F9:F50)</f>
        <v>927000</v>
      </c>
      <c r="G8" s="173">
        <f>SUM(G9:G50)</f>
        <v>933000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8" customHeight="1" x14ac:dyDescent="0.25">
      <c r="A9" s="14" t="s">
        <v>120</v>
      </c>
      <c r="B9" s="23" t="s">
        <v>221</v>
      </c>
      <c r="C9" s="38" t="e">
        <f>SUM('2.működés'!#REF!)</f>
        <v>#REF!</v>
      </c>
      <c r="D9" s="38">
        <f>SUM('1.Bev-kiad.'!C9)</f>
        <v>594154</v>
      </c>
      <c r="E9" s="38">
        <v>490000</v>
      </c>
      <c r="F9" s="38">
        <v>490000</v>
      </c>
      <c r="G9" s="38">
        <v>490000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3.5" hidden="1" customHeight="1" x14ac:dyDescent="0.2">
      <c r="A10" s="8" t="s">
        <v>121</v>
      </c>
      <c r="B10" s="8" t="s">
        <v>129</v>
      </c>
      <c r="C10" s="5"/>
      <c r="D10" s="5"/>
      <c r="E10" s="5"/>
      <c r="F10" s="5"/>
      <c r="G10" s="5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3.5" hidden="1" customHeight="1" x14ac:dyDescent="0.2">
      <c r="A11" s="8" t="s">
        <v>170</v>
      </c>
      <c r="B11" s="8" t="s">
        <v>171</v>
      </c>
      <c r="C11" s="5"/>
      <c r="D11" s="5"/>
      <c r="E11" s="5"/>
      <c r="F11" s="5"/>
      <c r="G11" s="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3.5" hidden="1" customHeight="1" x14ac:dyDescent="0.2">
      <c r="A12" s="8" t="s">
        <v>122</v>
      </c>
      <c r="B12" s="8" t="s">
        <v>126</v>
      </c>
      <c r="C12" s="6"/>
      <c r="D12" s="6"/>
      <c r="E12" s="6"/>
      <c r="F12" s="6"/>
      <c r="G12" s="6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13.5" hidden="1" customHeight="1" x14ac:dyDescent="0.2">
      <c r="A13" s="8" t="s">
        <v>123</v>
      </c>
      <c r="B13" s="8" t="s">
        <v>127</v>
      </c>
      <c r="C13" s="11"/>
      <c r="D13" s="11"/>
      <c r="E13" s="11"/>
      <c r="F13" s="11"/>
      <c r="G13" s="1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3.5" hidden="1" customHeight="1" x14ac:dyDescent="0.2">
      <c r="A14" s="8" t="s">
        <v>124</v>
      </c>
      <c r="B14" s="8" t="s">
        <v>128</v>
      </c>
      <c r="C14" s="13"/>
      <c r="D14" s="13"/>
      <c r="E14" s="13"/>
      <c r="F14" s="13"/>
      <c r="G14" s="1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2.75" hidden="1" customHeight="1" x14ac:dyDescent="0.2">
      <c r="A15" s="8" t="s">
        <v>125</v>
      </c>
      <c r="B15" s="8" t="s">
        <v>130</v>
      </c>
      <c r="C15" s="13"/>
      <c r="D15" s="13"/>
      <c r="E15" s="13"/>
      <c r="F15" s="13"/>
      <c r="G15" s="1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8" customHeight="1" x14ac:dyDescent="0.25">
      <c r="A16" s="14" t="s">
        <v>131</v>
      </c>
      <c r="B16" s="23" t="s">
        <v>222</v>
      </c>
      <c r="C16" s="42" t="e">
        <f>SUM('3.felh'!#REF!)</f>
        <v>#REF!</v>
      </c>
      <c r="D16" s="42">
        <f>SUM('1.Bev-kiad.'!C16)</f>
        <v>40000</v>
      </c>
      <c r="E16" s="42">
        <v>24000</v>
      </c>
      <c r="F16" s="42">
        <v>25000</v>
      </c>
      <c r="G16" s="42">
        <v>25000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2.75" hidden="1" customHeight="1" x14ac:dyDescent="0.2">
      <c r="A17" s="8" t="s">
        <v>132</v>
      </c>
      <c r="B17" s="8" t="s">
        <v>139</v>
      </c>
      <c r="C17" s="5"/>
      <c r="D17" s="5"/>
      <c r="E17" s="5"/>
      <c r="F17" s="5"/>
      <c r="G17" s="5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2.75" hidden="1" customHeight="1" x14ac:dyDescent="0.2">
      <c r="A18" s="8" t="s">
        <v>172</v>
      </c>
      <c r="B18" s="8" t="s">
        <v>173</v>
      </c>
      <c r="C18" s="13"/>
      <c r="D18" s="13"/>
      <c r="E18" s="13"/>
      <c r="F18" s="13"/>
      <c r="G18" s="1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2.75" hidden="1" customHeight="1" x14ac:dyDescent="0.2">
      <c r="A19" s="8" t="s">
        <v>133</v>
      </c>
      <c r="B19" s="8" t="s">
        <v>136</v>
      </c>
      <c r="C19" s="13"/>
      <c r="D19" s="13"/>
      <c r="E19" s="13"/>
      <c r="F19" s="13"/>
      <c r="G19" s="1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2.75" hidden="1" customHeight="1" x14ac:dyDescent="0.2">
      <c r="A20" s="8" t="s">
        <v>134</v>
      </c>
      <c r="B20" s="8" t="s">
        <v>137</v>
      </c>
      <c r="C20" s="13"/>
      <c r="D20" s="13"/>
      <c r="E20" s="13"/>
      <c r="F20" s="13"/>
      <c r="G20" s="1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2.75" hidden="1" customHeight="1" x14ac:dyDescent="0.2">
      <c r="A21" s="8" t="s">
        <v>135</v>
      </c>
      <c r="B21" s="8" t="s">
        <v>138</v>
      </c>
      <c r="C21" s="13"/>
      <c r="D21" s="13"/>
      <c r="E21" s="13"/>
      <c r="F21" s="13"/>
      <c r="G21" s="1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8" customHeight="1" x14ac:dyDescent="0.25">
      <c r="A22" s="14" t="s">
        <v>140</v>
      </c>
      <c r="B22" s="23" t="s">
        <v>103</v>
      </c>
      <c r="C22" s="42" t="e">
        <f>SUM('2.működés'!#REF!)</f>
        <v>#REF!</v>
      </c>
      <c r="D22" s="42">
        <f>SUM('1.Bev-kiad.'!C22)</f>
        <v>468980</v>
      </c>
      <c r="E22" s="42">
        <v>352000</v>
      </c>
      <c r="F22" s="42">
        <v>352000</v>
      </c>
      <c r="G22" s="42">
        <v>352000</v>
      </c>
      <c r="H22" s="2"/>
      <c r="I22" s="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2.75" hidden="1" customHeight="1" x14ac:dyDescent="0.2">
      <c r="A23" s="8" t="s">
        <v>141</v>
      </c>
      <c r="B23" s="8" t="s">
        <v>147</v>
      </c>
      <c r="C23" s="13"/>
      <c r="D23" s="13"/>
      <c r="E23" s="13"/>
      <c r="F23" s="13"/>
      <c r="G23" s="1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2.75" hidden="1" customHeight="1" x14ac:dyDescent="0.2">
      <c r="A24" s="8" t="s">
        <v>142</v>
      </c>
      <c r="B24" s="8" t="s">
        <v>148</v>
      </c>
      <c r="C24" s="13"/>
      <c r="D24" s="13"/>
      <c r="E24" s="13"/>
      <c r="F24" s="13"/>
      <c r="G24" s="13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2.75" hidden="1" customHeight="1" x14ac:dyDescent="0.2">
      <c r="A25" s="8" t="s">
        <v>143</v>
      </c>
      <c r="B25" s="20" t="s">
        <v>149</v>
      </c>
      <c r="C25" s="49"/>
      <c r="D25" s="49"/>
      <c r="E25" s="49"/>
      <c r="F25" s="49"/>
      <c r="G25" s="49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2.75" hidden="1" customHeight="1" x14ac:dyDescent="0.2">
      <c r="A26" s="8" t="s">
        <v>144</v>
      </c>
      <c r="B26" s="8" t="s">
        <v>176</v>
      </c>
      <c r="C26" s="39"/>
      <c r="D26" s="39"/>
      <c r="E26" s="39"/>
      <c r="F26" s="39"/>
      <c r="G26" s="3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s="50" customFormat="1" ht="12.75" hidden="1" customHeight="1" x14ac:dyDescent="0.2">
      <c r="A27" s="8" t="s">
        <v>145</v>
      </c>
      <c r="B27" s="8" t="s">
        <v>177</v>
      </c>
      <c r="C27" s="13"/>
      <c r="D27" s="13"/>
      <c r="E27" s="13"/>
      <c r="F27" s="13"/>
      <c r="G27" s="1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s="50" customFormat="1" ht="12.75" hidden="1" customHeight="1" x14ac:dyDescent="0.2">
      <c r="A28" s="8" t="s">
        <v>146</v>
      </c>
      <c r="B28" s="8" t="s">
        <v>150</v>
      </c>
      <c r="C28" s="13"/>
      <c r="D28" s="13"/>
      <c r="E28" s="13"/>
      <c r="F28" s="13"/>
      <c r="G28" s="1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s="50" customFormat="1" ht="18" customHeight="1" x14ac:dyDescent="0.25">
      <c r="A29" s="14" t="s">
        <v>151</v>
      </c>
      <c r="B29" s="23" t="s">
        <v>223</v>
      </c>
      <c r="C29" s="42" t="e">
        <f>SUM('2.működés'!#REF!)</f>
        <v>#REF!</v>
      </c>
      <c r="D29" s="42">
        <f>SUM('1.Bev-kiad.'!C29)</f>
        <v>134045</v>
      </c>
      <c r="E29" s="42">
        <v>40000</v>
      </c>
      <c r="F29" s="42">
        <v>40000</v>
      </c>
      <c r="G29" s="42">
        <v>43000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3.5" hidden="1" customHeight="1" x14ac:dyDescent="0.2">
      <c r="A30" s="8" t="s">
        <v>154</v>
      </c>
      <c r="B30" s="8" t="s">
        <v>152</v>
      </c>
      <c r="C30" s="13"/>
      <c r="D30" s="13"/>
      <c r="E30" s="13"/>
      <c r="F30" s="13"/>
      <c r="G30" s="1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s="50" customFormat="1" ht="13.5" hidden="1" customHeight="1" x14ac:dyDescent="0.2">
      <c r="A31" s="8" t="s">
        <v>155</v>
      </c>
      <c r="B31" s="8" t="s">
        <v>153</v>
      </c>
      <c r="C31" s="13"/>
      <c r="D31" s="13"/>
      <c r="E31" s="13"/>
      <c r="F31" s="13"/>
      <c r="G31" s="1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s="50" customFormat="1" ht="13.5" hidden="1" customHeight="1" x14ac:dyDescent="0.2">
      <c r="A32" s="8" t="s">
        <v>156</v>
      </c>
      <c r="B32" s="8" t="s">
        <v>159</v>
      </c>
      <c r="C32" s="11"/>
      <c r="D32" s="11"/>
      <c r="E32" s="11"/>
      <c r="F32" s="11"/>
      <c r="G32" s="1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3.5" hidden="1" customHeight="1" x14ac:dyDescent="0.2">
      <c r="A33" s="8" t="s">
        <v>157</v>
      </c>
      <c r="B33" s="20" t="s">
        <v>160</v>
      </c>
      <c r="C33" s="8"/>
      <c r="D33" s="8"/>
      <c r="E33" s="8"/>
      <c r="F33" s="8"/>
      <c r="G33" s="8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2.75" hidden="1" customHeight="1" x14ac:dyDescent="0.2">
      <c r="A34" s="8" t="s">
        <v>158</v>
      </c>
      <c r="B34" s="20" t="s">
        <v>161</v>
      </c>
      <c r="C34" s="8"/>
      <c r="D34" s="8"/>
      <c r="E34" s="8"/>
      <c r="F34" s="8"/>
      <c r="G34" s="8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2.75" hidden="1" customHeight="1" x14ac:dyDescent="0.2">
      <c r="A35" s="8" t="s">
        <v>162</v>
      </c>
      <c r="B35" s="20" t="s">
        <v>163</v>
      </c>
      <c r="C35" s="8"/>
      <c r="D35" s="8"/>
      <c r="E35" s="8"/>
      <c r="F35" s="8"/>
      <c r="G35" s="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2.75" hidden="1" customHeight="1" x14ac:dyDescent="0.2">
      <c r="A36" s="8" t="s">
        <v>164</v>
      </c>
      <c r="B36" s="20" t="s">
        <v>165</v>
      </c>
      <c r="C36" s="8"/>
      <c r="D36" s="8"/>
      <c r="E36" s="8"/>
      <c r="F36" s="8"/>
      <c r="G36" s="8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2.75" hidden="1" customHeight="1" x14ac:dyDescent="0.2">
      <c r="A37" s="8" t="s">
        <v>166</v>
      </c>
      <c r="B37" s="20" t="s">
        <v>167</v>
      </c>
      <c r="C37" s="8"/>
      <c r="D37" s="8"/>
      <c r="E37" s="8"/>
      <c r="F37" s="8"/>
      <c r="G37" s="8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2.75" hidden="1" customHeight="1" x14ac:dyDescent="0.2">
      <c r="A38" s="8" t="s">
        <v>168</v>
      </c>
      <c r="B38" s="20" t="s">
        <v>169</v>
      </c>
      <c r="C38" s="8"/>
      <c r="D38" s="8"/>
      <c r="E38" s="8"/>
      <c r="F38" s="8"/>
      <c r="G38" s="8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2.75" hidden="1" customHeight="1" x14ac:dyDescent="0.2">
      <c r="A39" s="8" t="s">
        <v>174</v>
      </c>
      <c r="B39" s="20" t="s">
        <v>175</v>
      </c>
      <c r="C39" s="8"/>
      <c r="D39" s="8"/>
      <c r="E39" s="8"/>
      <c r="F39" s="8"/>
      <c r="G39" s="8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7.25" customHeight="1" x14ac:dyDescent="0.25">
      <c r="A40" s="14" t="s">
        <v>178</v>
      </c>
      <c r="B40" s="23" t="s">
        <v>224</v>
      </c>
      <c r="C40" s="42" t="e">
        <f>SUM('3.felh'!#REF!)</f>
        <v>#REF!</v>
      </c>
      <c r="D40" s="42">
        <f>SUM('1.Bev-kiad.'!C40)</f>
        <v>500</v>
      </c>
      <c r="E40" s="42">
        <v>0</v>
      </c>
      <c r="F40" s="42">
        <v>0</v>
      </c>
      <c r="G40" s="42">
        <v>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2.75" hidden="1" customHeight="1" x14ac:dyDescent="0.2">
      <c r="A41" s="8" t="s">
        <v>179</v>
      </c>
      <c r="B41" s="20" t="s">
        <v>184</v>
      </c>
      <c r="C41" s="8"/>
      <c r="D41" s="8"/>
      <c r="E41" s="8"/>
      <c r="F41" s="8"/>
      <c r="G41" s="8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2.75" hidden="1" customHeight="1" x14ac:dyDescent="0.2">
      <c r="A42" s="8" t="s">
        <v>180</v>
      </c>
      <c r="B42" s="20" t="s">
        <v>185</v>
      </c>
      <c r="C42" s="8"/>
      <c r="D42" s="8"/>
      <c r="E42" s="8"/>
      <c r="F42" s="8"/>
      <c r="G42" s="8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2.75" hidden="1" customHeight="1" x14ac:dyDescent="0.2">
      <c r="A43" s="8" t="s">
        <v>181</v>
      </c>
      <c r="B43" s="20" t="s">
        <v>186</v>
      </c>
      <c r="C43" s="8"/>
      <c r="D43" s="8"/>
      <c r="E43" s="8"/>
      <c r="F43" s="8"/>
      <c r="G43" s="8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2.75" hidden="1" customHeight="1" x14ac:dyDescent="0.2">
      <c r="A44" s="8" t="s">
        <v>182</v>
      </c>
      <c r="B44" s="20" t="s">
        <v>187</v>
      </c>
      <c r="C44" s="8"/>
      <c r="D44" s="8"/>
      <c r="E44" s="8"/>
      <c r="F44" s="8"/>
      <c r="G44" s="8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2.75" hidden="1" customHeight="1" x14ac:dyDescent="0.2">
      <c r="A45" s="8" t="s">
        <v>183</v>
      </c>
      <c r="B45" s="20" t="s">
        <v>188</v>
      </c>
      <c r="C45" s="8"/>
      <c r="D45" s="8"/>
      <c r="E45" s="8"/>
      <c r="F45" s="8"/>
      <c r="G45" s="8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8" customHeight="1" x14ac:dyDescent="0.25">
      <c r="A46" s="14" t="s">
        <v>189</v>
      </c>
      <c r="B46" s="23" t="s">
        <v>225</v>
      </c>
      <c r="C46" s="42" t="e">
        <f>SUM('2.működés'!#REF!)</f>
        <v>#REF!</v>
      </c>
      <c r="D46" s="42">
        <f>SUM('1.Bev-kiad.'!C46)</f>
        <v>40000</v>
      </c>
      <c r="E46" s="42">
        <v>18000</v>
      </c>
      <c r="F46" s="42">
        <v>20000</v>
      </c>
      <c r="G46" s="42">
        <v>23000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2.75" hidden="1" customHeight="1" x14ac:dyDescent="0.2">
      <c r="A47" s="8" t="s">
        <v>195</v>
      </c>
      <c r="B47" s="20" t="s">
        <v>192</v>
      </c>
      <c r="C47" s="8"/>
      <c r="D47" s="8"/>
      <c r="E47" s="8"/>
      <c r="F47" s="8"/>
      <c r="G47" s="8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2.75" hidden="1" customHeight="1" x14ac:dyDescent="0.2">
      <c r="A48" s="8" t="s">
        <v>196</v>
      </c>
      <c r="B48" s="20" t="s">
        <v>193</v>
      </c>
      <c r="C48" s="8"/>
      <c r="D48" s="8"/>
      <c r="E48" s="8"/>
      <c r="F48" s="8"/>
      <c r="G48" s="8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2.75" hidden="1" customHeight="1" x14ac:dyDescent="0.2">
      <c r="A49" s="8" t="s">
        <v>197</v>
      </c>
      <c r="B49" s="20" t="s">
        <v>194</v>
      </c>
      <c r="C49" s="8"/>
      <c r="D49" s="8"/>
      <c r="E49" s="8"/>
      <c r="F49" s="8"/>
      <c r="G49" s="8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8" customHeight="1" x14ac:dyDescent="0.25">
      <c r="A50" s="14" t="s">
        <v>190</v>
      </c>
      <c r="B50" s="23" t="s">
        <v>226</v>
      </c>
      <c r="C50" s="42" t="e">
        <f>SUM('3.felh'!#REF!)</f>
        <v>#REF!</v>
      </c>
      <c r="D50" s="42" t="e">
        <f>SUM('3.felh'!#REF!)</f>
        <v>#REF!</v>
      </c>
      <c r="E50" s="42"/>
      <c r="F50" s="42"/>
      <c r="G50" s="42"/>
      <c r="H50" s="2"/>
      <c r="I50" s="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3.5" hidden="1" customHeight="1" x14ac:dyDescent="0.25">
      <c r="A51" s="8" t="s">
        <v>198</v>
      </c>
      <c r="B51" s="20" t="s">
        <v>201</v>
      </c>
      <c r="C51" s="42"/>
      <c r="D51" s="42"/>
      <c r="E51" s="42"/>
      <c r="F51" s="42"/>
      <c r="G51" s="4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3.5" hidden="1" customHeight="1" x14ac:dyDescent="0.25">
      <c r="A52" s="8" t="s">
        <v>199</v>
      </c>
      <c r="B52" s="20" t="s">
        <v>202</v>
      </c>
      <c r="C52" s="42"/>
      <c r="D52" s="42"/>
      <c r="E52" s="42"/>
      <c r="F52" s="42"/>
      <c r="G52" s="4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3.5" hidden="1" customHeight="1" thickBot="1" x14ac:dyDescent="0.3">
      <c r="A53" s="8" t="s">
        <v>200</v>
      </c>
      <c r="B53" s="20" t="s">
        <v>203</v>
      </c>
      <c r="C53" s="42"/>
      <c r="D53" s="42"/>
      <c r="E53" s="42"/>
      <c r="F53" s="42"/>
      <c r="G53" s="4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22.5" customHeight="1" x14ac:dyDescent="0.2">
      <c r="A54" s="25" t="s">
        <v>191</v>
      </c>
      <c r="B54" s="172" t="s">
        <v>351</v>
      </c>
      <c r="C54" s="193" t="e">
        <f>SUM(C55+C60)</f>
        <v>#REF!</v>
      </c>
      <c r="D54" s="193">
        <f>SUM(D55+D60)</f>
        <v>716048</v>
      </c>
      <c r="E54" s="193" t="e">
        <f>SUM(E55+E60)</f>
        <v>#REF!</v>
      </c>
      <c r="F54" s="193" t="e">
        <f>SUM(F55+F60)</f>
        <v>#REF!</v>
      </c>
      <c r="G54" s="193" t="e">
        <f>SUM(G55+G60)</f>
        <v>#REF!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3.5" customHeight="1" x14ac:dyDescent="0.25">
      <c r="A55" s="25"/>
      <c r="B55" s="23" t="s">
        <v>431</v>
      </c>
      <c r="C55" s="42" t="e">
        <f>SUM(C56)+C59</f>
        <v>#REF!</v>
      </c>
      <c r="D55" s="42">
        <f>SUM(D56)+D59</f>
        <v>716048</v>
      </c>
      <c r="E55" s="42" t="e">
        <f>SUM(E56)+E59</f>
        <v>#REF!</v>
      </c>
      <c r="F55" s="42" t="e">
        <f>SUM(F56)+F59</f>
        <v>#REF!</v>
      </c>
      <c r="G55" s="42" t="e">
        <f>SUM(G56)+G59</f>
        <v>#REF!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3.5" customHeight="1" x14ac:dyDescent="0.2">
      <c r="A56" s="8"/>
      <c r="B56" s="31" t="s">
        <v>432</v>
      </c>
      <c r="C56" s="5" t="e">
        <f>SUM(C57:C58)</f>
        <v>#REF!</v>
      </c>
      <c r="D56" s="5">
        <f>SUM(D57:D58)</f>
        <v>716048</v>
      </c>
      <c r="E56" s="5">
        <f>SUM(E57:E58)</f>
        <v>250000</v>
      </c>
      <c r="F56" s="5">
        <f>SUM(F57:F58)</f>
        <v>270000</v>
      </c>
      <c r="G56" s="5">
        <f>SUM(G57:G58)</f>
        <v>260000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3.5" customHeight="1" x14ac:dyDescent="0.2">
      <c r="A57" s="8"/>
      <c r="B57" s="31" t="s">
        <v>420</v>
      </c>
      <c r="C57" s="13" t="e">
        <f>SUM('2.működés'!#REF!)</f>
        <v>#REF!</v>
      </c>
      <c r="D57" s="13">
        <f>SUM('1.Bev-kiad.'!C57)</f>
        <v>197337</v>
      </c>
      <c r="E57" s="13">
        <v>180000</v>
      </c>
      <c r="F57" s="13">
        <v>190000</v>
      </c>
      <c r="G57" s="13">
        <v>180000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3.5" customHeight="1" x14ac:dyDescent="0.2">
      <c r="A58" s="8"/>
      <c r="B58" s="31" t="s">
        <v>421</v>
      </c>
      <c r="C58" s="13" t="e">
        <f>'3.felh'!#REF!</f>
        <v>#REF!</v>
      </c>
      <c r="D58" s="13">
        <f>SUM('1.Bev-kiad.'!C58)</f>
        <v>518711</v>
      </c>
      <c r="E58" s="13">
        <v>70000</v>
      </c>
      <c r="F58" s="13">
        <v>80000</v>
      </c>
      <c r="G58" s="13">
        <v>80000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3.5" customHeight="1" x14ac:dyDescent="0.2">
      <c r="A59" s="8"/>
      <c r="B59" s="31" t="s">
        <v>487</v>
      </c>
      <c r="C59" s="13" t="e">
        <f>'2.működés'!#REF!</f>
        <v>#REF!</v>
      </c>
      <c r="D59" s="13">
        <f>'2.működés'!C107</f>
        <v>0</v>
      </c>
      <c r="E59" s="13" t="e">
        <f>'2.működés'!#REF!</f>
        <v>#REF!</v>
      </c>
      <c r="F59" s="13" t="e">
        <f>'2.működés'!#REF!</f>
        <v>#REF!</v>
      </c>
      <c r="G59" s="13" t="e">
        <f>'2.működés'!#REF!</f>
        <v>#REF!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3.5" customHeight="1" x14ac:dyDescent="0.25">
      <c r="A60" s="8"/>
      <c r="B60" s="23" t="s">
        <v>429</v>
      </c>
      <c r="C60" s="42" t="e">
        <f>SUM(C61:C62)</f>
        <v>#REF!</v>
      </c>
      <c r="D60" s="42">
        <f>SUM(D61:D62)</f>
        <v>0</v>
      </c>
      <c r="E60" s="42">
        <f>SUM(E61:E62)</f>
        <v>0</v>
      </c>
      <c r="F60" s="42">
        <f>SUM(F61:F62)</f>
        <v>0</v>
      </c>
      <c r="G60" s="42">
        <f>SUM(G61:G62)</f>
        <v>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3.5" customHeight="1" x14ac:dyDescent="0.2">
      <c r="A61" s="8"/>
      <c r="B61" s="8" t="s">
        <v>247</v>
      </c>
      <c r="C61" s="13"/>
      <c r="D61" s="13"/>
      <c r="E61" s="13"/>
      <c r="F61" s="13"/>
      <c r="G61" s="13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3.5" customHeight="1" thickBot="1" x14ac:dyDescent="0.25">
      <c r="A62" s="12"/>
      <c r="B62" s="12" t="s">
        <v>248</v>
      </c>
      <c r="C62" s="32" t="e">
        <f>'3.felh'!#REF!</f>
        <v>#REF!</v>
      </c>
      <c r="D62" s="32">
        <f>'3.felh'!C40</f>
        <v>0</v>
      </c>
      <c r="E62" s="32"/>
      <c r="F62" s="32"/>
      <c r="G62" s="3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23.25" customHeight="1" thickBot="1" x14ac:dyDescent="0.4">
      <c r="A63" s="215"/>
      <c r="B63" s="216" t="s">
        <v>374</v>
      </c>
      <c r="C63" s="179" t="e">
        <f>SUM(C8+C54)</f>
        <v>#REF!</v>
      </c>
      <c r="D63" s="179" t="e">
        <f>SUM(D8+D54)</f>
        <v>#REF!</v>
      </c>
      <c r="E63" s="179" t="e">
        <f>SUM(E8+E54)</f>
        <v>#REF!</v>
      </c>
      <c r="F63" s="179" t="e">
        <f>SUM(F8+F54)</f>
        <v>#REF!</v>
      </c>
      <c r="G63" s="179" t="e">
        <f>SUM(G8+G54)</f>
        <v>#REF!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20.25" customHeight="1" x14ac:dyDescent="0.25">
      <c r="A64" s="147" t="s">
        <v>353</v>
      </c>
      <c r="B64" s="225" t="s">
        <v>341</v>
      </c>
      <c r="C64" s="174" t="e">
        <f>SUM(C65+C70)</f>
        <v>#REF!</v>
      </c>
      <c r="D64" s="174">
        <f>SUM(D65+D70)</f>
        <v>1926031</v>
      </c>
      <c r="E64" s="174">
        <f>SUM(E65+E70)</f>
        <v>1101844</v>
      </c>
      <c r="F64" s="174">
        <f>SUM(F65+F70)</f>
        <v>1124844</v>
      </c>
      <c r="G64" s="174">
        <f>SUM(G65+G70)</f>
        <v>1120844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8" customHeight="1" x14ac:dyDescent="0.25">
      <c r="A65" s="14" t="s">
        <v>204</v>
      </c>
      <c r="B65" s="23" t="s">
        <v>8</v>
      </c>
      <c r="C65" s="148" t="e">
        <f>SUM(C66:C68)</f>
        <v>#REF!</v>
      </c>
      <c r="D65" s="148">
        <f>SUM(D66:D68)</f>
        <v>1375491</v>
      </c>
      <c r="E65" s="148">
        <f>SUM(E66:E68)</f>
        <v>865800</v>
      </c>
      <c r="F65" s="148">
        <f>SUM(F66:F68)</f>
        <v>897800</v>
      </c>
      <c r="G65" s="148">
        <f>SUM(G66:G68)</f>
        <v>908800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x14ac:dyDescent="0.2">
      <c r="A66" s="8"/>
      <c r="B66" s="14" t="s">
        <v>9</v>
      </c>
      <c r="C66" s="82" t="e">
        <f>SUM('8.Önk.'!#REF!)</f>
        <v>#REF!</v>
      </c>
      <c r="D66" s="82">
        <f>SUM('1.Bev-kiad.'!C66)</f>
        <v>984919</v>
      </c>
      <c r="E66" s="82">
        <v>600000</v>
      </c>
      <c r="F66" s="82">
        <v>610000</v>
      </c>
      <c r="G66" s="82">
        <v>620000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3.5" customHeight="1" thickBot="1" x14ac:dyDescent="0.25">
      <c r="A67" s="8"/>
      <c r="B67" s="8" t="s">
        <v>456</v>
      </c>
      <c r="C67" s="130" t="e">
        <f>SUM('9.Hivatal'!#REF!)</f>
        <v>#REF!</v>
      </c>
      <c r="D67" s="130">
        <f>SUM('1.Bev-kiad.'!C67)</f>
        <v>255051</v>
      </c>
      <c r="E67" s="130">
        <v>225000</v>
      </c>
      <c r="F67" s="130">
        <v>230000</v>
      </c>
      <c r="G67" s="130">
        <v>235000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3.5" customHeight="1" thickBot="1" x14ac:dyDescent="0.25">
      <c r="A68" s="8"/>
      <c r="B68" s="208" t="s">
        <v>207</v>
      </c>
      <c r="C68" s="287" t="e">
        <f>SUM('2.működés'!#REF!)</f>
        <v>#REF!</v>
      </c>
      <c r="D68" s="549">
        <f>SUM('1.Bev-kiad.'!C68)</f>
        <v>135521</v>
      </c>
      <c r="E68" s="549">
        <f>(38800+2000)</f>
        <v>40800</v>
      </c>
      <c r="F68" s="549">
        <f>(55800+2000)</f>
        <v>57800</v>
      </c>
      <c r="G68" s="549">
        <f>(51800+2000)</f>
        <v>53800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2.75" hidden="1" customHeight="1" x14ac:dyDescent="0.2">
      <c r="A69" s="8"/>
      <c r="B69" s="8" t="s">
        <v>430</v>
      </c>
      <c r="C69" s="267"/>
      <c r="D69" s="267"/>
      <c r="E69" s="267"/>
      <c r="F69" s="267"/>
      <c r="G69" s="267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8" customHeight="1" x14ac:dyDescent="0.25">
      <c r="A70" s="14" t="s">
        <v>205</v>
      </c>
      <c r="B70" s="23" t="s">
        <v>227</v>
      </c>
      <c r="C70" s="36" t="e">
        <f>SUM(C71:C73)</f>
        <v>#REF!</v>
      </c>
      <c r="D70" s="36">
        <f>SUM(D71:D73)</f>
        <v>550540</v>
      </c>
      <c r="E70" s="36">
        <f>SUM(E71:E73)</f>
        <v>236044</v>
      </c>
      <c r="F70" s="36">
        <f>SUM(F71:F73)</f>
        <v>227044</v>
      </c>
      <c r="G70" s="36">
        <f>SUM(G71:G73)</f>
        <v>212044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s="50" customFormat="1" ht="13.5" customHeight="1" x14ac:dyDescent="0.2">
      <c r="A71" s="8"/>
      <c r="B71" s="8" t="s">
        <v>335</v>
      </c>
      <c r="C71" s="13" t="e">
        <f>SUM('3.felh'!#REF!)</f>
        <v>#REF!</v>
      </c>
      <c r="D71" s="13">
        <f>SUM('1.Bev-kiad.'!C71)</f>
        <v>5648</v>
      </c>
      <c r="E71" s="13">
        <v>100000</v>
      </c>
      <c r="F71" s="13">
        <v>100000</v>
      </c>
      <c r="G71" s="13">
        <v>102000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s="50" customFormat="1" ht="13.5" customHeight="1" x14ac:dyDescent="0.2">
      <c r="A72" s="8"/>
      <c r="B72" s="8" t="s">
        <v>336</v>
      </c>
      <c r="C72" s="13" t="e">
        <f>SUM('3.felh'!#REF!)</f>
        <v>#REF!</v>
      </c>
      <c r="D72" s="13">
        <f>SUM('1.Bev-kiad.'!C72)</f>
        <v>544892</v>
      </c>
      <c r="E72" s="13">
        <v>120000</v>
      </c>
      <c r="F72" s="13">
        <v>97000</v>
      </c>
      <c r="G72" s="13">
        <v>80000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s="50" customFormat="1" ht="13.5" customHeight="1" x14ac:dyDescent="0.2">
      <c r="A73" s="8"/>
      <c r="B73" s="8" t="s">
        <v>337</v>
      </c>
      <c r="C73" s="13" t="e">
        <f>SUM(C74:C75)</f>
        <v>#REF!</v>
      </c>
      <c r="D73" s="13">
        <f>SUM(D74:D75)</f>
        <v>0</v>
      </c>
      <c r="E73" s="13">
        <f>SUM(E74:E75)</f>
        <v>16044</v>
      </c>
      <c r="F73" s="13">
        <f>SUM(F74:F75)</f>
        <v>30044</v>
      </c>
      <c r="G73" s="13">
        <f>SUM(G74:G75)</f>
        <v>30044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s="50" customFormat="1" ht="13.5" customHeight="1" thickBot="1" x14ac:dyDescent="0.25">
      <c r="A74" s="8"/>
      <c r="B74" s="8" t="s">
        <v>347</v>
      </c>
      <c r="C74" s="32" t="e">
        <f>SUM('3.felh'!#REF!)</f>
        <v>#REF!</v>
      </c>
      <c r="D74" s="32">
        <f>SUM('3.felh'!C81)</f>
        <v>0</v>
      </c>
      <c r="E74" s="32"/>
      <c r="F74" s="32"/>
      <c r="G74" s="3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s="50" customFormat="1" ht="13.5" customHeight="1" thickBot="1" x14ac:dyDescent="0.25">
      <c r="A75" s="8"/>
      <c r="B75" s="8" t="s">
        <v>348</v>
      </c>
      <c r="C75" s="287" t="e">
        <f>SUM('3.felh'!#REF!)</f>
        <v>#REF!</v>
      </c>
      <c r="D75" s="13">
        <f>SUM('1.Bev-kiad.'!C76)</f>
        <v>0</v>
      </c>
      <c r="E75" s="13">
        <f>(30000+44-14000)</f>
        <v>16044</v>
      </c>
      <c r="F75" s="13">
        <v>30044</v>
      </c>
      <c r="G75" s="13">
        <v>30044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s="50" customFormat="1" ht="22.5" customHeight="1" x14ac:dyDescent="0.25">
      <c r="A76" s="14" t="s">
        <v>206</v>
      </c>
      <c r="B76" s="172" t="s">
        <v>352</v>
      </c>
      <c r="C76" s="190" t="e">
        <f>SUM(C77+C81+C82)</f>
        <v>#REF!</v>
      </c>
      <c r="D76" s="190">
        <f>SUM(D77+D81+D82)</f>
        <v>77996</v>
      </c>
      <c r="E76" s="190">
        <f>SUM(E77+E81+E82)</f>
        <v>72156</v>
      </c>
      <c r="F76" s="190">
        <f>SUM(F77+F81+F82)</f>
        <v>72156</v>
      </c>
      <c r="G76" s="190">
        <f>SUM(G77+G81+G82)</f>
        <v>72156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s="50" customFormat="1" ht="15" customHeight="1" x14ac:dyDescent="0.25">
      <c r="A77" s="14"/>
      <c r="B77" s="189" t="s">
        <v>379</v>
      </c>
      <c r="C77" s="160" t="e">
        <f>SUM(C78)</f>
        <v>#REF!</v>
      </c>
      <c r="D77" s="160">
        <f>SUM(D78:D80)</f>
        <v>77996</v>
      </c>
      <c r="E77" s="160">
        <f>SUM(E78:E80)</f>
        <v>72156</v>
      </c>
      <c r="F77" s="160">
        <f>SUM(F78:F80)</f>
        <v>72156</v>
      </c>
      <c r="G77" s="160">
        <f>SUM(G78:G80)</f>
        <v>72156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s="50" customFormat="1" ht="12.75" customHeight="1" x14ac:dyDescent="0.2">
      <c r="A78" s="14" t="s">
        <v>386</v>
      </c>
      <c r="B78" s="8" t="s">
        <v>404</v>
      </c>
      <c r="C78" s="13" t="e">
        <f>SUM('2.működés'!#REF!)</f>
        <v>#REF!</v>
      </c>
      <c r="D78" s="13">
        <f>SUM('1.Bev-kiad.'!C79)</f>
        <v>19840</v>
      </c>
      <c r="E78" s="13">
        <v>14000</v>
      </c>
      <c r="F78" s="13">
        <v>14000</v>
      </c>
      <c r="G78" s="13">
        <v>14000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s="50" customFormat="1" ht="15.75" hidden="1" x14ac:dyDescent="0.25">
      <c r="A79" s="14"/>
      <c r="B79" s="224" t="s">
        <v>380</v>
      </c>
      <c r="C79" s="43"/>
      <c r="D79" s="43"/>
      <c r="E79" s="43"/>
      <c r="F79" s="43"/>
      <c r="G79" s="43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s="50" customFormat="1" ht="12.75" customHeight="1" x14ac:dyDescent="0.25">
      <c r="A80" s="14"/>
      <c r="B80" s="224" t="s">
        <v>890</v>
      </c>
      <c r="C80" s="43"/>
      <c r="D80" s="13">
        <f>SUM('1.Bev-kiad.'!C81)</f>
        <v>58156</v>
      </c>
      <c r="E80" s="13">
        <f>(20156+38000)</f>
        <v>58156</v>
      </c>
      <c r="F80" s="13">
        <f>(20156+38000)</f>
        <v>58156</v>
      </c>
      <c r="G80" s="13">
        <f>(20156+38000)</f>
        <v>58156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s="50" customFormat="1" ht="15" customHeight="1" x14ac:dyDescent="0.25">
      <c r="A81" s="14"/>
      <c r="B81" s="189" t="s">
        <v>381</v>
      </c>
      <c r="C81" s="43"/>
      <c r="D81" s="43"/>
      <c r="E81" s="43"/>
      <c r="F81" s="43"/>
      <c r="G81" s="43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s="50" customFormat="1" ht="15" customHeight="1" thickBot="1" x14ac:dyDescent="0.3">
      <c r="A82" s="22"/>
      <c r="B82" s="186" t="s">
        <v>382</v>
      </c>
      <c r="C82" s="171"/>
      <c r="D82" s="171"/>
      <c r="E82" s="171"/>
      <c r="F82" s="171"/>
      <c r="G82" s="17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21.75" customHeight="1" thickBot="1" x14ac:dyDescent="0.4">
      <c r="A83" s="264"/>
      <c r="B83" s="216" t="s">
        <v>55</v>
      </c>
      <c r="C83" s="179" t="e">
        <f>SUM(C64+C76)</f>
        <v>#REF!</v>
      </c>
      <c r="D83" s="179">
        <f>SUM(D64+D76)</f>
        <v>2004027</v>
      </c>
      <c r="E83" s="179">
        <f>SUM(E64+E76)</f>
        <v>1174000</v>
      </c>
      <c r="F83" s="179">
        <f>SUM(F64+F76)</f>
        <v>1197000</v>
      </c>
      <c r="G83" s="179">
        <f>SUM(G64+G76)</f>
        <v>1193000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4.25" hidden="1" customHeight="1" x14ac:dyDescent="0.2">
      <c r="C84" s="7" t="e">
        <f>SUM(C63-C83)</f>
        <v>#REF!</v>
      </c>
      <c r="D84" s="7" t="e">
        <f>SUM(D63-D83)</f>
        <v>#REF!</v>
      </c>
      <c r="E84" s="7"/>
      <c r="F84" s="7"/>
      <c r="G84" s="7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5.75" hidden="1" customHeight="1" x14ac:dyDescent="0.2">
      <c r="B85" s="2" t="s">
        <v>466</v>
      </c>
      <c r="C85" s="7" t="e">
        <f>SUM(C68+C75)</f>
        <v>#REF!</v>
      </c>
      <c r="D85" s="7">
        <f>SUM(D68+D75)</f>
        <v>135521</v>
      </c>
      <c r="E85" s="7"/>
      <c r="F85" s="7"/>
      <c r="G85" s="7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5.75" hidden="1" customHeight="1" x14ac:dyDescent="0.2">
      <c r="C86" s="7"/>
      <c r="D86" s="7" t="e">
        <f>SUM(D63-D83)</f>
        <v>#REF!</v>
      </c>
      <c r="E86" s="7" t="e">
        <f>SUM(E63-E83)</f>
        <v>#REF!</v>
      </c>
      <c r="F86" s="7" t="e">
        <f>SUM(F63-F83)</f>
        <v>#REF!</v>
      </c>
      <c r="G86" s="7" t="e">
        <f>SUM(G63-G83)</f>
        <v>#REF!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5.75" customHeight="1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5.75" customHeight="1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5.75" customHeight="1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5.75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5.75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5.75" customHeigh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5.75" customHeigh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5.75" customHeigh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5.75" customHeigh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5.75" customHeigh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2:21" ht="15.75" customHeight="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2:21" ht="15.75" customHeigh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2:21" ht="15.75" customHeigh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2:21" ht="15.75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2:21" ht="15.75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2:21" ht="15.75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2:21" ht="15.7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2:21" ht="15.7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2:21" ht="15.7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2:21" ht="15.7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2:21" ht="15.75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2:21" ht="15.7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2:21" ht="15.75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2:21" ht="15.75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2:21" ht="15.75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2:21" ht="15.75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2:21" ht="15.7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2:21" ht="15.7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2:21" ht="15.7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2:21" ht="15.7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2:21" ht="15.7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2:21" ht="15.7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2:21" ht="15.7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2:21" ht="15.75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2:21" ht="15.75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2:21" ht="15.75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2:21" ht="15.75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2:21" ht="15.75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2:21" ht="15.7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2:21" ht="15.75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2:21" ht="15.75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2:21" ht="15.75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2:21" ht="15.7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2:21" ht="15.7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2:21" ht="15.7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2:21" ht="15.7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2:21" ht="15.7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2:21" ht="15.7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2:21" ht="15.75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2:21" ht="15.75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2:21" ht="15.75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2:21" ht="15.75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2:21" ht="15.75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2:21" ht="15.75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2:21" ht="15.75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2:21" ht="15.75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2:21" ht="15.75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2:21" ht="15.75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2:21" ht="15.75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2:21" ht="15.75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2:21" ht="15.75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2:21" ht="15.75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2:21" ht="15.75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2:21" ht="15.75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2:21" ht="15.75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2:21" ht="15.75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2:21" ht="15.75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2:21" ht="15.75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2:21" ht="15.75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2:21" ht="15.75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2:21" ht="15.75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2:21" ht="15.75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2:21" ht="15.75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2:21" ht="15.75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2:21" ht="15.75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2:21" ht="15.75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2:21" ht="15.75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2:21" ht="15.75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2:21" ht="15.75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2:21" ht="15.75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2:21" ht="15.75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2:21" ht="15.75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2:21" ht="15.75" customHeight="1" x14ac:dyDescent="0.2">
      <c r="B169" s="2"/>
      <c r="C169" s="29"/>
      <c r="D169" s="29"/>
      <c r="E169" s="29"/>
      <c r="F169" s="29"/>
      <c r="G169" s="2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2:21" ht="15.75" customHeight="1" x14ac:dyDescent="0.2">
      <c r="B170" s="2"/>
      <c r="C170" s="29"/>
      <c r="D170" s="29"/>
      <c r="E170" s="29"/>
      <c r="F170" s="29"/>
      <c r="G170" s="2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2:21" ht="15.75" customHeight="1" x14ac:dyDescent="0.2">
      <c r="B171" s="2"/>
      <c r="C171" s="29"/>
      <c r="D171" s="29"/>
      <c r="E171" s="29"/>
      <c r="F171" s="29"/>
      <c r="G171" s="2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2:21" ht="15.75" customHeight="1" x14ac:dyDescent="0.2">
      <c r="B172" s="2"/>
      <c r="C172" s="29"/>
      <c r="D172" s="29"/>
      <c r="E172" s="29"/>
      <c r="F172" s="29"/>
      <c r="G172" s="2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2:21" ht="15.75" customHeight="1" x14ac:dyDescent="0.2">
      <c r="B173" s="2"/>
      <c r="C173" s="29"/>
      <c r="D173" s="29"/>
      <c r="E173" s="29"/>
      <c r="F173" s="29"/>
      <c r="G173" s="2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2:21" ht="15.75" customHeight="1" x14ac:dyDescent="0.2">
      <c r="B174" s="2"/>
      <c r="C174" s="29"/>
      <c r="D174" s="29"/>
      <c r="E174" s="29"/>
      <c r="F174" s="29"/>
      <c r="G174" s="2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2:21" ht="15.75" customHeight="1" x14ac:dyDescent="0.2">
      <c r="B175" s="2"/>
      <c r="C175" s="29"/>
      <c r="D175" s="29"/>
      <c r="E175" s="29"/>
      <c r="F175" s="29"/>
      <c r="G175" s="2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2:21" ht="15.75" customHeight="1" x14ac:dyDescent="0.2">
      <c r="B176" s="2"/>
      <c r="C176" s="29"/>
      <c r="D176" s="29"/>
      <c r="E176" s="29"/>
      <c r="F176" s="29"/>
      <c r="G176" s="2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2:21" ht="15.75" customHeight="1" x14ac:dyDescent="0.2">
      <c r="B177" s="2"/>
      <c r="C177" s="29"/>
      <c r="D177" s="29"/>
      <c r="E177" s="29"/>
      <c r="F177" s="29"/>
      <c r="G177" s="2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2:21" ht="15.75" customHeight="1" x14ac:dyDescent="0.2">
      <c r="B178" s="2"/>
      <c r="C178" s="29"/>
      <c r="D178" s="29"/>
      <c r="E178" s="29"/>
      <c r="F178" s="29"/>
      <c r="G178" s="2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2:21" ht="15.75" customHeight="1" x14ac:dyDescent="0.2">
      <c r="B179" s="2"/>
      <c r="C179" s="29"/>
      <c r="D179" s="29"/>
      <c r="E179" s="29"/>
      <c r="F179" s="29"/>
      <c r="G179" s="2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2:21" ht="15.75" customHeight="1" x14ac:dyDescent="0.2">
      <c r="B180" s="2"/>
      <c r="C180" s="29"/>
      <c r="D180" s="29"/>
      <c r="E180" s="29"/>
      <c r="F180" s="29"/>
      <c r="G180" s="2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2:21" ht="15.75" customHeight="1" x14ac:dyDescent="0.2">
      <c r="B181" s="2"/>
      <c r="C181" s="29"/>
      <c r="D181" s="29"/>
      <c r="E181" s="29"/>
      <c r="F181" s="29"/>
      <c r="G181" s="2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2:21" ht="15.75" customHeight="1" x14ac:dyDescent="0.2">
      <c r="B182" s="2"/>
      <c r="C182" s="29"/>
      <c r="D182" s="29"/>
      <c r="E182" s="29"/>
      <c r="F182" s="29"/>
      <c r="G182" s="2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2:21" ht="15.75" customHeight="1" x14ac:dyDescent="0.2">
      <c r="B183" s="2"/>
      <c r="C183" s="29"/>
      <c r="D183" s="29"/>
      <c r="E183" s="29"/>
      <c r="F183" s="29"/>
      <c r="G183" s="2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2:21" ht="15.75" customHeight="1" x14ac:dyDescent="0.2">
      <c r="B184" s="2"/>
      <c r="C184" s="29"/>
      <c r="D184" s="29"/>
      <c r="E184" s="29"/>
      <c r="F184" s="29"/>
      <c r="G184" s="2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2:21" ht="15.75" customHeight="1" x14ac:dyDescent="0.2">
      <c r="B185" s="2"/>
      <c r="C185" s="29"/>
      <c r="D185" s="29"/>
      <c r="E185" s="29"/>
      <c r="F185" s="29"/>
      <c r="G185" s="2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2:21" ht="15.75" customHeight="1" x14ac:dyDescent="0.2">
      <c r="B186" s="2"/>
      <c r="C186" s="29"/>
      <c r="D186" s="29"/>
      <c r="E186" s="29"/>
      <c r="F186" s="29"/>
      <c r="G186" s="2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2:21" ht="15.75" customHeight="1" x14ac:dyDescent="0.2">
      <c r="B187" s="2"/>
      <c r="C187" s="29"/>
      <c r="D187" s="29"/>
      <c r="E187" s="29"/>
      <c r="F187" s="29"/>
      <c r="G187" s="2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2:21" ht="15.75" customHeight="1" x14ac:dyDescent="0.2">
      <c r="B188" s="2"/>
      <c r="C188" s="29"/>
      <c r="D188" s="29"/>
      <c r="E188" s="29"/>
      <c r="F188" s="29"/>
      <c r="G188" s="2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2:21" ht="15.75" customHeight="1" x14ac:dyDescent="0.2">
      <c r="B189" s="2"/>
      <c r="C189" s="29"/>
      <c r="D189" s="29"/>
      <c r="E189" s="29"/>
      <c r="F189" s="29"/>
      <c r="G189" s="2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2:21" ht="15.75" customHeight="1" x14ac:dyDescent="0.2">
      <c r="B190" s="2"/>
      <c r="C190" s="29"/>
      <c r="D190" s="29"/>
      <c r="E190" s="29"/>
      <c r="F190" s="29"/>
      <c r="G190" s="2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2:21" ht="15.75" customHeight="1" x14ac:dyDescent="0.2">
      <c r="B191" s="2"/>
      <c r="C191" s="29"/>
      <c r="D191" s="29"/>
      <c r="E191" s="29"/>
      <c r="F191" s="29"/>
      <c r="G191" s="2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2:21" ht="15.75" customHeight="1" x14ac:dyDescent="0.2">
      <c r="B192" s="2"/>
      <c r="C192" s="29"/>
      <c r="D192" s="29"/>
      <c r="E192" s="29"/>
      <c r="F192" s="29"/>
      <c r="G192" s="2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2:21" ht="15.75" customHeight="1" x14ac:dyDescent="0.2">
      <c r="B193" s="2"/>
      <c r="C193" s="29"/>
      <c r="D193" s="29"/>
      <c r="E193" s="29"/>
      <c r="F193" s="29"/>
      <c r="G193" s="2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2:21" ht="15.75" customHeight="1" x14ac:dyDescent="0.2">
      <c r="B194" s="2"/>
      <c r="C194" s="29"/>
      <c r="D194" s="29"/>
      <c r="E194" s="29"/>
      <c r="F194" s="29"/>
      <c r="G194" s="2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2:21" ht="15.75" customHeight="1" x14ac:dyDescent="0.2">
      <c r="B195" s="2"/>
      <c r="C195" s="29"/>
      <c r="D195" s="29"/>
      <c r="E195" s="29"/>
      <c r="F195" s="29"/>
      <c r="G195" s="2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2:21" ht="15.75" customHeight="1" x14ac:dyDescent="0.2">
      <c r="B196" s="2"/>
      <c r="C196" s="29"/>
      <c r="D196" s="29"/>
      <c r="E196" s="29"/>
      <c r="F196" s="29"/>
      <c r="G196" s="2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2:21" ht="15.75" customHeight="1" x14ac:dyDescent="0.2">
      <c r="B197" s="2"/>
      <c r="C197" s="29"/>
      <c r="D197" s="29"/>
      <c r="E197" s="29"/>
      <c r="F197" s="29"/>
      <c r="G197" s="2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2:21" ht="15.75" customHeight="1" x14ac:dyDescent="0.2">
      <c r="B198" s="2"/>
      <c r="C198" s="29"/>
      <c r="D198" s="29"/>
      <c r="E198" s="29"/>
      <c r="F198" s="29"/>
      <c r="G198" s="2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2:21" ht="15.75" customHeight="1" x14ac:dyDescent="0.2">
      <c r="B199" s="2"/>
      <c r="C199" s="29"/>
      <c r="D199" s="29"/>
      <c r="E199" s="29"/>
      <c r="F199" s="29"/>
      <c r="G199" s="2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2:21" ht="15.75" customHeight="1" x14ac:dyDescent="0.2">
      <c r="B200" s="2"/>
      <c r="C200" s="29"/>
      <c r="D200" s="29"/>
      <c r="E200" s="29"/>
      <c r="F200" s="29"/>
      <c r="G200" s="2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2:21" ht="15.75" customHeight="1" x14ac:dyDescent="0.2">
      <c r="B201" s="2"/>
      <c r="C201" s="29"/>
      <c r="D201" s="29"/>
      <c r="E201" s="29"/>
      <c r="F201" s="29"/>
      <c r="G201" s="2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2:21" ht="15.75" customHeight="1" x14ac:dyDescent="0.2">
      <c r="B202" s="2"/>
      <c r="C202" s="29"/>
      <c r="D202" s="29"/>
      <c r="E202" s="29"/>
      <c r="F202" s="29"/>
      <c r="G202" s="2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2:21" ht="15.75" customHeight="1" x14ac:dyDescent="0.2">
      <c r="B203" s="2"/>
      <c r="C203" s="29"/>
      <c r="D203" s="29"/>
      <c r="E203" s="29"/>
      <c r="F203" s="29"/>
      <c r="G203" s="2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2:21" ht="15.75" customHeight="1" x14ac:dyDescent="0.2">
      <c r="B204" s="2"/>
      <c r="C204" s="29"/>
      <c r="D204" s="29"/>
      <c r="E204" s="29"/>
      <c r="F204" s="29"/>
      <c r="G204" s="2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2:21" ht="15.75" customHeight="1" x14ac:dyDescent="0.2">
      <c r="B205" s="2"/>
      <c r="C205" s="29"/>
      <c r="D205" s="29"/>
      <c r="E205" s="29"/>
      <c r="F205" s="29"/>
      <c r="G205" s="2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2:21" ht="15.75" customHeight="1" x14ac:dyDescent="0.2">
      <c r="B206" s="2"/>
      <c r="C206" s="29"/>
      <c r="D206" s="29"/>
      <c r="E206" s="29"/>
      <c r="F206" s="29"/>
      <c r="G206" s="2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2:21" ht="15.75" customHeight="1" x14ac:dyDescent="0.2">
      <c r="B207" s="2"/>
      <c r="C207" s="29"/>
      <c r="D207" s="29"/>
      <c r="E207" s="29"/>
      <c r="F207" s="29"/>
      <c r="G207" s="2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2:21" ht="15.75" customHeight="1" x14ac:dyDescent="0.2">
      <c r="B208" s="2"/>
      <c r="C208" s="29"/>
      <c r="D208" s="29"/>
      <c r="E208" s="29"/>
      <c r="F208" s="29"/>
      <c r="G208" s="2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2:21" ht="15.75" customHeight="1" x14ac:dyDescent="0.2">
      <c r="B209" s="2"/>
      <c r="C209" s="29"/>
      <c r="D209" s="29"/>
      <c r="E209" s="29"/>
      <c r="F209" s="29"/>
      <c r="G209" s="2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2:21" ht="15.75" customHeight="1" x14ac:dyDescent="0.2">
      <c r="B210" s="2"/>
      <c r="C210" s="29"/>
      <c r="D210" s="29"/>
      <c r="E210" s="29"/>
      <c r="F210" s="29"/>
      <c r="G210" s="2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2:21" ht="15.75" customHeight="1" x14ac:dyDescent="0.2">
      <c r="B211" s="2"/>
      <c r="C211" s="29"/>
      <c r="D211" s="29"/>
      <c r="E211" s="29"/>
      <c r="F211" s="29"/>
      <c r="G211" s="2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2:21" ht="15.75" customHeight="1" x14ac:dyDescent="0.2">
      <c r="B212" s="2"/>
      <c r="C212" s="29"/>
      <c r="D212" s="29"/>
      <c r="E212" s="29"/>
      <c r="F212" s="29"/>
      <c r="G212" s="2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2:21" ht="15.75" customHeight="1" x14ac:dyDescent="0.2">
      <c r="B213" s="2"/>
      <c r="C213" s="29"/>
      <c r="D213" s="29"/>
      <c r="E213" s="29"/>
      <c r="F213" s="29"/>
      <c r="G213" s="2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2:21" ht="15.75" customHeight="1" x14ac:dyDescent="0.2">
      <c r="B214" s="2"/>
      <c r="C214" s="29"/>
      <c r="D214" s="29"/>
      <c r="E214" s="29"/>
      <c r="F214" s="29"/>
      <c r="G214" s="2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2:21" ht="15.75" customHeight="1" x14ac:dyDescent="0.2">
      <c r="B215" s="2"/>
      <c r="C215" s="29"/>
      <c r="D215" s="29"/>
      <c r="E215" s="29"/>
      <c r="F215" s="29"/>
      <c r="G215" s="2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2:21" ht="15.75" customHeight="1" x14ac:dyDescent="0.2">
      <c r="B216" s="2"/>
      <c r="C216" s="29"/>
      <c r="D216" s="29"/>
      <c r="E216" s="29"/>
      <c r="F216" s="29"/>
      <c r="G216" s="2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2:21" ht="15.75" customHeight="1" x14ac:dyDescent="0.2">
      <c r="B217" s="2"/>
      <c r="C217" s="29"/>
      <c r="D217" s="29"/>
      <c r="E217" s="29"/>
      <c r="F217" s="29"/>
      <c r="G217" s="2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2:21" ht="15.75" customHeight="1" x14ac:dyDescent="0.2">
      <c r="B218" s="2"/>
      <c r="C218" s="29"/>
      <c r="D218" s="29"/>
      <c r="E218" s="29"/>
      <c r="F218" s="29"/>
      <c r="G218" s="2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2:21" ht="15.75" customHeight="1" x14ac:dyDescent="0.2">
      <c r="B219" s="2"/>
      <c r="C219" s="29"/>
      <c r="D219" s="29"/>
      <c r="E219" s="29"/>
      <c r="F219" s="29"/>
      <c r="G219" s="2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2:21" ht="15.75" customHeight="1" x14ac:dyDescent="0.2">
      <c r="B220" s="2"/>
      <c r="C220" s="29"/>
      <c r="D220" s="29"/>
      <c r="E220" s="29"/>
      <c r="F220" s="29"/>
      <c r="G220" s="2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2:21" ht="15.75" customHeight="1" x14ac:dyDescent="0.2">
      <c r="B221" s="2"/>
      <c r="C221" s="29"/>
      <c r="D221" s="29"/>
      <c r="E221" s="29"/>
      <c r="F221" s="29"/>
      <c r="G221" s="2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2:21" ht="15.75" customHeight="1" x14ac:dyDescent="0.2">
      <c r="B222" s="2"/>
      <c r="C222" s="29"/>
      <c r="D222" s="29"/>
      <c r="E222" s="29"/>
      <c r="F222" s="29"/>
      <c r="G222" s="2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2:21" ht="15.75" customHeight="1" x14ac:dyDescent="0.2">
      <c r="B223" s="2"/>
      <c r="C223" s="29"/>
      <c r="D223" s="29"/>
      <c r="E223" s="29"/>
      <c r="F223" s="29"/>
      <c r="G223" s="2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2:21" ht="15.75" customHeight="1" x14ac:dyDescent="0.2">
      <c r="B224" s="2"/>
      <c r="C224" s="29"/>
      <c r="D224" s="29"/>
      <c r="E224" s="29"/>
      <c r="F224" s="29"/>
      <c r="G224" s="2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2:21" ht="15.75" customHeight="1" x14ac:dyDescent="0.2">
      <c r="B225" s="2"/>
      <c r="C225" s="29"/>
      <c r="D225" s="29"/>
      <c r="E225" s="29"/>
      <c r="F225" s="29"/>
      <c r="G225" s="2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2:21" ht="15.75" customHeight="1" x14ac:dyDescent="0.2">
      <c r="B226" s="2"/>
      <c r="C226" s="29"/>
      <c r="D226" s="29"/>
      <c r="E226" s="29"/>
      <c r="F226" s="29"/>
      <c r="G226" s="2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2:21" ht="15.75" customHeight="1" x14ac:dyDescent="0.2">
      <c r="B227" s="2"/>
      <c r="C227" s="29"/>
      <c r="D227" s="29"/>
      <c r="E227" s="29"/>
      <c r="F227" s="29"/>
      <c r="G227" s="2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2:21" ht="15.75" customHeight="1" x14ac:dyDescent="0.2">
      <c r="B228" s="2"/>
      <c r="C228" s="29"/>
      <c r="D228" s="29"/>
      <c r="E228" s="29"/>
      <c r="F228" s="29"/>
      <c r="G228" s="2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2:21" ht="15.75" customHeight="1" x14ac:dyDescent="0.2">
      <c r="B229" s="2"/>
      <c r="C229" s="29"/>
      <c r="D229" s="29"/>
      <c r="E229" s="29"/>
      <c r="F229" s="29"/>
      <c r="G229" s="2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2:21" ht="15.75" customHeight="1" x14ac:dyDescent="0.2">
      <c r="B230" s="2"/>
      <c r="C230" s="29"/>
      <c r="D230" s="29"/>
      <c r="E230" s="29"/>
      <c r="F230" s="29"/>
      <c r="G230" s="2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2:21" ht="15.75" customHeight="1" x14ac:dyDescent="0.2">
      <c r="B231" s="2"/>
      <c r="C231" s="29"/>
      <c r="D231" s="29"/>
      <c r="E231" s="29"/>
      <c r="F231" s="29"/>
      <c r="G231" s="2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2:21" ht="15.75" customHeight="1" x14ac:dyDescent="0.2">
      <c r="B232" s="2"/>
      <c r="C232" s="29"/>
      <c r="D232" s="29"/>
      <c r="E232" s="29"/>
      <c r="F232" s="29"/>
      <c r="G232" s="2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2:21" ht="15.75" customHeight="1" x14ac:dyDescent="0.2">
      <c r="B233" s="2"/>
      <c r="C233" s="29"/>
      <c r="D233" s="29"/>
      <c r="E233" s="29"/>
      <c r="F233" s="29"/>
      <c r="G233" s="2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2:21" ht="15.75" customHeight="1" x14ac:dyDescent="0.2">
      <c r="B234" s="2"/>
      <c r="C234" s="29"/>
      <c r="D234" s="29"/>
      <c r="E234" s="29"/>
      <c r="F234" s="29"/>
      <c r="G234" s="2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2:21" ht="15.75" customHeight="1" x14ac:dyDescent="0.2">
      <c r="B235" s="2"/>
      <c r="C235" s="29"/>
      <c r="D235" s="29"/>
      <c r="E235" s="29"/>
      <c r="F235" s="29"/>
      <c r="G235" s="2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2:21" ht="15.75" customHeight="1" x14ac:dyDescent="0.2">
      <c r="B236" s="2"/>
      <c r="C236" s="29"/>
      <c r="D236" s="29"/>
      <c r="E236" s="29"/>
      <c r="F236" s="29"/>
      <c r="G236" s="2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2:21" ht="15.75" customHeight="1" x14ac:dyDescent="0.2">
      <c r="B237" s="2"/>
      <c r="C237" s="29"/>
      <c r="D237" s="29"/>
      <c r="E237" s="29"/>
      <c r="F237" s="29"/>
      <c r="G237" s="2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2:21" ht="15.75" customHeight="1" x14ac:dyDescent="0.2">
      <c r="B238" s="2"/>
      <c r="C238" s="29"/>
      <c r="D238" s="29"/>
      <c r="E238" s="29"/>
      <c r="F238" s="29"/>
      <c r="G238" s="2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2:21" ht="15.75" customHeight="1" x14ac:dyDescent="0.2">
      <c r="B239" s="2"/>
      <c r="C239" s="29"/>
      <c r="D239" s="29"/>
      <c r="E239" s="29"/>
      <c r="F239" s="29"/>
      <c r="G239" s="2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2:21" ht="15.75" customHeight="1" x14ac:dyDescent="0.2">
      <c r="B240" s="2"/>
      <c r="C240" s="29"/>
      <c r="D240" s="29"/>
      <c r="E240" s="29"/>
      <c r="F240" s="29"/>
      <c r="G240" s="2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 ht="15.75" customHeight="1" x14ac:dyDescent="0.2">
      <c r="B241" s="2"/>
      <c r="C241" s="29"/>
      <c r="D241" s="29"/>
      <c r="E241" s="29"/>
      <c r="F241" s="29"/>
      <c r="G241" s="2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 ht="15.75" customHeight="1" x14ac:dyDescent="0.2">
      <c r="B242" s="2"/>
      <c r="C242" s="29"/>
      <c r="D242" s="29"/>
      <c r="E242" s="29"/>
      <c r="F242" s="29"/>
      <c r="G242" s="2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 ht="15.75" customHeight="1" x14ac:dyDescent="0.2">
      <c r="B243" s="2"/>
      <c r="C243" s="29"/>
      <c r="D243" s="29"/>
      <c r="E243" s="29"/>
      <c r="F243" s="29"/>
      <c r="G243" s="2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 ht="15.75" customHeight="1" x14ac:dyDescent="0.2">
      <c r="B244" s="2"/>
      <c r="C244" s="29"/>
      <c r="D244" s="29"/>
      <c r="E244" s="29"/>
      <c r="F244" s="29"/>
      <c r="G244" s="2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 ht="15.75" customHeight="1" x14ac:dyDescent="0.2">
      <c r="B245" s="2"/>
      <c r="C245" s="29"/>
      <c r="D245" s="29"/>
      <c r="E245" s="29"/>
      <c r="F245" s="29"/>
      <c r="G245" s="2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 ht="15.75" customHeight="1" x14ac:dyDescent="0.2">
      <c r="B246" s="2"/>
      <c r="C246" s="29"/>
      <c r="D246" s="29"/>
      <c r="E246" s="29"/>
      <c r="F246" s="29"/>
      <c r="G246" s="2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 ht="15.75" customHeight="1" x14ac:dyDescent="0.2">
      <c r="B247" s="2"/>
      <c r="C247" s="29"/>
      <c r="D247" s="29"/>
      <c r="E247" s="29"/>
      <c r="F247" s="29"/>
      <c r="G247" s="2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 ht="15.75" customHeight="1" x14ac:dyDescent="0.2">
      <c r="B248" s="2"/>
      <c r="C248" s="29"/>
      <c r="D248" s="29"/>
      <c r="E248" s="29"/>
      <c r="F248" s="29"/>
      <c r="G248" s="2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 ht="15.75" customHeight="1" x14ac:dyDescent="0.2">
      <c r="B249" s="2"/>
      <c r="C249" s="29"/>
      <c r="D249" s="29"/>
      <c r="E249" s="29"/>
      <c r="F249" s="29"/>
      <c r="G249" s="2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2:21" ht="15.75" customHeight="1" x14ac:dyDescent="0.2">
      <c r="B250" s="2"/>
      <c r="C250" s="29"/>
      <c r="D250" s="29"/>
      <c r="E250" s="29"/>
      <c r="F250" s="29"/>
      <c r="G250" s="2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2:21" ht="15.75" customHeight="1" x14ac:dyDescent="0.2">
      <c r="B251" s="2"/>
      <c r="C251" s="29"/>
      <c r="D251" s="29"/>
      <c r="E251" s="29"/>
      <c r="F251" s="29"/>
      <c r="G251" s="2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2:21" ht="15.75" customHeight="1" x14ac:dyDescent="0.2">
      <c r="B252" s="2"/>
      <c r="C252" s="29"/>
      <c r="D252" s="29"/>
      <c r="E252" s="29"/>
      <c r="F252" s="29"/>
      <c r="G252" s="2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2:21" ht="15.75" customHeight="1" x14ac:dyDescent="0.2">
      <c r="B253" s="2"/>
      <c r="C253" s="29"/>
      <c r="D253" s="29"/>
      <c r="E253" s="29"/>
      <c r="F253" s="29"/>
      <c r="G253" s="2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2:21" ht="15.75" customHeight="1" x14ac:dyDescent="0.2">
      <c r="B254" s="2"/>
      <c r="C254" s="29"/>
      <c r="D254" s="29"/>
      <c r="E254" s="29"/>
      <c r="F254" s="29"/>
      <c r="G254" s="2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2:21" ht="15.75" customHeight="1" x14ac:dyDescent="0.2">
      <c r="B255" s="2"/>
      <c r="C255" s="29"/>
      <c r="D255" s="29"/>
      <c r="E255" s="29"/>
      <c r="F255" s="29"/>
      <c r="G255" s="2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2:21" ht="15.75" customHeight="1" x14ac:dyDescent="0.2">
      <c r="B256" s="2"/>
      <c r="C256" s="29"/>
      <c r="D256" s="29"/>
      <c r="E256" s="29"/>
      <c r="F256" s="29"/>
      <c r="G256" s="2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2:21" ht="15.75" customHeight="1" x14ac:dyDescent="0.2">
      <c r="B257" s="2"/>
      <c r="C257" s="29"/>
      <c r="D257" s="29"/>
      <c r="E257" s="29"/>
      <c r="F257" s="29"/>
      <c r="G257" s="2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2:21" ht="15.75" customHeight="1" x14ac:dyDescent="0.2">
      <c r="B258" s="2"/>
      <c r="C258" s="29"/>
      <c r="D258" s="29"/>
      <c r="E258" s="29"/>
      <c r="F258" s="29"/>
      <c r="G258" s="2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2:21" ht="15.75" customHeight="1" x14ac:dyDescent="0.2">
      <c r="B259" s="2"/>
      <c r="C259" s="29"/>
      <c r="D259" s="29"/>
      <c r="E259" s="29"/>
      <c r="F259" s="29"/>
      <c r="G259" s="2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2:21" ht="15.75" customHeight="1" x14ac:dyDescent="0.2">
      <c r="B260" s="2"/>
      <c r="C260" s="29"/>
      <c r="D260" s="29"/>
      <c r="E260" s="29"/>
      <c r="F260" s="29"/>
      <c r="G260" s="2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2:21" ht="15.75" customHeight="1" x14ac:dyDescent="0.2">
      <c r="B261" s="2"/>
      <c r="C261" s="29"/>
      <c r="D261" s="29"/>
      <c r="E261" s="29"/>
      <c r="F261" s="29"/>
      <c r="G261" s="2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2:21" ht="15.75" customHeight="1" x14ac:dyDescent="0.2">
      <c r="B262" s="2"/>
      <c r="C262" s="29"/>
      <c r="D262" s="29"/>
      <c r="E262" s="29"/>
      <c r="F262" s="29"/>
      <c r="G262" s="2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2:21" ht="15.75" customHeight="1" x14ac:dyDescent="0.2">
      <c r="B263" s="2"/>
      <c r="C263" s="29"/>
      <c r="D263" s="29"/>
      <c r="E263" s="29"/>
      <c r="F263" s="29"/>
      <c r="G263" s="2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2:21" ht="15.75" customHeight="1" x14ac:dyDescent="0.2">
      <c r="B264" s="2"/>
      <c r="C264" s="29"/>
      <c r="D264" s="29"/>
      <c r="E264" s="29"/>
      <c r="F264" s="29"/>
      <c r="G264" s="2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2:21" ht="15.75" customHeight="1" x14ac:dyDescent="0.2">
      <c r="B265" s="2"/>
      <c r="C265" s="29"/>
      <c r="D265" s="29"/>
      <c r="E265" s="29"/>
      <c r="F265" s="29"/>
      <c r="G265" s="2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2:21" ht="15.75" customHeight="1" x14ac:dyDescent="0.2">
      <c r="B266" s="2"/>
      <c r="C266" s="29"/>
      <c r="D266" s="29"/>
      <c r="E266" s="29"/>
      <c r="F266" s="29"/>
      <c r="G266" s="2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2:21" ht="15.75" customHeight="1" x14ac:dyDescent="0.2">
      <c r="B267" s="2"/>
      <c r="C267" s="29"/>
      <c r="D267" s="29"/>
      <c r="E267" s="29"/>
      <c r="F267" s="29"/>
      <c r="G267" s="2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2:21" ht="15.75" customHeight="1" x14ac:dyDescent="0.2">
      <c r="B268" s="2"/>
      <c r="C268" s="29"/>
      <c r="D268" s="29"/>
      <c r="E268" s="29"/>
      <c r="F268" s="29"/>
      <c r="G268" s="2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2:21" ht="15.75" customHeight="1" x14ac:dyDescent="0.2">
      <c r="B269" s="2"/>
      <c r="C269" s="29"/>
      <c r="D269" s="29"/>
      <c r="E269" s="29"/>
      <c r="F269" s="29"/>
      <c r="G269" s="2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2:21" ht="15.75" customHeight="1" x14ac:dyDescent="0.2">
      <c r="B270" s="2"/>
      <c r="C270" s="29"/>
      <c r="D270" s="29"/>
      <c r="E270" s="29"/>
      <c r="F270" s="29"/>
      <c r="G270" s="2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2:21" ht="15.75" customHeight="1" x14ac:dyDescent="0.2">
      <c r="B271" s="2"/>
      <c r="C271" s="29"/>
      <c r="D271" s="29"/>
      <c r="E271" s="29"/>
      <c r="F271" s="29"/>
      <c r="G271" s="2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2:21" ht="15.75" customHeight="1" x14ac:dyDescent="0.2">
      <c r="B272" s="2"/>
      <c r="C272" s="29"/>
      <c r="D272" s="29"/>
      <c r="E272" s="29"/>
      <c r="F272" s="29"/>
      <c r="G272" s="2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2:21" ht="15.75" customHeight="1" x14ac:dyDescent="0.2">
      <c r="B273" s="2"/>
      <c r="C273" s="29"/>
      <c r="D273" s="29"/>
      <c r="E273" s="29"/>
      <c r="F273" s="29"/>
      <c r="G273" s="2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2:21" ht="15.75" customHeight="1" x14ac:dyDescent="0.2">
      <c r="B274" s="2"/>
      <c r="C274" s="29"/>
      <c r="D274" s="29"/>
      <c r="E274" s="29"/>
      <c r="F274" s="29"/>
      <c r="G274" s="2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2:21" ht="15.75" customHeight="1" x14ac:dyDescent="0.2">
      <c r="B275" s="2"/>
      <c r="C275" s="29"/>
      <c r="D275" s="29"/>
      <c r="E275" s="29"/>
      <c r="F275" s="29"/>
      <c r="G275" s="2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2:21" ht="15.75" customHeight="1" x14ac:dyDescent="0.2">
      <c r="B276" s="2"/>
      <c r="C276" s="29"/>
      <c r="D276" s="29"/>
      <c r="E276" s="29"/>
      <c r="F276" s="29"/>
      <c r="G276" s="2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2:21" ht="15.75" customHeight="1" x14ac:dyDescent="0.2">
      <c r="B277" s="2"/>
      <c r="C277" s="29"/>
      <c r="D277" s="29"/>
      <c r="E277" s="29"/>
      <c r="F277" s="29"/>
      <c r="G277" s="2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2:21" ht="15.75" customHeight="1" x14ac:dyDescent="0.2">
      <c r="B278" s="2"/>
      <c r="C278" s="29"/>
      <c r="D278" s="29"/>
      <c r="E278" s="29"/>
      <c r="F278" s="29"/>
      <c r="G278" s="2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2:21" ht="15.75" customHeight="1" x14ac:dyDescent="0.2">
      <c r="B279" s="2"/>
      <c r="C279" s="29"/>
      <c r="D279" s="29"/>
      <c r="E279" s="29"/>
      <c r="F279" s="29"/>
      <c r="G279" s="2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2:21" ht="15.75" customHeight="1" x14ac:dyDescent="0.2">
      <c r="B280" s="2"/>
      <c r="C280" s="29"/>
      <c r="D280" s="29"/>
      <c r="E280" s="29"/>
      <c r="F280" s="29"/>
      <c r="G280" s="2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2:21" ht="15.75" customHeight="1" x14ac:dyDescent="0.2">
      <c r="B281" s="2"/>
      <c r="C281" s="29"/>
      <c r="D281" s="29"/>
      <c r="E281" s="29"/>
      <c r="F281" s="29"/>
      <c r="G281" s="2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2:21" ht="15.75" customHeight="1" x14ac:dyDescent="0.2">
      <c r="B282" s="2"/>
      <c r="C282" s="29"/>
      <c r="D282" s="29"/>
      <c r="E282" s="29"/>
      <c r="F282" s="29"/>
      <c r="G282" s="2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2:21" ht="15.75" customHeight="1" x14ac:dyDescent="0.2">
      <c r="B283" s="2"/>
      <c r="C283" s="29"/>
      <c r="D283" s="29"/>
      <c r="E283" s="29"/>
      <c r="F283" s="29"/>
      <c r="G283" s="2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2:21" ht="15.75" customHeight="1" x14ac:dyDescent="0.2">
      <c r="B284" s="2"/>
      <c r="C284" s="29"/>
      <c r="D284" s="29"/>
      <c r="E284" s="29"/>
      <c r="F284" s="29"/>
      <c r="G284" s="2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2:21" ht="15.75" customHeight="1" x14ac:dyDescent="0.2">
      <c r="B285" s="2"/>
      <c r="C285" s="29"/>
      <c r="D285" s="29"/>
      <c r="E285" s="29"/>
      <c r="F285" s="29"/>
      <c r="G285" s="2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2:21" ht="15.75" customHeight="1" x14ac:dyDescent="0.2">
      <c r="B286" s="2"/>
      <c r="C286" s="29"/>
      <c r="D286" s="29"/>
      <c r="E286" s="29"/>
      <c r="F286" s="29"/>
      <c r="G286" s="2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2:21" ht="15.75" customHeight="1" x14ac:dyDescent="0.2">
      <c r="B287" s="2"/>
      <c r="C287" s="29"/>
      <c r="D287" s="29"/>
      <c r="E287" s="29"/>
      <c r="F287" s="29"/>
      <c r="G287" s="2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2:21" ht="15.75" customHeight="1" x14ac:dyDescent="0.2">
      <c r="B288" s="2"/>
      <c r="C288" s="29"/>
      <c r="D288" s="29"/>
      <c r="E288" s="29"/>
      <c r="F288" s="29"/>
      <c r="G288" s="2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2:21" ht="15.75" customHeight="1" x14ac:dyDescent="0.2">
      <c r="B289" s="2"/>
      <c r="C289" s="29"/>
      <c r="D289" s="29"/>
      <c r="E289" s="29"/>
      <c r="F289" s="29"/>
      <c r="G289" s="2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2:21" ht="15.75" customHeight="1" x14ac:dyDescent="0.2">
      <c r="B290" s="2"/>
      <c r="C290" s="29"/>
      <c r="D290" s="29"/>
      <c r="E290" s="29"/>
      <c r="F290" s="29"/>
      <c r="G290" s="2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2:21" ht="15.75" customHeight="1" x14ac:dyDescent="0.2">
      <c r="B291" s="2"/>
      <c r="C291" s="29"/>
      <c r="D291" s="29"/>
      <c r="E291" s="29"/>
      <c r="F291" s="29"/>
      <c r="G291" s="2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2:21" ht="15.75" customHeight="1" x14ac:dyDescent="0.2">
      <c r="B292" s="2"/>
      <c r="C292" s="29"/>
      <c r="D292" s="29"/>
      <c r="E292" s="29"/>
      <c r="F292" s="29"/>
      <c r="G292" s="2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2:21" ht="15.75" customHeight="1" x14ac:dyDescent="0.2">
      <c r="B293" s="2"/>
      <c r="C293" s="29"/>
      <c r="D293" s="29"/>
      <c r="E293" s="29"/>
      <c r="F293" s="29"/>
      <c r="G293" s="2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2:21" ht="15.75" customHeight="1" x14ac:dyDescent="0.2">
      <c r="B294" s="2"/>
      <c r="C294" s="29"/>
      <c r="D294" s="29"/>
      <c r="E294" s="29"/>
      <c r="F294" s="29"/>
      <c r="G294" s="2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2:21" ht="15.75" customHeight="1" x14ac:dyDescent="0.2">
      <c r="B295" s="2"/>
      <c r="C295" s="29"/>
      <c r="D295" s="29"/>
      <c r="E295" s="29"/>
      <c r="F295" s="29"/>
      <c r="G295" s="2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2:21" ht="15.75" customHeight="1" x14ac:dyDescent="0.2">
      <c r="B296" s="2"/>
      <c r="C296" s="29"/>
      <c r="D296" s="29"/>
      <c r="E296" s="29"/>
      <c r="F296" s="29"/>
      <c r="G296" s="2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2:21" ht="15.75" customHeight="1" x14ac:dyDescent="0.2">
      <c r="B297" s="2"/>
      <c r="C297" s="29"/>
      <c r="D297" s="29"/>
      <c r="E297" s="29"/>
      <c r="F297" s="29"/>
      <c r="G297" s="2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2:21" ht="15.75" customHeight="1" x14ac:dyDescent="0.2">
      <c r="B298" s="2"/>
      <c r="C298" s="29"/>
      <c r="D298" s="29"/>
      <c r="E298" s="29"/>
      <c r="F298" s="29"/>
      <c r="G298" s="2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2:21" ht="15.75" customHeight="1" x14ac:dyDescent="0.2">
      <c r="B299" s="2"/>
      <c r="C299" s="29"/>
      <c r="D299" s="29"/>
      <c r="E299" s="29"/>
      <c r="F299" s="29"/>
      <c r="G299" s="2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2:21" ht="15.75" customHeight="1" x14ac:dyDescent="0.2">
      <c r="B300" s="2"/>
      <c r="C300" s="29"/>
      <c r="D300" s="29"/>
      <c r="E300" s="29"/>
      <c r="F300" s="29"/>
      <c r="G300" s="2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2:21" ht="15.75" customHeight="1" x14ac:dyDescent="0.2">
      <c r="B301" s="2"/>
      <c r="C301" s="29"/>
      <c r="D301" s="29"/>
      <c r="E301" s="29"/>
      <c r="F301" s="29"/>
      <c r="G301" s="2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2:21" ht="15.75" customHeight="1" x14ac:dyDescent="0.2">
      <c r="B302" s="2"/>
      <c r="C302" s="29"/>
      <c r="D302" s="29"/>
      <c r="E302" s="29"/>
      <c r="F302" s="29"/>
      <c r="G302" s="2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2:21" ht="15.75" customHeight="1" x14ac:dyDescent="0.2">
      <c r="B303" s="2"/>
      <c r="C303" s="29"/>
      <c r="D303" s="29"/>
      <c r="E303" s="29"/>
      <c r="F303" s="29"/>
      <c r="G303" s="2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2:21" ht="15.75" customHeight="1" x14ac:dyDescent="0.2">
      <c r="B304" s="2"/>
      <c r="C304" s="29"/>
      <c r="D304" s="29"/>
      <c r="E304" s="29"/>
      <c r="F304" s="29"/>
      <c r="G304" s="2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2:21" ht="15.75" customHeight="1" x14ac:dyDescent="0.2">
      <c r="B305" s="2"/>
      <c r="C305" s="29"/>
      <c r="D305" s="29"/>
      <c r="E305" s="29"/>
      <c r="F305" s="29"/>
      <c r="G305" s="2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2:21" ht="15.75" customHeight="1" x14ac:dyDescent="0.2">
      <c r="B306" s="2"/>
      <c r="C306" s="29"/>
      <c r="D306" s="29"/>
      <c r="E306" s="29"/>
      <c r="F306" s="29"/>
      <c r="G306" s="2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2:21" ht="15.75" customHeight="1" x14ac:dyDescent="0.2">
      <c r="B307" s="2"/>
      <c r="C307" s="29"/>
      <c r="D307" s="29"/>
      <c r="E307" s="29"/>
      <c r="F307" s="29"/>
      <c r="G307" s="2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2:21" ht="15.75" customHeight="1" x14ac:dyDescent="0.2">
      <c r="B308" s="2"/>
      <c r="C308" s="29"/>
      <c r="D308" s="29"/>
      <c r="E308" s="29"/>
      <c r="F308" s="29"/>
      <c r="G308" s="2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2:21" ht="15.75" customHeight="1" x14ac:dyDescent="0.2">
      <c r="B309" s="2"/>
      <c r="C309" s="29"/>
      <c r="D309" s="29"/>
      <c r="E309" s="29"/>
      <c r="F309" s="29"/>
      <c r="G309" s="2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2:21" ht="15.75" customHeight="1" x14ac:dyDescent="0.2">
      <c r="B310" s="2"/>
      <c r="C310" s="29"/>
      <c r="D310" s="29"/>
      <c r="E310" s="29"/>
      <c r="F310" s="29"/>
      <c r="G310" s="2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2:21" ht="15.75" customHeight="1" x14ac:dyDescent="0.2">
      <c r="B311" s="2"/>
      <c r="C311" s="29"/>
      <c r="D311" s="29"/>
      <c r="E311" s="29"/>
      <c r="F311" s="29"/>
      <c r="G311" s="2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2:21" ht="15.75" customHeight="1" x14ac:dyDescent="0.2">
      <c r="B312" s="2"/>
      <c r="C312" s="29"/>
      <c r="D312" s="29"/>
      <c r="E312" s="29"/>
      <c r="F312" s="29"/>
      <c r="G312" s="2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2:21" ht="15.75" customHeight="1" x14ac:dyDescent="0.2">
      <c r="B313" s="2"/>
      <c r="C313" s="29"/>
      <c r="D313" s="29"/>
      <c r="E313" s="29"/>
      <c r="F313" s="29"/>
      <c r="G313" s="2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2:21" ht="15.75" customHeight="1" x14ac:dyDescent="0.2">
      <c r="B314" s="2"/>
      <c r="C314" s="29"/>
      <c r="D314" s="29"/>
      <c r="E314" s="29"/>
      <c r="F314" s="29"/>
      <c r="G314" s="2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2:21" ht="15.75" customHeight="1" x14ac:dyDescent="0.2">
      <c r="B315" s="2"/>
      <c r="C315" s="29"/>
      <c r="D315" s="29"/>
      <c r="E315" s="29"/>
      <c r="F315" s="29"/>
      <c r="G315" s="2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2:21" ht="15.75" customHeight="1" x14ac:dyDescent="0.2">
      <c r="B316" s="2"/>
      <c r="C316" s="29"/>
      <c r="D316" s="29"/>
      <c r="E316" s="29"/>
      <c r="F316" s="29"/>
      <c r="G316" s="2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2:21" ht="15.75" customHeight="1" x14ac:dyDescent="0.2">
      <c r="B317" s="2"/>
      <c r="C317" s="29"/>
      <c r="D317" s="29"/>
      <c r="E317" s="29"/>
      <c r="F317" s="29"/>
      <c r="G317" s="2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2:21" ht="15.75" customHeight="1" x14ac:dyDescent="0.2">
      <c r="B318" s="2"/>
      <c r="C318" s="29"/>
      <c r="D318" s="29"/>
      <c r="E318" s="29"/>
      <c r="F318" s="29"/>
      <c r="G318" s="2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2:21" ht="15.75" customHeight="1" x14ac:dyDescent="0.2">
      <c r="B319" s="2"/>
      <c r="C319" s="29"/>
      <c r="D319" s="29"/>
      <c r="E319" s="29"/>
      <c r="F319" s="29"/>
      <c r="G319" s="2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2:21" ht="15.75" customHeight="1" x14ac:dyDescent="0.2">
      <c r="B320" s="2"/>
      <c r="C320" s="29"/>
      <c r="D320" s="29"/>
      <c r="E320" s="29"/>
      <c r="F320" s="29"/>
      <c r="G320" s="2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2:21" ht="15.75" customHeight="1" x14ac:dyDescent="0.2">
      <c r="B321" s="2"/>
      <c r="C321" s="29"/>
      <c r="D321" s="29"/>
      <c r="E321" s="29"/>
      <c r="F321" s="29"/>
      <c r="G321" s="2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2:21" ht="15.75" customHeight="1" x14ac:dyDescent="0.2">
      <c r="B322" s="2"/>
      <c r="C322" s="29"/>
      <c r="D322" s="29"/>
      <c r="E322" s="29"/>
      <c r="F322" s="29"/>
      <c r="G322" s="2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2:21" ht="15.75" customHeight="1" x14ac:dyDescent="0.2">
      <c r="B323" s="2"/>
      <c r="C323" s="29"/>
      <c r="D323" s="29"/>
      <c r="E323" s="29"/>
      <c r="F323" s="29"/>
      <c r="G323" s="2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2:21" ht="15.75" customHeight="1" x14ac:dyDescent="0.2">
      <c r="B324" s="2"/>
      <c r="C324" s="29"/>
      <c r="D324" s="29"/>
      <c r="E324" s="29"/>
      <c r="F324" s="29"/>
      <c r="G324" s="2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2:21" ht="15.75" customHeight="1" x14ac:dyDescent="0.2">
      <c r="B325" s="2"/>
      <c r="C325" s="29"/>
      <c r="D325" s="29"/>
      <c r="E325" s="29"/>
      <c r="F325" s="29"/>
      <c r="G325" s="2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2:21" ht="15.75" customHeight="1" x14ac:dyDescent="0.2">
      <c r="B326" s="2"/>
      <c r="C326" s="29"/>
      <c r="D326" s="29"/>
      <c r="E326" s="29"/>
      <c r="F326" s="29"/>
      <c r="G326" s="2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2:21" ht="15.75" customHeight="1" x14ac:dyDescent="0.2">
      <c r="B327" s="2"/>
      <c r="C327" s="29"/>
      <c r="D327" s="29"/>
      <c r="E327" s="29"/>
      <c r="F327" s="29"/>
      <c r="G327" s="2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2:21" ht="15.75" customHeight="1" x14ac:dyDescent="0.2">
      <c r="B328" s="2"/>
      <c r="C328" s="29"/>
      <c r="D328" s="29"/>
      <c r="E328" s="29"/>
      <c r="F328" s="29"/>
      <c r="G328" s="2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2:21" ht="15.75" customHeight="1" x14ac:dyDescent="0.2">
      <c r="B329" s="2"/>
      <c r="C329" s="29"/>
      <c r="D329" s="29"/>
      <c r="E329" s="29"/>
      <c r="F329" s="29"/>
      <c r="G329" s="2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2:21" ht="15.75" customHeight="1" x14ac:dyDescent="0.2">
      <c r="B330" s="2"/>
      <c r="C330" s="29"/>
      <c r="D330" s="29"/>
      <c r="E330" s="29"/>
      <c r="F330" s="29"/>
      <c r="G330" s="2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2:21" ht="15.75" customHeight="1" x14ac:dyDescent="0.2">
      <c r="B331" s="2"/>
      <c r="C331" s="29"/>
      <c r="D331" s="29"/>
      <c r="E331" s="29"/>
      <c r="F331" s="29"/>
      <c r="G331" s="2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2:21" ht="15.75" customHeight="1" x14ac:dyDescent="0.2">
      <c r="B332" s="2"/>
      <c r="C332" s="29"/>
      <c r="D332" s="29"/>
      <c r="E332" s="29"/>
      <c r="F332" s="29"/>
      <c r="G332" s="2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2:21" ht="15.75" customHeight="1" x14ac:dyDescent="0.2">
      <c r="B333" s="2"/>
      <c r="C333" s="29"/>
      <c r="D333" s="29"/>
      <c r="E333" s="29"/>
      <c r="F333" s="29"/>
      <c r="G333" s="2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2:21" ht="15.75" customHeight="1" x14ac:dyDescent="0.2">
      <c r="B334" s="2"/>
      <c r="C334" s="29"/>
      <c r="D334" s="29"/>
      <c r="E334" s="29"/>
      <c r="F334" s="29"/>
      <c r="G334" s="2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2:21" ht="15.75" customHeight="1" x14ac:dyDescent="0.2">
      <c r="B335" s="2"/>
      <c r="C335" s="29"/>
      <c r="D335" s="29"/>
      <c r="E335" s="29"/>
      <c r="F335" s="29"/>
      <c r="G335" s="2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2:21" ht="15.75" customHeight="1" x14ac:dyDescent="0.2">
      <c r="B336" s="2"/>
      <c r="C336" s="29"/>
      <c r="D336" s="29"/>
      <c r="E336" s="29"/>
      <c r="F336" s="29"/>
      <c r="G336" s="2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2:21" ht="15.75" customHeight="1" x14ac:dyDescent="0.2">
      <c r="B337" s="2"/>
      <c r="C337" s="29"/>
      <c r="D337" s="29"/>
      <c r="E337" s="29"/>
      <c r="F337" s="29"/>
      <c r="G337" s="2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2:21" ht="15.75" customHeight="1" x14ac:dyDescent="0.2">
      <c r="B338" s="2"/>
      <c r="C338" s="29"/>
      <c r="D338" s="29"/>
      <c r="E338" s="29"/>
      <c r="F338" s="29"/>
      <c r="G338" s="2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2:21" ht="15.75" customHeight="1" x14ac:dyDescent="0.2">
      <c r="B339" s="2"/>
      <c r="C339" s="29"/>
      <c r="D339" s="29"/>
      <c r="E339" s="29"/>
      <c r="F339" s="29"/>
      <c r="G339" s="2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2:21" ht="15.75" customHeight="1" x14ac:dyDescent="0.2">
      <c r="B340" s="2"/>
      <c r="C340" s="29"/>
      <c r="D340" s="29"/>
      <c r="E340" s="29"/>
      <c r="F340" s="29"/>
      <c r="G340" s="2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2:21" ht="15.75" customHeight="1" x14ac:dyDescent="0.2">
      <c r="B341" s="2"/>
      <c r="C341" s="29"/>
      <c r="D341" s="29"/>
      <c r="E341" s="29"/>
      <c r="F341" s="29"/>
      <c r="G341" s="2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2:21" ht="15.75" customHeight="1" x14ac:dyDescent="0.2">
      <c r="B342" s="2"/>
      <c r="C342" s="29"/>
      <c r="D342" s="29"/>
      <c r="E342" s="29"/>
      <c r="F342" s="29"/>
      <c r="G342" s="2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2:21" ht="15.75" customHeight="1" x14ac:dyDescent="0.2">
      <c r="B343" s="2"/>
      <c r="C343" s="29"/>
      <c r="D343" s="29"/>
      <c r="E343" s="29"/>
      <c r="F343" s="29"/>
      <c r="G343" s="2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2:21" ht="15.75" customHeight="1" x14ac:dyDescent="0.2">
      <c r="B344" s="2"/>
      <c r="C344" s="29"/>
      <c r="D344" s="29"/>
      <c r="E344" s="29"/>
      <c r="F344" s="29"/>
      <c r="G344" s="2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2:21" ht="15.75" customHeight="1" x14ac:dyDescent="0.2">
      <c r="B345" s="2"/>
      <c r="C345" s="29"/>
      <c r="D345" s="29"/>
      <c r="E345" s="29"/>
      <c r="F345" s="29"/>
      <c r="G345" s="2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2:21" ht="15.75" customHeight="1" x14ac:dyDescent="0.2">
      <c r="B346" s="2"/>
      <c r="C346" s="29"/>
      <c r="D346" s="29"/>
      <c r="E346" s="29"/>
      <c r="F346" s="29"/>
      <c r="G346" s="2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2:21" ht="15.75" customHeight="1" x14ac:dyDescent="0.2">
      <c r="B347" s="2"/>
      <c r="C347" s="29"/>
      <c r="D347" s="29"/>
      <c r="E347" s="29"/>
      <c r="F347" s="29"/>
      <c r="G347" s="2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2:21" ht="15.75" customHeight="1" x14ac:dyDescent="0.2">
      <c r="B348" s="2"/>
      <c r="C348" s="29"/>
      <c r="D348" s="29"/>
      <c r="E348" s="29"/>
      <c r="F348" s="29"/>
      <c r="G348" s="2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2:21" ht="15.75" customHeight="1" x14ac:dyDescent="0.2">
      <c r="B349" s="2"/>
      <c r="C349" s="29"/>
      <c r="D349" s="29"/>
      <c r="E349" s="29"/>
      <c r="F349" s="29"/>
      <c r="G349" s="2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2:21" ht="15.75" customHeight="1" x14ac:dyDescent="0.2">
      <c r="B350" s="2"/>
      <c r="C350" s="29"/>
      <c r="D350" s="29"/>
      <c r="E350" s="29"/>
      <c r="F350" s="29"/>
      <c r="G350" s="2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2:21" ht="15.75" customHeight="1" x14ac:dyDescent="0.2">
      <c r="B351" s="2"/>
      <c r="C351" s="29"/>
      <c r="D351" s="29"/>
      <c r="E351" s="29"/>
      <c r="F351" s="29"/>
      <c r="G351" s="2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2:21" ht="15.75" customHeight="1" x14ac:dyDescent="0.2">
      <c r="B352" s="2"/>
      <c r="C352" s="29"/>
      <c r="D352" s="29"/>
      <c r="E352" s="29"/>
      <c r="F352" s="29"/>
      <c r="G352" s="2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2:21" ht="15.75" customHeight="1" x14ac:dyDescent="0.2">
      <c r="B353" s="2"/>
      <c r="C353" s="29"/>
      <c r="D353" s="29"/>
      <c r="E353" s="29"/>
      <c r="F353" s="29"/>
      <c r="G353" s="2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2:21" ht="15.75" customHeight="1" x14ac:dyDescent="0.2">
      <c r="B354" s="2"/>
      <c r="C354" s="29"/>
      <c r="D354" s="29"/>
      <c r="E354" s="29"/>
      <c r="F354" s="29"/>
      <c r="G354" s="2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2:21" ht="15.75" customHeight="1" x14ac:dyDescent="0.2">
      <c r="B355" s="2"/>
      <c r="C355" s="29"/>
      <c r="D355" s="29"/>
      <c r="E355" s="29"/>
      <c r="F355" s="29"/>
      <c r="G355" s="2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2:21" ht="15.75" customHeight="1" x14ac:dyDescent="0.2">
      <c r="B356" s="2"/>
      <c r="C356" s="29"/>
      <c r="D356" s="29"/>
      <c r="E356" s="29"/>
      <c r="F356" s="29"/>
      <c r="G356" s="2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2:21" ht="15.75" customHeight="1" x14ac:dyDescent="0.2">
      <c r="B357" s="2"/>
      <c r="C357" s="29"/>
      <c r="D357" s="29"/>
      <c r="E357" s="29"/>
      <c r="F357" s="29"/>
      <c r="G357" s="2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2:21" ht="15.75" customHeight="1" x14ac:dyDescent="0.2">
      <c r="B358" s="2"/>
      <c r="C358" s="29"/>
      <c r="D358" s="29"/>
      <c r="E358" s="29"/>
      <c r="F358" s="29"/>
      <c r="G358" s="2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2:21" ht="15.75" customHeight="1" x14ac:dyDescent="0.2">
      <c r="B359" s="2"/>
      <c r="C359" s="29"/>
      <c r="D359" s="29"/>
      <c r="E359" s="29"/>
      <c r="F359" s="29"/>
      <c r="G359" s="2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2:21" ht="15.75" customHeight="1" x14ac:dyDescent="0.2">
      <c r="B360" s="2"/>
      <c r="C360" s="29"/>
      <c r="D360" s="29"/>
      <c r="E360" s="29"/>
      <c r="F360" s="29"/>
      <c r="G360" s="2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2:21" ht="15.75" customHeight="1" x14ac:dyDescent="0.2">
      <c r="B361" s="2"/>
      <c r="C361" s="29"/>
      <c r="D361" s="29"/>
      <c r="E361" s="29"/>
      <c r="F361" s="29"/>
      <c r="G361" s="2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2:21" ht="15.75" customHeight="1" x14ac:dyDescent="0.2">
      <c r="B362" s="2"/>
      <c r="C362" s="29"/>
      <c r="D362" s="29"/>
      <c r="E362" s="29"/>
      <c r="F362" s="29"/>
      <c r="G362" s="2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2:21" ht="15.75" customHeight="1" x14ac:dyDescent="0.2">
      <c r="B363" s="2"/>
      <c r="C363" s="29"/>
      <c r="D363" s="29"/>
      <c r="E363" s="29"/>
      <c r="F363" s="29"/>
      <c r="G363" s="2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2:21" ht="15.75" customHeight="1" x14ac:dyDescent="0.2">
      <c r="B364" s="2"/>
      <c r="C364" s="29"/>
      <c r="D364" s="29"/>
      <c r="E364" s="29"/>
      <c r="F364" s="29"/>
      <c r="G364" s="2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2:21" ht="15.75" customHeight="1" x14ac:dyDescent="0.2">
      <c r="B365" s="2"/>
      <c r="C365" s="29"/>
      <c r="D365" s="29"/>
      <c r="E365" s="29"/>
      <c r="F365" s="29"/>
      <c r="G365" s="2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2:21" ht="15.75" customHeight="1" x14ac:dyDescent="0.2">
      <c r="B366" s="2"/>
      <c r="C366" s="29"/>
      <c r="D366" s="29"/>
      <c r="E366" s="29"/>
      <c r="F366" s="29"/>
      <c r="G366" s="2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2:21" ht="15.75" customHeight="1" x14ac:dyDescent="0.2">
      <c r="B367" s="2"/>
      <c r="C367" s="29"/>
      <c r="D367" s="29"/>
      <c r="E367" s="29"/>
      <c r="F367" s="29"/>
      <c r="G367" s="2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2:21" ht="15.75" customHeight="1" x14ac:dyDescent="0.2">
      <c r="B368" s="2"/>
      <c r="C368" s="29"/>
      <c r="D368" s="29"/>
      <c r="E368" s="29"/>
      <c r="F368" s="29"/>
      <c r="G368" s="2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2:21" ht="15.75" customHeight="1" x14ac:dyDescent="0.2">
      <c r="B369" s="2"/>
      <c r="C369" s="29"/>
      <c r="D369" s="29"/>
      <c r="E369" s="29"/>
      <c r="F369" s="29"/>
      <c r="G369" s="2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2:21" ht="15.75" customHeight="1" x14ac:dyDescent="0.2">
      <c r="B370" s="2"/>
      <c r="C370" s="29"/>
      <c r="D370" s="29"/>
      <c r="E370" s="29"/>
      <c r="F370" s="29"/>
      <c r="G370" s="2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2:21" ht="15.75" customHeight="1" x14ac:dyDescent="0.2">
      <c r="B371" s="2"/>
      <c r="C371" s="29"/>
      <c r="D371" s="29"/>
      <c r="E371" s="29"/>
      <c r="F371" s="29"/>
      <c r="G371" s="2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2:21" ht="15.75" customHeight="1" x14ac:dyDescent="0.2">
      <c r="B372" s="2"/>
      <c r="C372" s="29"/>
      <c r="D372" s="29"/>
      <c r="E372" s="29"/>
      <c r="F372" s="29"/>
      <c r="G372" s="2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2:21" ht="15.75" customHeight="1" x14ac:dyDescent="0.2">
      <c r="B373" s="2"/>
      <c r="C373" s="29"/>
      <c r="D373" s="29"/>
      <c r="E373" s="29"/>
      <c r="F373" s="29"/>
      <c r="G373" s="2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2:21" ht="15.75" customHeight="1" x14ac:dyDescent="0.2">
      <c r="B374" s="2"/>
      <c r="C374" s="29"/>
      <c r="D374" s="29"/>
      <c r="E374" s="29"/>
      <c r="F374" s="29"/>
      <c r="G374" s="2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2:21" ht="15.75" customHeight="1" x14ac:dyDescent="0.2">
      <c r="B375" s="2"/>
      <c r="C375" s="29"/>
      <c r="D375" s="29"/>
      <c r="E375" s="29"/>
      <c r="F375" s="29"/>
      <c r="G375" s="2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2:21" ht="15.75" customHeight="1" x14ac:dyDescent="0.2">
      <c r="B376" s="2"/>
      <c r="C376" s="29"/>
      <c r="D376" s="29"/>
      <c r="E376" s="29"/>
      <c r="F376" s="29"/>
      <c r="G376" s="2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2:21" ht="15.75" customHeight="1" x14ac:dyDescent="0.2">
      <c r="B377" s="2"/>
      <c r="C377" s="29"/>
      <c r="D377" s="29"/>
      <c r="E377" s="29"/>
      <c r="F377" s="29"/>
      <c r="G377" s="2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2:21" ht="15.75" customHeight="1" x14ac:dyDescent="0.2">
      <c r="B378" s="2"/>
      <c r="C378" s="29"/>
      <c r="D378" s="29"/>
      <c r="E378" s="29"/>
      <c r="F378" s="29"/>
      <c r="G378" s="2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2:21" ht="15.75" customHeight="1" x14ac:dyDescent="0.2">
      <c r="B379" s="2"/>
      <c r="C379" s="29"/>
      <c r="D379" s="29"/>
      <c r="E379" s="29"/>
      <c r="F379" s="29"/>
      <c r="G379" s="2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2:21" ht="15.75" customHeight="1" x14ac:dyDescent="0.2">
      <c r="B380" s="2"/>
      <c r="C380" s="29"/>
      <c r="D380" s="29"/>
      <c r="E380" s="29"/>
      <c r="F380" s="29"/>
      <c r="G380" s="2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2:21" ht="15.75" customHeight="1" x14ac:dyDescent="0.2">
      <c r="B381" s="2"/>
      <c r="C381" s="29"/>
      <c r="D381" s="29"/>
      <c r="E381" s="29"/>
      <c r="F381" s="29"/>
      <c r="G381" s="2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2:21" ht="15.75" customHeight="1" x14ac:dyDescent="0.2">
      <c r="B382" s="2"/>
      <c r="C382" s="29"/>
      <c r="D382" s="29"/>
      <c r="E382" s="29"/>
      <c r="F382" s="29"/>
      <c r="G382" s="2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2:21" ht="15.75" customHeight="1" x14ac:dyDescent="0.2">
      <c r="B383" s="2"/>
      <c r="C383" s="29"/>
      <c r="D383" s="29"/>
      <c r="E383" s="29"/>
      <c r="F383" s="29"/>
      <c r="G383" s="2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2:21" ht="15.75" customHeight="1" x14ac:dyDescent="0.2">
      <c r="B384" s="2"/>
      <c r="C384" s="29"/>
      <c r="D384" s="29"/>
      <c r="E384" s="29"/>
      <c r="F384" s="29"/>
      <c r="G384" s="2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2:21" ht="15.75" customHeight="1" x14ac:dyDescent="0.2">
      <c r="B385" s="2"/>
      <c r="C385" s="29"/>
      <c r="D385" s="29"/>
      <c r="E385" s="29"/>
      <c r="F385" s="29"/>
      <c r="G385" s="2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2:21" ht="15.75" customHeight="1" x14ac:dyDescent="0.2">
      <c r="B386" s="2"/>
      <c r="C386" s="29"/>
      <c r="D386" s="29"/>
      <c r="E386" s="29"/>
      <c r="F386" s="29"/>
      <c r="G386" s="2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2:21" ht="15.75" customHeight="1" x14ac:dyDescent="0.2">
      <c r="B387" s="2"/>
      <c r="C387" s="29"/>
      <c r="D387" s="29"/>
      <c r="E387" s="29"/>
      <c r="F387" s="29"/>
      <c r="G387" s="2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2:21" ht="15.75" customHeight="1" x14ac:dyDescent="0.2">
      <c r="B388" s="2"/>
      <c r="C388" s="29"/>
      <c r="D388" s="29"/>
      <c r="E388" s="29"/>
      <c r="F388" s="29"/>
      <c r="G388" s="2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2:21" ht="15.75" customHeight="1" x14ac:dyDescent="0.2">
      <c r="B389" s="2"/>
      <c r="C389" s="29"/>
      <c r="D389" s="29"/>
      <c r="E389" s="29"/>
      <c r="F389" s="29"/>
      <c r="G389" s="2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2:21" ht="15.75" customHeight="1" x14ac:dyDescent="0.2">
      <c r="B390" s="2"/>
      <c r="C390" s="29"/>
      <c r="D390" s="29"/>
      <c r="E390" s="29"/>
      <c r="F390" s="29"/>
      <c r="G390" s="2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2:21" ht="15.75" customHeight="1" x14ac:dyDescent="0.2">
      <c r="B391" s="2"/>
      <c r="C391" s="29"/>
      <c r="D391" s="29"/>
      <c r="E391" s="29"/>
      <c r="F391" s="29"/>
      <c r="G391" s="2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2:21" ht="15.75" customHeight="1" x14ac:dyDescent="0.2">
      <c r="B392" s="2"/>
      <c r="C392" s="29"/>
      <c r="D392" s="29"/>
      <c r="E392" s="29"/>
      <c r="F392" s="29"/>
      <c r="G392" s="2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2:21" ht="15.75" customHeight="1" x14ac:dyDescent="0.2">
      <c r="B393" s="2"/>
      <c r="C393" s="29"/>
      <c r="D393" s="29"/>
      <c r="E393" s="29"/>
      <c r="F393" s="29"/>
      <c r="G393" s="2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2:21" ht="15.75" customHeight="1" x14ac:dyDescent="0.2">
      <c r="B394" s="2"/>
      <c r="C394" s="29"/>
      <c r="D394" s="29"/>
      <c r="E394" s="29"/>
      <c r="F394" s="29"/>
      <c r="G394" s="2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2:21" ht="15.75" customHeight="1" x14ac:dyDescent="0.2">
      <c r="B395" s="2"/>
      <c r="C395" s="29"/>
      <c r="D395" s="29"/>
      <c r="E395" s="29"/>
      <c r="F395" s="29"/>
      <c r="G395" s="2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2:21" ht="15.75" customHeight="1" x14ac:dyDescent="0.2">
      <c r="B396" s="2"/>
      <c r="C396" s="29"/>
      <c r="D396" s="29"/>
      <c r="E396" s="29"/>
      <c r="F396" s="29"/>
      <c r="G396" s="2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2:21" ht="15.75" customHeight="1" x14ac:dyDescent="0.2">
      <c r="B397" s="2"/>
      <c r="C397" s="29"/>
      <c r="D397" s="29"/>
      <c r="E397" s="29"/>
      <c r="F397" s="29"/>
      <c r="G397" s="2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2:21" ht="15.75" customHeight="1" x14ac:dyDescent="0.2">
      <c r="B398" s="2"/>
      <c r="C398" s="29"/>
      <c r="D398" s="29"/>
      <c r="E398" s="29"/>
      <c r="F398" s="29"/>
      <c r="G398" s="2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2:21" ht="15.75" customHeight="1" x14ac:dyDescent="0.2">
      <c r="B399" s="2"/>
      <c r="C399" s="29"/>
      <c r="D399" s="29"/>
      <c r="E399" s="29"/>
      <c r="F399" s="29"/>
      <c r="G399" s="2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2:21" ht="15.75" customHeight="1" x14ac:dyDescent="0.2">
      <c r="B400" s="2"/>
      <c r="C400" s="29"/>
      <c r="D400" s="29"/>
      <c r="E400" s="29"/>
      <c r="F400" s="29"/>
      <c r="G400" s="2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2:21" ht="15.75" customHeight="1" x14ac:dyDescent="0.2">
      <c r="B401" s="2"/>
      <c r="C401" s="29"/>
      <c r="D401" s="29"/>
      <c r="E401" s="29"/>
      <c r="F401" s="29"/>
      <c r="G401" s="2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2:21" ht="15.75" customHeight="1" x14ac:dyDescent="0.2">
      <c r="B402" s="2"/>
      <c r="C402" s="29"/>
      <c r="D402" s="29"/>
      <c r="E402" s="29"/>
      <c r="F402" s="29"/>
      <c r="G402" s="2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2:21" ht="15.75" customHeight="1" x14ac:dyDescent="0.2">
      <c r="B403" s="2"/>
      <c r="C403" s="29"/>
      <c r="D403" s="29"/>
      <c r="E403" s="29"/>
      <c r="F403" s="29"/>
      <c r="G403" s="2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2:21" ht="15.75" customHeight="1" x14ac:dyDescent="0.2">
      <c r="B404" s="2"/>
      <c r="C404" s="29"/>
      <c r="D404" s="29"/>
      <c r="E404" s="29"/>
      <c r="F404" s="29"/>
      <c r="G404" s="2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2:21" ht="15.75" customHeight="1" x14ac:dyDescent="0.2">
      <c r="B405" s="2"/>
      <c r="C405" s="29"/>
      <c r="D405" s="29"/>
      <c r="E405" s="29"/>
      <c r="F405" s="29"/>
      <c r="G405" s="2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2:21" ht="15.75" customHeight="1" x14ac:dyDescent="0.2">
      <c r="B406" s="2"/>
      <c r="C406" s="29"/>
      <c r="D406" s="29"/>
      <c r="E406" s="29"/>
      <c r="F406" s="29"/>
      <c r="G406" s="2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2:21" ht="15.75" customHeight="1" x14ac:dyDescent="0.2">
      <c r="B407" s="2"/>
      <c r="C407" s="29"/>
      <c r="D407" s="29"/>
      <c r="E407" s="29"/>
      <c r="F407" s="29"/>
      <c r="G407" s="2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2:21" ht="15.75" customHeight="1" x14ac:dyDescent="0.2">
      <c r="B408" s="2"/>
      <c r="C408" s="29"/>
      <c r="D408" s="29"/>
      <c r="E408" s="29"/>
      <c r="F408" s="29"/>
      <c r="G408" s="2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2:21" ht="15.75" customHeight="1" x14ac:dyDescent="0.2">
      <c r="B409" s="2"/>
      <c r="C409" s="29"/>
      <c r="D409" s="29"/>
      <c r="E409" s="29"/>
      <c r="F409" s="29"/>
      <c r="G409" s="2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2:21" ht="15.75" customHeight="1" x14ac:dyDescent="0.2">
      <c r="B410" s="2"/>
      <c r="C410" s="29"/>
      <c r="D410" s="29"/>
      <c r="E410" s="29"/>
      <c r="F410" s="29"/>
      <c r="G410" s="2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2:21" ht="15.75" customHeight="1" x14ac:dyDescent="0.2">
      <c r="B411" s="2"/>
      <c r="C411" s="29"/>
      <c r="D411" s="29"/>
      <c r="E411" s="29"/>
      <c r="F411" s="29"/>
      <c r="G411" s="2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2:21" ht="15.75" customHeight="1" x14ac:dyDescent="0.2">
      <c r="B412" s="2"/>
      <c r="C412" s="29"/>
      <c r="D412" s="29"/>
      <c r="E412" s="29"/>
      <c r="F412" s="29"/>
      <c r="G412" s="2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2:21" ht="15.75" customHeight="1" x14ac:dyDescent="0.2">
      <c r="B413" s="2"/>
      <c r="C413" s="29"/>
      <c r="D413" s="29"/>
      <c r="E413" s="29"/>
      <c r="F413" s="29"/>
      <c r="G413" s="2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2:21" ht="15.75" customHeight="1" x14ac:dyDescent="0.2">
      <c r="B414" s="2"/>
      <c r="C414" s="29"/>
      <c r="D414" s="29"/>
      <c r="E414" s="29"/>
      <c r="F414" s="29"/>
      <c r="G414" s="2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2:21" ht="15.75" customHeight="1" x14ac:dyDescent="0.2">
      <c r="B415" s="2"/>
      <c r="C415" s="29"/>
      <c r="D415" s="29"/>
      <c r="E415" s="29"/>
      <c r="F415" s="29"/>
      <c r="G415" s="2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2:21" ht="15.75" customHeight="1" x14ac:dyDescent="0.2">
      <c r="B416" s="2"/>
      <c r="C416" s="29"/>
      <c r="D416" s="29"/>
      <c r="E416" s="29"/>
      <c r="F416" s="29"/>
      <c r="G416" s="2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2:21" ht="15.75" customHeight="1" x14ac:dyDescent="0.2">
      <c r="B417" s="2"/>
      <c r="C417" s="29"/>
      <c r="D417" s="29"/>
      <c r="E417" s="29"/>
      <c r="F417" s="29"/>
      <c r="G417" s="2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2:21" ht="15.75" customHeight="1" x14ac:dyDescent="0.2">
      <c r="B418" s="2"/>
      <c r="C418" s="29"/>
      <c r="D418" s="29"/>
      <c r="E418" s="29"/>
      <c r="F418" s="29"/>
      <c r="G418" s="2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2:21" ht="15.75" customHeight="1" x14ac:dyDescent="0.2">
      <c r="B419" s="2"/>
      <c r="C419" s="29"/>
      <c r="D419" s="29"/>
      <c r="E419" s="29"/>
      <c r="F419" s="29"/>
      <c r="G419" s="2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2:21" ht="15.75" customHeight="1" x14ac:dyDescent="0.2">
      <c r="B420" s="2"/>
      <c r="C420" s="29"/>
      <c r="D420" s="29"/>
      <c r="E420" s="29"/>
      <c r="F420" s="29"/>
      <c r="G420" s="2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2:21" ht="15.75" customHeight="1" x14ac:dyDescent="0.2">
      <c r="B421" s="2"/>
      <c r="C421" s="29"/>
      <c r="D421" s="29"/>
      <c r="E421" s="29"/>
      <c r="F421" s="29"/>
      <c r="G421" s="2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2:21" ht="15.75" customHeight="1" x14ac:dyDescent="0.2">
      <c r="B422" s="2"/>
      <c r="C422" s="29"/>
      <c r="D422" s="29"/>
      <c r="E422" s="29"/>
      <c r="F422" s="29"/>
      <c r="G422" s="2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2:21" ht="15.75" customHeight="1" x14ac:dyDescent="0.2">
      <c r="B423" s="2"/>
      <c r="C423" s="29"/>
      <c r="D423" s="29"/>
      <c r="E423" s="29"/>
      <c r="F423" s="29"/>
      <c r="G423" s="2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2:21" ht="15.75" customHeight="1" x14ac:dyDescent="0.2">
      <c r="B424" s="2"/>
      <c r="C424" s="29"/>
      <c r="D424" s="29"/>
      <c r="E424" s="29"/>
      <c r="F424" s="29"/>
      <c r="G424" s="2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2:21" ht="15.75" customHeight="1" x14ac:dyDescent="0.2">
      <c r="B425" s="2"/>
      <c r="C425" s="29"/>
      <c r="D425" s="29"/>
      <c r="E425" s="29"/>
      <c r="F425" s="29"/>
      <c r="G425" s="2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2:21" ht="15.75" customHeight="1" x14ac:dyDescent="0.2">
      <c r="B426" s="2"/>
      <c r="C426" s="29"/>
      <c r="D426" s="29"/>
      <c r="E426" s="29"/>
      <c r="F426" s="29"/>
      <c r="G426" s="2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2:21" ht="15.75" customHeight="1" x14ac:dyDescent="0.2">
      <c r="B427" s="2"/>
      <c r="C427" s="29"/>
      <c r="D427" s="29"/>
      <c r="E427" s="29"/>
      <c r="F427" s="29"/>
      <c r="G427" s="2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2:21" ht="15.75" customHeight="1" x14ac:dyDescent="0.2">
      <c r="B428" s="2"/>
      <c r="C428" s="29"/>
      <c r="D428" s="29"/>
      <c r="E428" s="29"/>
      <c r="F428" s="29"/>
      <c r="G428" s="2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2:21" ht="15.75" customHeight="1" x14ac:dyDescent="0.2">
      <c r="B429" s="2"/>
      <c r="C429" s="29"/>
      <c r="D429" s="29"/>
      <c r="E429" s="29"/>
      <c r="F429" s="29"/>
      <c r="G429" s="2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2:21" ht="15.75" customHeight="1" x14ac:dyDescent="0.2">
      <c r="B430" s="2"/>
      <c r="C430" s="29"/>
      <c r="D430" s="29"/>
      <c r="E430" s="29"/>
      <c r="F430" s="29"/>
      <c r="G430" s="2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2:21" ht="15.75" customHeight="1" x14ac:dyDescent="0.2">
      <c r="B431" s="2"/>
      <c r="C431" s="29"/>
      <c r="D431" s="29"/>
      <c r="E431" s="29"/>
      <c r="F431" s="29"/>
      <c r="G431" s="2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2:21" ht="15.75" customHeight="1" x14ac:dyDescent="0.2">
      <c r="B432" s="2"/>
      <c r="C432" s="29"/>
      <c r="D432" s="29"/>
      <c r="E432" s="29"/>
      <c r="F432" s="29"/>
      <c r="G432" s="2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2:21" ht="15.75" customHeight="1" x14ac:dyDescent="0.2">
      <c r="B433" s="2"/>
      <c r="C433" s="29"/>
      <c r="D433" s="29"/>
      <c r="E433" s="29"/>
      <c r="F433" s="29"/>
      <c r="G433" s="2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2:21" ht="15.75" customHeight="1" x14ac:dyDescent="0.2">
      <c r="B434" s="2"/>
      <c r="C434" s="29"/>
      <c r="D434" s="29"/>
      <c r="E434" s="29"/>
      <c r="F434" s="29"/>
      <c r="G434" s="2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2:21" ht="15.75" customHeight="1" x14ac:dyDescent="0.2">
      <c r="B435" s="2"/>
      <c r="C435" s="29"/>
      <c r="D435" s="29"/>
      <c r="E435" s="29"/>
      <c r="F435" s="29"/>
      <c r="G435" s="2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2:21" ht="15.75" customHeight="1" x14ac:dyDescent="0.2">
      <c r="B436" s="2"/>
      <c r="C436" s="29"/>
      <c r="D436" s="29"/>
      <c r="E436" s="29"/>
      <c r="F436" s="29"/>
      <c r="G436" s="2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2:21" ht="15.75" customHeight="1" x14ac:dyDescent="0.2">
      <c r="B437" s="2"/>
      <c r="C437" s="29"/>
      <c r="D437" s="29"/>
      <c r="E437" s="29"/>
      <c r="F437" s="29"/>
      <c r="G437" s="2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2:21" ht="15.75" customHeight="1" x14ac:dyDescent="0.2">
      <c r="B438" s="2"/>
      <c r="C438" s="29"/>
      <c r="D438" s="29"/>
      <c r="E438" s="29"/>
      <c r="F438" s="29"/>
      <c r="G438" s="2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2:21" ht="15.75" customHeight="1" x14ac:dyDescent="0.2">
      <c r="B439" s="2"/>
      <c r="C439" s="29"/>
      <c r="D439" s="29"/>
      <c r="E439" s="29"/>
      <c r="F439" s="29"/>
      <c r="G439" s="2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2:21" ht="15.75" customHeight="1" x14ac:dyDescent="0.2">
      <c r="B440" s="2"/>
      <c r="C440" s="29"/>
      <c r="D440" s="29"/>
      <c r="E440" s="29"/>
      <c r="F440" s="29"/>
      <c r="G440" s="2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2:21" ht="15.75" customHeight="1" x14ac:dyDescent="0.2">
      <c r="B441" s="2"/>
      <c r="C441" s="29"/>
      <c r="D441" s="29"/>
      <c r="E441" s="29"/>
      <c r="F441" s="29"/>
      <c r="G441" s="2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2:21" ht="15.75" customHeight="1" x14ac:dyDescent="0.2">
      <c r="B442" s="2"/>
      <c r="C442" s="29"/>
      <c r="D442" s="29"/>
      <c r="E442" s="29"/>
      <c r="F442" s="29"/>
      <c r="G442" s="2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2:21" ht="15.75" customHeight="1" x14ac:dyDescent="0.2">
      <c r="B443" s="2"/>
      <c r="C443" s="29"/>
      <c r="D443" s="29"/>
      <c r="E443" s="29"/>
      <c r="F443" s="29"/>
      <c r="G443" s="2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2:21" ht="15.75" customHeight="1" x14ac:dyDescent="0.2">
      <c r="B444" s="2"/>
      <c r="C444" s="29"/>
      <c r="D444" s="29"/>
      <c r="E444" s="29"/>
      <c r="F444" s="29"/>
      <c r="G444" s="2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2:21" ht="15.75" customHeight="1" x14ac:dyDescent="0.2">
      <c r="B445" s="2"/>
      <c r="C445" s="29"/>
      <c r="D445" s="29"/>
      <c r="E445" s="29"/>
      <c r="F445" s="29"/>
      <c r="G445" s="2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2:21" ht="15.75" customHeight="1" x14ac:dyDescent="0.2">
      <c r="B446" s="2"/>
      <c r="C446" s="29"/>
      <c r="D446" s="29"/>
      <c r="E446" s="29"/>
      <c r="F446" s="29"/>
      <c r="G446" s="2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2:21" ht="15.75" customHeight="1" x14ac:dyDescent="0.2">
      <c r="B447" s="2"/>
      <c r="C447" s="29"/>
      <c r="D447" s="29"/>
      <c r="E447" s="29"/>
      <c r="F447" s="29"/>
      <c r="G447" s="2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2:21" ht="15.75" customHeight="1" x14ac:dyDescent="0.2">
      <c r="B448" s="2"/>
      <c r="C448" s="29"/>
      <c r="D448" s="29"/>
      <c r="E448" s="29"/>
      <c r="F448" s="29"/>
      <c r="G448" s="2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2:21" ht="15.75" customHeight="1" x14ac:dyDescent="0.2">
      <c r="B449" s="2"/>
      <c r="C449" s="29"/>
      <c r="D449" s="29"/>
      <c r="E449" s="29"/>
      <c r="F449" s="29"/>
      <c r="G449" s="2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2:21" ht="15.75" customHeight="1" x14ac:dyDescent="0.2">
      <c r="B450" s="2"/>
      <c r="C450" s="29"/>
      <c r="D450" s="29"/>
      <c r="E450" s="29"/>
      <c r="F450" s="29"/>
      <c r="G450" s="2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2:21" ht="15.75" customHeight="1" x14ac:dyDescent="0.2">
      <c r="B451" s="2"/>
      <c r="C451" s="29"/>
      <c r="D451" s="29"/>
      <c r="E451" s="29"/>
      <c r="F451" s="29"/>
      <c r="G451" s="2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2:21" ht="15.75" customHeight="1" x14ac:dyDescent="0.2">
      <c r="B452" s="2"/>
      <c r="C452" s="29"/>
      <c r="D452" s="29"/>
      <c r="E452" s="29"/>
      <c r="F452" s="29"/>
      <c r="G452" s="2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2:21" ht="15.75" customHeight="1" x14ac:dyDescent="0.2">
      <c r="B453" s="2"/>
      <c r="C453" s="29"/>
      <c r="D453" s="29"/>
      <c r="E453" s="29"/>
      <c r="F453" s="29"/>
      <c r="G453" s="2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2:21" ht="15.75" customHeight="1" x14ac:dyDescent="0.2">
      <c r="B454" s="2"/>
      <c r="C454" s="29"/>
      <c r="D454" s="29"/>
      <c r="E454" s="29"/>
      <c r="F454" s="29"/>
      <c r="G454" s="2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2:21" ht="15.75" customHeight="1" x14ac:dyDescent="0.2">
      <c r="B455" s="2"/>
      <c r="C455" s="29"/>
      <c r="D455" s="29"/>
      <c r="E455" s="29"/>
      <c r="F455" s="29"/>
      <c r="G455" s="2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2:21" ht="15.75" customHeight="1" x14ac:dyDescent="0.2">
      <c r="B456" s="2"/>
      <c r="C456" s="29"/>
      <c r="D456" s="29"/>
      <c r="E456" s="29"/>
      <c r="F456" s="29"/>
      <c r="G456" s="2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2:21" ht="15.75" customHeight="1" x14ac:dyDescent="0.2">
      <c r="B457" s="2"/>
      <c r="C457" s="29"/>
      <c r="D457" s="29"/>
      <c r="E457" s="29"/>
      <c r="F457" s="29"/>
      <c r="G457" s="2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2:21" ht="15.75" customHeight="1" x14ac:dyDescent="0.2">
      <c r="B458" s="2"/>
      <c r="C458" s="29"/>
      <c r="D458" s="29"/>
      <c r="E458" s="29"/>
      <c r="F458" s="29"/>
      <c r="G458" s="2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2:21" ht="15.75" customHeight="1" x14ac:dyDescent="0.2">
      <c r="B459" s="2"/>
      <c r="C459" s="29"/>
      <c r="D459" s="29"/>
      <c r="E459" s="29"/>
      <c r="F459" s="29"/>
      <c r="G459" s="2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2:21" ht="15.75" customHeight="1" x14ac:dyDescent="0.2">
      <c r="B460" s="2"/>
      <c r="C460" s="29"/>
      <c r="D460" s="29"/>
      <c r="E460" s="29"/>
      <c r="F460" s="29"/>
      <c r="G460" s="2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2:21" ht="15.75" customHeight="1" x14ac:dyDescent="0.2">
      <c r="B461" s="2"/>
      <c r="C461" s="29"/>
      <c r="D461" s="29"/>
      <c r="E461" s="29"/>
      <c r="F461" s="29"/>
      <c r="G461" s="2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2:21" ht="15.75" customHeight="1" x14ac:dyDescent="0.2">
      <c r="B462" s="2"/>
      <c r="C462" s="29"/>
      <c r="D462" s="29"/>
      <c r="E462" s="29"/>
      <c r="F462" s="29"/>
      <c r="G462" s="2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2:21" ht="15.75" customHeight="1" x14ac:dyDescent="0.2">
      <c r="B463" s="2"/>
      <c r="C463" s="29"/>
      <c r="D463" s="29"/>
      <c r="E463" s="29"/>
      <c r="F463" s="29"/>
      <c r="G463" s="2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2:21" ht="15.75" customHeight="1" x14ac:dyDescent="0.2">
      <c r="B464" s="2"/>
      <c r="C464" s="29"/>
      <c r="D464" s="29"/>
      <c r="E464" s="29"/>
      <c r="F464" s="29"/>
      <c r="G464" s="2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2:21" ht="15.75" customHeight="1" x14ac:dyDescent="0.2">
      <c r="B465" s="2"/>
      <c r="C465" s="29"/>
      <c r="D465" s="29"/>
      <c r="E465" s="29"/>
      <c r="F465" s="29"/>
      <c r="G465" s="2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2:21" ht="15.75" customHeight="1" x14ac:dyDescent="0.2">
      <c r="B466" s="2"/>
      <c r="C466" s="29"/>
      <c r="D466" s="29"/>
      <c r="E466" s="29"/>
      <c r="F466" s="29"/>
      <c r="G466" s="2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2:21" ht="15.75" customHeight="1" x14ac:dyDescent="0.2">
      <c r="B467" s="2"/>
      <c r="C467" s="29"/>
      <c r="D467" s="29"/>
      <c r="E467" s="29"/>
      <c r="F467" s="29"/>
      <c r="G467" s="2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2:21" ht="15.75" customHeight="1" x14ac:dyDescent="0.2">
      <c r="B468" s="2"/>
      <c r="C468" s="29"/>
      <c r="D468" s="29"/>
      <c r="E468" s="29"/>
      <c r="F468" s="29"/>
      <c r="G468" s="2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2:21" ht="15.75" customHeight="1" x14ac:dyDescent="0.2">
      <c r="B469" s="2"/>
      <c r="C469" s="29"/>
      <c r="D469" s="29"/>
      <c r="E469" s="29"/>
      <c r="F469" s="29"/>
      <c r="G469" s="2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2:21" ht="15.75" customHeight="1" x14ac:dyDescent="0.2">
      <c r="B470" s="2"/>
      <c r="C470" s="29"/>
      <c r="D470" s="29"/>
      <c r="E470" s="29"/>
      <c r="F470" s="29"/>
      <c r="G470" s="2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2:21" ht="15.75" customHeight="1" x14ac:dyDescent="0.2">
      <c r="B471" s="2"/>
      <c r="C471" s="29"/>
      <c r="D471" s="29"/>
      <c r="E471" s="29"/>
      <c r="F471" s="29"/>
      <c r="G471" s="2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2:21" ht="15.75" customHeight="1" x14ac:dyDescent="0.2">
      <c r="B472" s="2"/>
      <c r="C472" s="29"/>
      <c r="D472" s="29"/>
      <c r="E472" s="29"/>
      <c r="F472" s="29"/>
      <c r="G472" s="2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2:21" ht="15.75" customHeight="1" x14ac:dyDescent="0.2">
      <c r="B473" s="2"/>
      <c r="C473" s="29"/>
      <c r="D473" s="29"/>
      <c r="E473" s="29"/>
      <c r="F473" s="29"/>
      <c r="G473" s="2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2:21" ht="15.75" customHeight="1" x14ac:dyDescent="0.2">
      <c r="B474" s="2"/>
      <c r="C474" s="29"/>
      <c r="D474" s="29"/>
      <c r="E474" s="29"/>
      <c r="F474" s="29"/>
      <c r="G474" s="2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2:21" ht="15.75" customHeight="1" x14ac:dyDescent="0.2">
      <c r="B475" s="2"/>
      <c r="C475" s="29"/>
      <c r="D475" s="29"/>
      <c r="E475" s="29"/>
      <c r="F475" s="29"/>
      <c r="G475" s="2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2:21" ht="15.75" customHeight="1" x14ac:dyDescent="0.2">
      <c r="B476" s="2"/>
      <c r="C476" s="29"/>
      <c r="D476" s="29"/>
      <c r="E476" s="29"/>
      <c r="F476" s="29"/>
      <c r="G476" s="2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2:21" ht="15.75" customHeight="1" x14ac:dyDescent="0.2">
      <c r="B477" s="2"/>
      <c r="C477" s="29"/>
      <c r="D477" s="29"/>
      <c r="E477" s="29"/>
      <c r="F477" s="29"/>
      <c r="G477" s="2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2:21" ht="15.75" customHeight="1" x14ac:dyDescent="0.2">
      <c r="B478" s="2"/>
      <c r="C478" s="29"/>
      <c r="D478" s="29"/>
      <c r="E478" s="29"/>
      <c r="F478" s="29"/>
      <c r="G478" s="2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2:21" ht="15.75" customHeight="1" x14ac:dyDescent="0.2">
      <c r="B479" s="2"/>
      <c r="C479" s="29"/>
      <c r="D479" s="29"/>
      <c r="E479" s="29"/>
      <c r="F479" s="29"/>
      <c r="G479" s="2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2:21" ht="15.75" customHeight="1" x14ac:dyDescent="0.2">
      <c r="B480" s="2"/>
      <c r="C480" s="29"/>
      <c r="D480" s="29"/>
      <c r="E480" s="29"/>
      <c r="F480" s="29"/>
      <c r="G480" s="2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2:21" ht="15.75" customHeight="1" x14ac:dyDescent="0.2">
      <c r="B481" s="2"/>
      <c r="C481" s="29"/>
      <c r="D481" s="29"/>
      <c r="E481" s="29"/>
      <c r="F481" s="29"/>
      <c r="G481" s="2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2:21" ht="15.75" customHeight="1" x14ac:dyDescent="0.2">
      <c r="B482" s="2"/>
      <c r="C482" s="29"/>
      <c r="D482" s="29"/>
      <c r="E482" s="29"/>
      <c r="F482" s="29"/>
      <c r="G482" s="2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2:21" ht="15.75" customHeight="1" x14ac:dyDescent="0.2">
      <c r="B483" s="2"/>
      <c r="C483" s="29"/>
      <c r="D483" s="29"/>
      <c r="E483" s="29"/>
      <c r="F483" s="29"/>
      <c r="G483" s="2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2:21" ht="15.75" customHeight="1" x14ac:dyDescent="0.2">
      <c r="B484" s="2"/>
      <c r="C484" s="29"/>
      <c r="D484" s="29"/>
      <c r="E484" s="29"/>
      <c r="F484" s="29"/>
      <c r="G484" s="2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2:21" ht="15.75" customHeight="1" x14ac:dyDescent="0.2">
      <c r="B485" s="2"/>
      <c r="C485" s="29"/>
      <c r="D485" s="29"/>
      <c r="E485" s="29"/>
      <c r="F485" s="29"/>
      <c r="G485" s="2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2:21" ht="15.75" customHeight="1" x14ac:dyDescent="0.2">
      <c r="B486" s="2"/>
      <c r="C486" s="29"/>
      <c r="D486" s="29"/>
      <c r="E486" s="29"/>
      <c r="F486" s="29"/>
      <c r="G486" s="2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2:21" ht="15.75" customHeight="1" x14ac:dyDescent="0.2">
      <c r="B487" s="2"/>
      <c r="C487" s="29"/>
      <c r="D487" s="29"/>
      <c r="E487" s="29"/>
      <c r="F487" s="29"/>
      <c r="G487" s="2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2:21" ht="15.75" customHeight="1" x14ac:dyDescent="0.2">
      <c r="B488" s="2"/>
      <c r="C488" s="29"/>
      <c r="D488" s="29"/>
      <c r="E488" s="29"/>
      <c r="F488" s="29"/>
      <c r="G488" s="2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2:21" ht="15.75" customHeight="1" x14ac:dyDescent="0.2">
      <c r="B489" s="2"/>
      <c r="C489" s="29"/>
      <c r="D489" s="29"/>
      <c r="E489" s="29"/>
      <c r="F489" s="29"/>
      <c r="G489" s="2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2:21" ht="15.75" customHeight="1" x14ac:dyDescent="0.2">
      <c r="B490" s="2"/>
      <c r="C490" s="29"/>
      <c r="D490" s="29"/>
      <c r="E490" s="29"/>
      <c r="F490" s="29"/>
      <c r="G490" s="2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2:21" ht="15.75" customHeight="1" x14ac:dyDescent="0.2">
      <c r="B491" s="2"/>
      <c r="C491" s="29"/>
      <c r="D491" s="29"/>
      <c r="E491" s="29"/>
      <c r="F491" s="29"/>
      <c r="G491" s="2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2:21" ht="15.75" customHeight="1" x14ac:dyDescent="0.2">
      <c r="B492" s="2"/>
      <c r="C492" s="29"/>
      <c r="D492" s="29"/>
      <c r="E492" s="29"/>
      <c r="F492" s="29"/>
      <c r="G492" s="2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2:21" ht="15.75" customHeight="1" x14ac:dyDescent="0.2">
      <c r="B493" s="2"/>
      <c r="C493" s="29"/>
      <c r="D493" s="29"/>
      <c r="E493" s="29"/>
      <c r="F493" s="29"/>
      <c r="G493" s="2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2:21" ht="15.75" customHeight="1" x14ac:dyDescent="0.2">
      <c r="B494" s="2"/>
      <c r="C494" s="29"/>
      <c r="D494" s="29"/>
      <c r="E494" s="29"/>
      <c r="F494" s="29"/>
      <c r="G494" s="2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2:21" ht="15.75" customHeight="1" x14ac:dyDescent="0.2">
      <c r="B495" s="2"/>
      <c r="C495" s="29"/>
      <c r="D495" s="29"/>
      <c r="E495" s="29"/>
      <c r="F495" s="29"/>
      <c r="G495" s="2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2:21" ht="15.75" customHeight="1" x14ac:dyDescent="0.2">
      <c r="B496" s="2"/>
      <c r="C496" s="29"/>
      <c r="D496" s="29"/>
      <c r="E496" s="29"/>
      <c r="F496" s="29"/>
      <c r="G496" s="2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2:21" ht="15.75" customHeight="1" x14ac:dyDescent="0.2">
      <c r="B497" s="2"/>
      <c r="C497" s="29"/>
      <c r="D497" s="29"/>
      <c r="E497" s="29"/>
      <c r="F497" s="29"/>
      <c r="G497" s="2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2:21" ht="15.75" customHeight="1" x14ac:dyDescent="0.2">
      <c r="B498" s="2"/>
      <c r="C498" s="29"/>
      <c r="D498" s="29"/>
      <c r="E498" s="29"/>
      <c r="F498" s="29"/>
      <c r="G498" s="2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2:21" ht="15.75" customHeight="1" x14ac:dyDescent="0.2">
      <c r="B499" s="2"/>
      <c r="C499" s="29"/>
      <c r="D499" s="29"/>
      <c r="E499" s="29"/>
      <c r="F499" s="29"/>
      <c r="G499" s="2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2:21" ht="15.75" customHeight="1" x14ac:dyDescent="0.2">
      <c r="B500" s="2"/>
      <c r="C500" s="29"/>
      <c r="D500" s="29"/>
      <c r="E500" s="29"/>
      <c r="F500" s="29"/>
      <c r="G500" s="2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2:21" ht="15.75" customHeight="1" x14ac:dyDescent="0.2">
      <c r="B501" s="2"/>
      <c r="C501" s="29"/>
      <c r="D501" s="29"/>
      <c r="E501" s="29"/>
      <c r="F501" s="29"/>
      <c r="G501" s="2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2:21" ht="15.75" customHeight="1" x14ac:dyDescent="0.2">
      <c r="B502" s="2"/>
      <c r="C502" s="29"/>
      <c r="D502" s="29"/>
      <c r="E502" s="29"/>
      <c r="F502" s="29"/>
      <c r="G502" s="2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2:21" ht="15.75" customHeight="1" x14ac:dyDescent="0.2">
      <c r="B503" s="2"/>
      <c r="C503" s="29"/>
      <c r="D503" s="29"/>
      <c r="E503" s="29"/>
      <c r="F503" s="29"/>
      <c r="G503" s="2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2:21" ht="15.75" customHeight="1" x14ac:dyDescent="0.2">
      <c r="B504" s="2"/>
      <c r="C504" s="29"/>
      <c r="D504" s="29"/>
      <c r="E504" s="29"/>
      <c r="F504" s="29"/>
      <c r="G504" s="2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2:21" ht="15.75" customHeight="1" x14ac:dyDescent="0.2">
      <c r="B505" s="2"/>
      <c r="C505" s="29"/>
      <c r="D505" s="29"/>
      <c r="E505" s="29"/>
      <c r="F505" s="29"/>
      <c r="G505" s="2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2:21" ht="15.75" customHeight="1" x14ac:dyDescent="0.2">
      <c r="B506" s="2"/>
      <c r="C506" s="29"/>
      <c r="D506" s="29"/>
      <c r="E506" s="29"/>
      <c r="F506" s="29"/>
      <c r="G506" s="2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2:21" ht="15.75" customHeight="1" x14ac:dyDescent="0.2">
      <c r="B507" s="2"/>
      <c r="C507" s="29"/>
      <c r="D507" s="29"/>
      <c r="E507" s="29"/>
      <c r="F507" s="29"/>
      <c r="G507" s="2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2:21" ht="15.75" customHeight="1" x14ac:dyDescent="0.2">
      <c r="B508" s="2"/>
      <c r="C508" s="29"/>
      <c r="D508" s="29"/>
      <c r="E508" s="29"/>
      <c r="F508" s="29"/>
      <c r="G508" s="2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2:21" ht="15.75" customHeight="1" x14ac:dyDescent="0.2">
      <c r="B509" s="2"/>
      <c r="C509" s="29"/>
      <c r="D509" s="29"/>
      <c r="E509" s="29"/>
      <c r="F509" s="29"/>
      <c r="G509" s="2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2:21" ht="15.75" customHeight="1" x14ac:dyDescent="0.2">
      <c r="B510" s="2"/>
      <c r="C510" s="29"/>
      <c r="D510" s="29"/>
      <c r="E510" s="29"/>
      <c r="F510" s="29"/>
      <c r="G510" s="2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2:21" ht="15.75" customHeight="1" x14ac:dyDescent="0.2">
      <c r="B511" s="2"/>
      <c r="C511" s="29"/>
      <c r="D511" s="29"/>
      <c r="E511" s="29"/>
      <c r="F511" s="29"/>
      <c r="G511" s="2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2:21" ht="15.75" customHeight="1" x14ac:dyDescent="0.2">
      <c r="B512" s="2"/>
      <c r="C512" s="29"/>
      <c r="D512" s="29"/>
      <c r="E512" s="29"/>
      <c r="F512" s="29"/>
      <c r="G512" s="2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2:21" ht="15.75" customHeight="1" x14ac:dyDescent="0.2">
      <c r="B513" s="2"/>
      <c r="C513" s="29"/>
      <c r="D513" s="29"/>
      <c r="E513" s="29"/>
      <c r="F513" s="29"/>
      <c r="G513" s="2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2:21" ht="15.75" customHeight="1" x14ac:dyDescent="0.2">
      <c r="B514" s="2"/>
      <c r="C514" s="29"/>
      <c r="D514" s="29"/>
      <c r="E514" s="29"/>
      <c r="F514" s="29"/>
      <c r="G514" s="2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2:21" ht="15.75" customHeight="1" x14ac:dyDescent="0.2">
      <c r="B515" s="2"/>
      <c r="C515" s="29"/>
      <c r="D515" s="29"/>
      <c r="E515" s="29"/>
      <c r="F515" s="29"/>
      <c r="G515" s="2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2:21" ht="15.75" customHeight="1" x14ac:dyDescent="0.2">
      <c r="B516" s="2"/>
      <c r="C516" s="29"/>
      <c r="D516" s="29"/>
      <c r="E516" s="29"/>
      <c r="F516" s="29"/>
      <c r="G516" s="2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2:21" ht="15.75" customHeight="1" x14ac:dyDescent="0.2">
      <c r="B517" s="2"/>
      <c r="C517" s="29"/>
      <c r="D517" s="29"/>
      <c r="E517" s="29"/>
      <c r="F517" s="29"/>
      <c r="G517" s="2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2:21" ht="15.75" customHeight="1" x14ac:dyDescent="0.2">
      <c r="B518" s="2"/>
      <c r="C518" s="29"/>
      <c r="D518" s="29"/>
      <c r="E518" s="29"/>
      <c r="F518" s="29"/>
      <c r="G518" s="2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2:21" ht="15.75" customHeight="1" x14ac:dyDescent="0.2">
      <c r="B519" s="2"/>
      <c r="C519" s="29"/>
      <c r="D519" s="29"/>
      <c r="E519" s="29"/>
      <c r="F519" s="29"/>
      <c r="G519" s="2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2:21" ht="15.75" customHeight="1" x14ac:dyDescent="0.2">
      <c r="B520" s="2"/>
      <c r="C520" s="29"/>
      <c r="D520" s="29"/>
      <c r="E520" s="29"/>
      <c r="F520" s="29"/>
      <c r="G520" s="2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2:21" ht="15.75" customHeight="1" x14ac:dyDescent="0.2">
      <c r="B521" s="2"/>
      <c r="C521" s="29"/>
      <c r="D521" s="29"/>
      <c r="E521" s="29"/>
      <c r="F521" s="29"/>
      <c r="G521" s="2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2:21" ht="15.75" customHeight="1" x14ac:dyDescent="0.2">
      <c r="B522" s="2"/>
      <c r="C522" s="29"/>
      <c r="D522" s="29"/>
      <c r="E522" s="29"/>
      <c r="F522" s="29"/>
      <c r="G522" s="2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2:21" ht="15.75" customHeight="1" x14ac:dyDescent="0.2">
      <c r="B523" s="2"/>
      <c r="C523" s="29"/>
      <c r="D523" s="29"/>
      <c r="E523" s="29"/>
      <c r="F523" s="29"/>
      <c r="G523" s="2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2:21" ht="15.75" customHeight="1" x14ac:dyDescent="0.2">
      <c r="B524" s="2"/>
      <c r="C524" s="29"/>
      <c r="D524" s="29"/>
      <c r="E524" s="29"/>
      <c r="F524" s="29"/>
      <c r="G524" s="2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2:21" ht="15.75" customHeight="1" x14ac:dyDescent="0.2">
      <c r="B525" s="2"/>
      <c r="C525" s="29"/>
      <c r="D525" s="29"/>
      <c r="E525" s="29"/>
      <c r="F525" s="29"/>
      <c r="G525" s="2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2:21" ht="15.75" customHeight="1" x14ac:dyDescent="0.2">
      <c r="B526" s="2"/>
      <c r="C526" s="29"/>
      <c r="D526" s="29"/>
      <c r="E526" s="29"/>
      <c r="F526" s="29"/>
      <c r="G526" s="2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2:21" ht="15.75" customHeight="1" x14ac:dyDescent="0.2">
      <c r="B527" s="2"/>
      <c r="C527" s="29"/>
      <c r="D527" s="29"/>
      <c r="E527" s="29"/>
      <c r="F527" s="29"/>
      <c r="G527" s="2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2:21" ht="15.75" customHeight="1" x14ac:dyDescent="0.2">
      <c r="B528" s="2"/>
      <c r="C528" s="29"/>
      <c r="D528" s="29"/>
      <c r="E528" s="29"/>
      <c r="F528" s="29"/>
      <c r="G528" s="2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2:21" ht="15.75" customHeight="1" x14ac:dyDescent="0.2">
      <c r="B529" s="2"/>
      <c r="C529" s="29"/>
      <c r="D529" s="29"/>
      <c r="E529" s="29"/>
      <c r="F529" s="29"/>
      <c r="G529" s="2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2:21" ht="15.75" customHeight="1" x14ac:dyDescent="0.2">
      <c r="B530" s="2"/>
      <c r="C530" s="29"/>
      <c r="D530" s="29"/>
      <c r="E530" s="29"/>
      <c r="F530" s="29"/>
      <c r="G530" s="2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2:21" ht="15.75" customHeight="1" x14ac:dyDescent="0.2">
      <c r="B531" s="2"/>
      <c r="C531" s="29"/>
      <c r="D531" s="29"/>
      <c r="E531" s="29"/>
      <c r="F531" s="29"/>
      <c r="G531" s="2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2:21" ht="15.75" customHeight="1" x14ac:dyDescent="0.2">
      <c r="B532" s="2"/>
      <c r="C532" s="29"/>
      <c r="D532" s="29"/>
      <c r="E532" s="29"/>
      <c r="F532" s="29"/>
      <c r="G532" s="2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2:21" ht="15.75" customHeight="1" x14ac:dyDescent="0.2">
      <c r="B533" s="2"/>
      <c r="C533" s="29"/>
      <c r="D533" s="29"/>
      <c r="E533" s="29"/>
      <c r="F533" s="29"/>
      <c r="G533" s="2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2:21" ht="15.75" customHeight="1" x14ac:dyDescent="0.2">
      <c r="B534" s="2"/>
      <c r="C534" s="29"/>
      <c r="D534" s="29"/>
      <c r="E534" s="29"/>
      <c r="F534" s="29"/>
      <c r="G534" s="2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2:21" ht="15.75" customHeight="1" x14ac:dyDescent="0.2">
      <c r="B535" s="2"/>
      <c r="C535" s="29"/>
      <c r="D535" s="29"/>
      <c r="E535" s="29"/>
      <c r="F535" s="29"/>
      <c r="G535" s="2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2:21" ht="15.75" customHeight="1" x14ac:dyDescent="0.2">
      <c r="B536" s="2"/>
      <c r="C536" s="29"/>
      <c r="D536" s="29"/>
      <c r="E536" s="29"/>
      <c r="F536" s="29"/>
      <c r="G536" s="2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2:21" ht="15.75" customHeight="1" x14ac:dyDescent="0.2">
      <c r="B537" s="2"/>
      <c r="C537" s="29"/>
      <c r="D537" s="29"/>
      <c r="E537" s="29"/>
      <c r="F537" s="29"/>
      <c r="G537" s="2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2:21" ht="15.75" customHeight="1" x14ac:dyDescent="0.2">
      <c r="B538" s="2"/>
      <c r="C538" s="29"/>
      <c r="D538" s="29"/>
      <c r="E538" s="29"/>
      <c r="F538" s="29"/>
      <c r="G538" s="2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2:21" ht="15.75" customHeight="1" x14ac:dyDescent="0.2">
      <c r="B539" s="2"/>
      <c r="C539" s="29"/>
      <c r="D539" s="29"/>
      <c r="E539" s="29"/>
      <c r="F539" s="29"/>
      <c r="G539" s="2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2:21" ht="15.75" customHeight="1" x14ac:dyDescent="0.2">
      <c r="B540" s="2"/>
      <c r="C540" s="29"/>
      <c r="D540" s="29"/>
      <c r="E540" s="29"/>
      <c r="F540" s="29"/>
      <c r="G540" s="2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2:21" ht="15.75" customHeight="1" x14ac:dyDescent="0.2">
      <c r="B541" s="2"/>
      <c r="C541" s="29"/>
      <c r="D541" s="29"/>
      <c r="E541" s="29"/>
      <c r="F541" s="29"/>
      <c r="G541" s="2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2:21" ht="15.75" customHeight="1" x14ac:dyDescent="0.2">
      <c r="B542" s="2"/>
      <c r="C542" s="29"/>
      <c r="D542" s="29"/>
      <c r="E542" s="29"/>
      <c r="F542" s="29"/>
      <c r="G542" s="2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2:21" ht="15.75" customHeight="1" x14ac:dyDescent="0.2">
      <c r="B543" s="2"/>
      <c r="C543" s="29"/>
      <c r="D543" s="29"/>
      <c r="E543" s="29"/>
      <c r="F543" s="29"/>
      <c r="G543" s="2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2:21" ht="15.75" customHeight="1" x14ac:dyDescent="0.2">
      <c r="B544" s="2"/>
      <c r="C544" s="29"/>
      <c r="D544" s="29"/>
      <c r="E544" s="29"/>
      <c r="F544" s="29"/>
      <c r="G544" s="2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2:21" ht="15.75" customHeight="1" x14ac:dyDescent="0.2">
      <c r="B545" s="2"/>
      <c r="C545" s="29"/>
      <c r="D545" s="29"/>
      <c r="E545" s="29"/>
      <c r="F545" s="29"/>
      <c r="G545" s="2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2:21" ht="15.75" customHeight="1" x14ac:dyDescent="0.2">
      <c r="B546" s="2"/>
      <c r="C546" s="29"/>
      <c r="D546" s="29"/>
      <c r="E546" s="29"/>
      <c r="F546" s="29"/>
      <c r="G546" s="2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2:21" ht="15.75" customHeight="1" x14ac:dyDescent="0.2">
      <c r="B547" s="2"/>
      <c r="C547" s="29"/>
      <c r="D547" s="29"/>
      <c r="E547" s="29"/>
      <c r="F547" s="29"/>
      <c r="G547" s="2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2:21" ht="15.75" customHeight="1" x14ac:dyDescent="0.2">
      <c r="B548" s="2"/>
      <c r="C548" s="29"/>
      <c r="D548" s="29"/>
      <c r="E548" s="29"/>
      <c r="F548" s="29"/>
      <c r="G548" s="2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2:21" ht="15.75" customHeight="1" x14ac:dyDescent="0.2">
      <c r="B549" s="2"/>
      <c r="C549" s="29"/>
      <c r="D549" s="29"/>
      <c r="E549" s="29"/>
      <c r="F549" s="29"/>
      <c r="G549" s="2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2:21" ht="15.75" customHeight="1" x14ac:dyDescent="0.2">
      <c r="B550" s="2"/>
      <c r="C550" s="29"/>
      <c r="D550" s="29"/>
      <c r="E550" s="29"/>
      <c r="F550" s="29"/>
      <c r="G550" s="2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2:21" ht="15.75" customHeight="1" x14ac:dyDescent="0.2">
      <c r="B551" s="2"/>
      <c r="C551" s="29"/>
      <c r="D551" s="29"/>
      <c r="E551" s="29"/>
      <c r="F551" s="29"/>
      <c r="G551" s="2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2:21" ht="15.75" customHeight="1" x14ac:dyDescent="0.2">
      <c r="B552" s="2"/>
      <c r="C552" s="29"/>
      <c r="D552" s="29"/>
      <c r="E552" s="29"/>
      <c r="F552" s="29"/>
      <c r="G552" s="2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2:21" ht="15.75" customHeight="1" x14ac:dyDescent="0.2">
      <c r="B553" s="2"/>
      <c r="C553" s="29"/>
      <c r="D553" s="29"/>
      <c r="E553" s="29"/>
      <c r="F553" s="29"/>
      <c r="G553" s="2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2:21" ht="15.75" customHeight="1" x14ac:dyDescent="0.2">
      <c r="B554" s="2"/>
      <c r="C554" s="29"/>
      <c r="D554" s="29"/>
      <c r="E554" s="29"/>
      <c r="F554" s="29"/>
      <c r="G554" s="2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2:21" ht="15.75" customHeight="1" x14ac:dyDescent="0.2">
      <c r="B555" s="2"/>
      <c r="C555" s="29"/>
      <c r="D555" s="29"/>
      <c r="E555" s="29"/>
      <c r="F555" s="29"/>
      <c r="G555" s="2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2:21" ht="15.75" customHeight="1" x14ac:dyDescent="0.2">
      <c r="B556" s="2"/>
      <c r="C556" s="29"/>
      <c r="D556" s="29"/>
      <c r="E556" s="29"/>
      <c r="F556" s="29"/>
      <c r="G556" s="2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2:21" ht="15.75" customHeight="1" x14ac:dyDescent="0.2">
      <c r="B557" s="2"/>
      <c r="C557" s="29"/>
      <c r="D557" s="29"/>
      <c r="E557" s="29"/>
      <c r="F557" s="29"/>
      <c r="G557" s="2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2:21" ht="15.75" customHeight="1" x14ac:dyDescent="0.2">
      <c r="B558" s="2"/>
      <c r="C558" s="29"/>
      <c r="D558" s="29"/>
      <c r="E558" s="29"/>
      <c r="F558" s="29"/>
      <c r="G558" s="2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2:21" ht="15.75" customHeight="1" x14ac:dyDescent="0.2">
      <c r="B559" s="2"/>
      <c r="C559" s="29"/>
      <c r="D559" s="29"/>
      <c r="E559" s="29"/>
      <c r="F559" s="29"/>
      <c r="G559" s="2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2:21" ht="15.75" customHeight="1" x14ac:dyDescent="0.2">
      <c r="B560" s="2"/>
      <c r="C560" s="29"/>
      <c r="D560" s="29"/>
      <c r="E560" s="29"/>
      <c r="F560" s="29"/>
      <c r="G560" s="2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2:21" ht="15.75" customHeight="1" x14ac:dyDescent="0.2">
      <c r="B561" s="2"/>
      <c r="C561" s="29"/>
      <c r="D561" s="29"/>
      <c r="E561" s="29"/>
      <c r="F561" s="29"/>
      <c r="G561" s="2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2:21" ht="15.75" customHeight="1" x14ac:dyDescent="0.2">
      <c r="B562" s="2"/>
      <c r="C562" s="29"/>
      <c r="D562" s="29"/>
      <c r="E562" s="29"/>
      <c r="F562" s="29"/>
      <c r="G562" s="2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2:21" ht="15.75" customHeight="1" x14ac:dyDescent="0.2">
      <c r="B563" s="2"/>
      <c r="C563" s="29"/>
      <c r="D563" s="29"/>
      <c r="E563" s="29"/>
      <c r="F563" s="29"/>
      <c r="G563" s="2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2:21" ht="15.75" customHeight="1" x14ac:dyDescent="0.2">
      <c r="B564" s="2"/>
      <c r="C564" s="29"/>
      <c r="D564" s="29"/>
      <c r="E564" s="29"/>
      <c r="F564" s="29"/>
      <c r="G564" s="2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2:21" ht="15.75" customHeight="1" x14ac:dyDescent="0.2">
      <c r="B565" s="2"/>
      <c r="C565" s="29"/>
      <c r="D565" s="29"/>
      <c r="E565" s="29"/>
      <c r="F565" s="29"/>
      <c r="G565" s="2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2:21" ht="15.75" customHeight="1" x14ac:dyDescent="0.2">
      <c r="B566" s="2"/>
      <c r="C566" s="29"/>
      <c r="D566" s="29"/>
      <c r="E566" s="29"/>
      <c r="F566" s="29"/>
      <c r="G566" s="2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2:21" ht="15.75" customHeight="1" x14ac:dyDescent="0.2">
      <c r="B567" s="2"/>
      <c r="C567" s="29"/>
      <c r="D567" s="29"/>
      <c r="E567" s="29"/>
      <c r="F567" s="29"/>
      <c r="G567" s="2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2:21" ht="15.75" customHeight="1" x14ac:dyDescent="0.2">
      <c r="B568" s="2"/>
      <c r="C568" s="29"/>
      <c r="D568" s="29"/>
      <c r="E568" s="29"/>
      <c r="F568" s="29"/>
      <c r="G568" s="2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2:21" ht="15.75" customHeight="1" x14ac:dyDescent="0.2">
      <c r="B569" s="2"/>
      <c r="C569" s="29"/>
      <c r="D569" s="29"/>
      <c r="E569" s="29"/>
      <c r="F569" s="29"/>
      <c r="G569" s="2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2:21" ht="15.75" customHeight="1" x14ac:dyDescent="0.2">
      <c r="B570" s="2"/>
      <c r="C570" s="29"/>
      <c r="D570" s="29"/>
      <c r="E570" s="29"/>
      <c r="F570" s="29"/>
      <c r="G570" s="2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2:21" ht="15.75" customHeight="1" x14ac:dyDescent="0.2">
      <c r="B571" s="2"/>
      <c r="C571" s="29"/>
      <c r="D571" s="29"/>
      <c r="E571" s="29"/>
      <c r="F571" s="29"/>
      <c r="G571" s="2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2:21" ht="15.75" customHeight="1" x14ac:dyDescent="0.2">
      <c r="B572" s="2"/>
      <c r="C572" s="29"/>
      <c r="D572" s="29"/>
      <c r="E572" s="29"/>
      <c r="F572" s="29"/>
      <c r="G572" s="2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2:21" ht="15.75" customHeight="1" x14ac:dyDescent="0.2">
      <c r="B573" s="2"/>
      <c r="C573" s="29"/>
      <c r="D573" s="29"/>
      <c r="E573" s="29"/>
      <c r="F573" s="29"/>
      <c r="G573" s="2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2:21" ht="15.75" customHeight="1" x14ac:dyDescent="0.2">
      <c r="B574" s="2"/>
      <c r="C574" s="29"/>
      <c r="D574" s="29"/>
      <c r="E574" s="29"/>
      <c r="F574" s="29"/>
      <c r="G574" s="2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2:21" ht="15.75" customHeight="1" x14ac:dyDescent="0.2">
      <c r="B575" s="2"/>
      <c r="C575" s="29"/>
      <c r="D575" s="29"/>
      <c r="E575" s="29"/>
      <c r="F575" s="29"/>
      <c r="G575" s="2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2:21" ht="15.75" customHeight="1" x14ac:dyDescent="0.2">
      <c r="B576" s="2"/>
      <c r="C576" s="29"/>
      <c r="D576" s="29"/>
      <c r="E576" s="29"/>
      <c r="F576" s="29"/>
      <c r="G576" s="2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2:21" ht="15.75" customHeight="1" x14ac:dyDescent="0.2">
      <c r="B577" s="2"/>
      <c r="C577" s="29"/>
      <c r="D577" s="29"/>
      <c r="E577" s="29"/>
      <c r="F577" s="29"/>
      <c r="G577" s="2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2:21" ht="15.75" customHeight="1" x14ac:dyDescent="0.2">
      <c r="B578" s="2"/>
      <c r="C578" s="29"/>
      <c r="D578" s="29"/>
      <c r="E578" s="29"/>
      <c r="F578" s="29"/>
      <c r="G578" s="2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2:21" ht="15.75" customHeight="1" x14ac:dyDescent="0.2">
      <c r="B579" s="2"/>
      <c r="C579" s="29"/>
      <c r="D579" s="29"/>
      <c r="E579" s="29"/>
      <c r="F579" s="29"/>
      <c r="G579" s="2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2:21" ht="15.75" customHeight="1" x14ac:dyDescent="0.2">
      <c r="B580" s="2"/>
      <c r="C580" s="29"/>
      <c r="D580" s="29"/>
      <c r="E580" s="29"/>
      <c r="F580" s="29"/>
      <c r="G580" s="2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2:21" ht="15.75" customHeight="1" x14ac:dyDescent="0.2">
      <c r="B581" s="2"/>
      <c r="C581" s="29"/>
      <c r="D581" s="29"/>
      <c r="E581" s="29"/>
      <c r="F581" s="29"/>
      <c r="G581" s="2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2:21" ht="15.75" customHeight="1" x14ac:dyDescent="0.2">
      <c r="B582" s="2"/>
      <c r="C582" s="29"/>
      <c r="D582" s="29"/>
      <c r="E582" s="29"/>
      <c r="F582" s="29"/>
      <c r="G582" s="2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2:21" ht="15.75" customHeight="1" x14ac:dyDescent="0.2">
      <c r="B583" s="2"/>
      <c r="C583" s="29"/>
      <c r="D583" s="29"/>
      <c r="E583" s="29"/>
      <c r="F583" s="29"/>
      <c r="G583" s="2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2:21" ht="15.75" customHeight="1" x14ac:dyDescent="0.2">
      <c r="B584" s="2"/>
      <c r="C584" s="29"/>
      <c r="D584" s="29"/>
      <c r="E584" s="29"/>
      <c r="F584" s="29"/>
      <c r="G584" s="2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2:21" ht="15.75" customHeight="1" x14ac:dyDescent="0.2">
      <c r="B585" s="2"/>
      <c r="C585" s="29"/>
      <c r="D585" s="29"/>
      <c r="E585" s="29"/>
      <c r="F585" s="29"/>
      <c r="G585" s="2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2:21" ht="15.75" customHeight="1" x14ac:dyDescent="0.2">
      <c r="B586" s="2"/>
      <c r="C586" s="29"/>
      <c r="D586" s="29"/>
      <c r="E586" s="29"/>
      <c r="F586" s="29"/>
      <c r="G586" s="2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2:21" ht="15.75" customHeight="1" x14ac:dyDescent="0.2">
      <c r="B587" s="2"/>
      <c r="C587" s="29"/>
      <c r="D587" s="29"/>
      <c r="E587" s="29"/>
      <c r="F587" s="29"/>
      <c r="G587" s="2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2:21" ht="15.75" customHeight="1" x14ac:dyDescent="0.2">
      <c r="B588" s="2"/>
      <c r="C588" s="29"/>
      <c r="D588" s="29"/>
      <c r="E588" s="29"/>
      <c r="F588" s="29"/>
      <c r="G588" s="2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2:21" ht="15.75" customHeight="1" x14ac:dyDescent="0.2">
      <c r="B589" s="2"/>
      <c r="C589" s="29"/>
      <c r="D589" s="29"/>
      <c r="E589" s="29"/>
      <c r="F589" s="29"/>
      <c r="G589" s="2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2:21" ht="15.75" customHeight="1" x14ac:dyDescent="0.2">
      <c r="B590" s="2"/>
      <c r="C590" s="29"/>
      <c r="D590" s="29"/>
      <c r="E590" s="29"/>
      <c r="F590" s="29"/>
      <c r="G590" s="2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2:21" ht="15.75" customHeight="1" x14ac:dyDescent="0.2">
      <c r="B591" s="2"/>
      <c r="C591" s="29"/>
      <c r="D591" s="29"/>
      <c r="E591" s="29"/>
      <c r="F591" s="29"/>
      <c r="G591" s="2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2:21" ht="15.75" customHeight="1" x14ac:dyDescent="0.2">
      <c r="B592" s="2"/>
      <c r="C592" s="29"/>
      <c r="D592" s="29"/>
      <c r="E592" s="29"/>
      <c r="F592" s="29"/>
      <c r="G592" s="2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2:21" ht="15.75" customHeight="1" x14ac:dyDescent="0.2">
      <c r="B593" s="2"/>
      <c r="C593" s="29"/>
      <c r="D593" s="29"/>
      <c r="E593" s="29"/>
      <c r="F593" s="29"/>
      <c r="G593" s="2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2:21" ht="15.75" customHeight="1" x14ac:dyDescent="0.2">
      <c r="B594" s="2"/>
      <c r="C594" s="29"/>
      <c r="D594" s="29"/>
      <c r="E594" s="29"/>
      <c r="F594" s="29"/>
      <c r="G594" s="2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2:21" ht="15.75" customHeight="1" x14ac:dyDescent="0.2">
      <c r="B595" s="2"/>
      <c r="C595" s="29"/>
      <c r="D595" s="29"/>
      <c r="E595" s="29"/>
      <c r="F595" s="29"/>
      <c r="G595" s="2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2:21" ht="15.75" customHeight="1" x14ac:dyDescent="0.2">
      <c r="B596" s="2"/>
      <c r="C596" s="29"/>
      <c r="D596" s="29"/>
      <c r="E596" s="29"/>
      <c r="F596" s="29"/>
      <c r="G596" s="2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2:21" ht="15.75" customHeight="1" x14ac:dyDescent="0.2">
      <c r="B597" s="2"/>
      <c r="C597" s="29"/>
      <c r="D597" s="29"/>
      <c r="E597" s="29"/>
      <c r="F597" s="29"/>
      <c r="G597" s="2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2:21" ht="15.75" customHeight="1" x14ac:dyDescent="0.2">
      <c r="B598" s="2"/>
      <c r="C598" s="29"/>
      <c r="D598" s="29"/>
      <c r="E598" s="29"/>
      <c r="F598" s="29"/>
      <c r="G598" s="2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2:21" ht="15.75" customHeight="1" x14ac:dyDescent="0.2">
      <c r="B599" s="2"/>
      <c r="C599" s="29"/>
      <c r="D599" s="29"/>
      <c r="E599" s="29"/>
      <c r="F599" s="29"/>
      <c r="G599" s="2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2:21" ht="15.75" customHeight="1" x14ac:dyDescent="0.2">
      <c r="B600" s="2"/>
      <c r="C600" s="29"/>
      <c r="D600" s="29"/>
      <c r="E600" s="29"/>
      <c r="F600" s="29"/>
      <c r="G600" s="2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2:21" ht="15.75" customHeight="1" x14ac:dyDescent="0.2">
      <c r="B601" s="2"/>
      <c r="C601" s="29"/>
      <c r="D601" s="29"/>
      <c r="E601" s="29"/>
      <c r="F601" s="29"/>
      <c r="G601" s="2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2:21" ht="15.75" customHeight="1" x14ac:dyDescent="0.2">
      <c r="B602" s="2"/>
      <c r="C602" s="29"/>
      <c r="D602" s="29"/>
      <c r="E602" s="29"/>
      <c r="F602" s="29"/>
      <c r="G602" s="2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2:21" ht="15.75" customHeight="1" x14ac:dyDescent="0.2">
      <c r="B603" s="2"/>
      <c r="C603" s="29"/>
      <c r="D603" s="29"/>
      <c r="E603" s="29"/>
      <c r="F603" s="29"/>
      <c r="G603" s="2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2:21" ht="15.75" customHeight="1" x14ac:dyDescent="0.2">
      <c r="B604" s="2"/>
      <c r="C604" s="29"/>
      <c r="D604" s="29"/>
      <c r="E604" s="29"/>
      <c r="F604" s="29"/>
      <c r="G604" s="2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2:21" ht="15.75" customHeight="1" x14ac:dyDescent="0.2">
      <c r="B605" s="2"/>
      <c r="C605" s="29"/>
      <c r="D605" s="29"/>
      <c r="E605" s="29"/>
      <c r="F605" s="29"/>
      <c r="G605" s="2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2:21" ht="15.75" customHeight="1" x14ac:dyDescent="0.2">
      <c r="B606" s="2"/>
      <c r="C606" s="29"/>
      <c r="D606" s="29"/>
      <c r="E606" s="29"/>
      <c r="F606" s="29"/>
      <c r="G606" s="2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2:21" ht="15.75" customHeight="1" x14ac:dyDescent="0.2">
      <c r="B607" s="2"/>
      <c r="C607" s="29"/>
      <c r="D607" s="29"/>
      <c r="E607" s="29"/>
      <c r="F607" s="29"/>
      <c r="G607" s="2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2:21" ht="15.75" customHeight="1" x14ac:dyDescent="0.2">
      <c r="B608" s="2"/>
      <c r="C608" s="29"/>
      <c r="D608" s="29"/>
      <c r="E608" s="29"/>
      <c r="F608" s="29"/>
      <c r="G608" s="2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2:21" ht="15.75" customHeight="1" x14ac:dyDescent="0.2">
      <c r="B609" s="2"/>
      <c r="C609" s="29"/>
      <c r="D609" s="29"/>
      <c r="E609" s="29"/>
      <c r="F609" s="29"/>
      <c r="G609" s="2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2:21" ht="15.75" customHeight="1" x14ac:dyDescent="0.2">
      <c r="B610" s="2"/>
      <c r="C610" s="29"/>
      <c r="D610" s="29"/>
      <c r="E610" s="29"/>
      <c r="F610" s="29"/>
      <c r="G610" s="2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2:21" ht="15.75" customHeight="1" x14ac:dyDescent="0.2">
      <c r="B611" s="2"/>
      <c r="C611" s="29"/>
      <c r="D611" s="29"/>
      <c r="E611" s="29"/>
      <c r="F611" s="29"/>
      <c r="G611" s="2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2:21" ht="15.75" customHeight="1" x14ac:dyDescent="0.2">
      <c r="B612" s="2"/>
      <c r="C612" s="29"/>
      <c r="D612" s="29"/>
      <c r="E612" s="29"/>
      <c r="F612" s="29"/>
      <c r="G612" s="2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2:21" ht="15.75" customHeight="1" x14ac:dyDescent="0.2">
      <c r="B613" s="2"/>
      <c r="C613" s="29"/>
      <c r="D613" s="29"/>
      <c r="E613" s="29"/>
      <c r="F613" s="29"/>
      <c r="G613" s="2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2:21" ht="15.75" customHeight="1" x14ac:dyDescent="0.2">
      <c r="B614" s="2"/>
      <c r="C614" s="29"/>
      <c r="D614" s="29"/>
      <c r="E614" s="29"/>
      <c r="F614" s="29"/>
      <c r="G614" s="2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2:21" ht="15.75" customHeight="1" x14ac:dyDescent="0.2">
      <c r="B615" s="2"/>
      <c r="C615" s="29"/>
      <c r="D615" s="29"/>
      <c r="E615" s="29"/>
      <c r="F615" s="29"/>
      <c r="G615" s="2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2:21" ht="15.75" customHeight="1" x14ac:dyDescent="0.2">
      <c r="B616" s="2"/>
      <c r="C616" s="29"/>
      <c r="D616" s="29"/>
      <c r="E616" s="29"/>
      <c r="F616" s="29"/>
      <c r="G616" s="2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2:21" ht="15.75" customHeight="1" x14ac:dyDescent="0.2">
      <c r="B617" s="2"/>
      <c r="C617" s="29"/>
      <c r="D617" s="29"/>
      <c r="E617" s="29"/>
      <c r="F617" s="29"/>
      <c r="G617" s="2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2:21" ht="15.75" customHeight="1" x14ac:dyDescent="0.2">
      <c r="B618" s="2"/>
      <c r="C618" s="29"/>
      <c r="D618" s="29"/>
      <c r="E618" s="29"/>
      <c r="F618" s="29"/>
      <c r="G618" s="2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2:21" ht="15.75" customHeight="1" x14ac:dyDescent="0.2">
      <c r="B619" s="2"/>
      <c r="C619" s="29"/>
      <c r="D619" s="29"/>
      <c r="E619" s="29"/>
      <c r="F619" s="29"/>
      <c r="G619" s="2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2:21" ht="15.75" customHeight="1" x14ac:dyDescent="0.2">
      <c r="B620" s="2"/>
      <c r="C620" s="29"/>
      <c r="D620" s="29"/>
      <c r="E620" s="29"/>
      <c r="F620" s="29"/>
      <c r="G620" s="2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2:21" ht="15.75" customHeight="1" x14ac:dyDescent="0.2">
      <c r="B621" s="2"/>
      <c r="C621" s="29"/>
      <c r="D621" s="29"/>
      <c r="E621" s="29"/>
      <c r="F621" s="29"/>
      <c r="G621" s="2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2:21" ht="15.75" customHeight="1" x14ac:dyDescent="0.2">
      <c r="B622" s="2"/>
      <c r="C622" s="29"/>
      <c r="D622" s="29"/>
      <c r="E622" s="29"/>
      <c r="F622" s="29"/>
      <c r="G622" s="2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2:21" ht="15.75" customHeight="1" x14ac:dyDescent="0.2">
      <c r="B623" s="2"/>
      <c r="C623" s="29"/>
      <c r="D623" s="29"/>
      <c r="E623" s="29"/>
      <c r="F623" s="29"/>
      <c r="G623" s="2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2:21" ht="15.75" customHeight="1" x14ac:dyDescent="0.2">
      <c r="B624" s="2"/>
      <c r="C624" s="29"/>
      <c r="D624" s="29"/>
      <c r="E624" s="29"/>
      <c r="F624" s="29"/>
      <c r="G624" s="2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2:21" ht="15.75" customHeight="1" x14ac:dyDescent="0.2">
      <c r="B625" s="2"/>
      <c r="C625" s="29"/>
      <c r="D625" s="29"/>
      <c r="E625" s="29"/>
      <c r="F625" s="29"/>
      <c r="G625" s="2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2:21" ht="15.75" customHeight="1" x14ac:dyDescent="0.2">
      <c r="B626" s="2"/>
      <c r="C626" s="29"/>
      <c r="D626" s="29"/>
      <c r="E626" s="29"/>
      <c r="F626" s="29"/>
      <c r="G626" s="2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2:21" ht="15.75" customHeight="1" x14ac:dyDescent="0.2">
      <c r="B627" s="2"/>
      <c r="C627" s="29"/>
      <c r="D627" s="29"/>
      <c r="E627" s="29"/>
      <c r="F627" s="29"/>
      <c r="G627" s="2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2:21" ht="15.75" customHeight="1" x14ac:dyDescent="0.2">
      <c r="B628" s="2"/>
      <c r="C628" s="29"/>
      <c r="D628" s="29"/>
      <c r="E628" s="29"/>
      <c r="F628" s="29"/>
      <c r="G628" s="2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2:21" ht="15.75" customHeight="1" x14ac:dyDescent="0.2">
      <c r="B629" s="2"/>
      <c r="C629" s="29"/>
      <c r="D629" s="29"/>
      <c r="E629" s="29"/>
      <c r="F629" s="29"/>
      <c r="G629" s="2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2:21" ht="15.75" customHeight="1" x14ac:dyDescent="0.2">
      <c r="B630" s="2"/>
      <c r="C630" s="29"/>
      <c r="D630" s="29"/>
      <c r="E630" s="29"/>
      <c r="F630" s="29"/>
      <c r="G630" s="2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2:21" ht="15.75" customHeight="1" x14ac:dyDescent="0.2">
      <c r="B631" s="2"/>
      <c r="C631" s="29"/>
      <c r="D631" s="29"/>
      <c r="E631" s="29"/>
      <c r="F631" s="29"/>
      <c r="G631" s="2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2:21" ht="15.75" customHeight="1" x14ac:dyDescent="0.2">
      <c r="B632" s="2"/>
      <c r="C632" s="29"/>
      <c r="D632" s="29"/>
      <c r="E632" s="29"/>
      <c r="F632" s="29"/>
      <c r="G632" s="2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2:21" ht="15.75" customHeight="1" x14ac:dyDescent="0.2">
      <c r="B633" s="2"/>
      <c r="C633" s="29"/>
      <c r="D633" s="29"/>
      <c r="E633" s="29"/>
      <c r="F633" s="29"/>
      <c r="G633" s="2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2:21" ht="15.75" customHeight="1" x14ac:dyDescent="0.2">
      <c r="B634" s="2"/>
      <c r="C634" s="29"/>
      <c r="D634" s="29"/>
      <c r="E634" s="29"/>
      <c r="F634" s="29"/>
      <c r="G634" s="2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2:21" ht="15.75" customHeight="1" x14ac:dyDescent="0.2">
      <c r="B635" s="2"/>
      <c r="C635" s="29"/>
      <c r="D635" s="29"/>
      <c r="E635" s="29"/>
      <c r="F635" s="29"/>
      <c r="G635" s="2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2:21" ht="15.75" customHeight="1" x14ac:dyDescent="0.2">
      <c r="B636" s="2"/>
      <c r="C636" s="29"/>
      <c r="D636" s="29"/>
      <c r="E636" s="29"/>
      <c r="F636" s="29"/>
      <c r="G636" s="2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2:21" ht="15.75" customHeight="1" x14ac:dyDescent="0.2">
      <c r="B637" s="2"/>
      <c r="C637" s="29"/>
      <c r="D637" s="29"/>
      <c r="E637" s="29"/>
      <c r="F637" s="29"/>
      <c r="G637" s="2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2:21" ht="15.75" customHeight="1" x14ac:dyDescent="0.2">
      <c r="B638" s="2"/>
      <c r="C638" s="29"/>
      <c r="D638" s="29"/>
      <c r="E638" s="29"/>
      <c r="F638" s="29"/>
      <c r="G638" s="2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2:21" ht="15.75" customHeight="1" x14ac:dyDescent="0.2">
      <c r="B639" s="2"/>
      <c r="C639" s="29"/>
      <c r="D639" s="29"/>
      <c r="E639" s="29"/>
      <c r="F639" s="29"/>
      <c r="G639" s="2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2:21" ht="15.75" customHeight="1" x14ac:dyDescent="0.2">
      <c r="B640" s="2"/>
      <c r="C640" s="29"/>
      <c r="D640" s="29"/>
      <c r="E640" s="29"/>
      <c r="F640" s="29"/>
      <c r="G640" s="2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2:21" ht="15.75" customHeight="1" x14ac:dyDescent="0.2">
      <c r="B641" s="2"/>
      <c r="C641" s="29"/>
      <c r="D641" s="29"/>
      <c r="E641" s="29"/>
      <c r="F641" s="29"/>
      <c r="G641" s="2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2:21" ht="15.75" customHeight="1" x14ac:dyDescent="0.2"/>
    <row r="643" spans="2:21" ht="15.75" customHeight="1" x14ac:dyDescent="0.2"/>
    <row r="644" spans="2:21" ht="15.75" customHeight="1" x14ac:dyDescent="0.2"/>
    <row r="645" spans="2:21" ht="15.75" customHeight="1" x14ac:dyDescent="0.2"/>
    <row r="646" spans="2:21" ht="15.75" customHeight="1" x14ac:dyDescent="0.2"/>
    <row r="647" spans="2:21" ht="15.75" customHeight="1" x14ac:dyDescent="0.2"/>
    <row r="648" spans="2:21" ht="15.75" customHeight="1" x14ac:dyDescent="0.2"/>
    <row r="649" spans="2:21" ht="15.75" customHeight="1" x14ac:dyDescent="0.2"/>
    <row r="650" spans="2:21" ht="15.75" customHeight="1" x14ac:dyDescent="0.2"/>
    <row r="651" spans="2:21" ht="15.75" customHeight="1" x14ac:dyDescent="0.2"/>
    <row r="652" spans="2:21" ht="15.75" customHeight="1" x14ac:dyDescent="0.2"/>
    <row r="653" spans="2:21" ht="15.75" customHeight="1" x14ac:dyDescent="0.2"/>
    <row r="654" spans="2:21" ht="15.75" customHeight="1" x14ac:dyDescent="0.2"/>
    <row r="655" spans="2:21" ht="15.75" customHeight="1" x14ac:dyDescent="0.2"/>
    <row r="656" spans="2:21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</sheetData>
  <mergeCells count="2">
    <mergeCell ref="A4:G4"/>
    <mergeCell ref="A5:G5"/>
  </mergeCells>
  <phoneticPr fontId="13" type="noConversion"/>
  <pageMargins left="0.26" right="0.16" top="0.15748031496062992" bottom="0.15748031496062992" header="0.15748031496062992" footer="0.15748031496062992"/>
  <pageSetup paperSize="9" scale="7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74"/>
  <sheetViews>
    <sheetView zoomScaleNormal="100" workbookViewId="0">
      <selection activeCell="A6" sqref="A6:O6"/>
    </sheetView>
  </sheetViews>
  <sheetFormatPr defaultRowHeight="12.75" x14ac:dyDescent="0.2"/>
  <cols>
    <col min="1" max="1" width="21.85546875" customWidth="1"/>
    <col min="2" max="2" width="13.42578125" customWidth="1"/>
    <col min="3" max="3" width="10.5703125" customWidth="1"/>
    <col min="4" max="4" width="9.140625" customWidth="1"/>
    <col min="5" max="5" width="10.7109375" customWidth="1"/>
    <col min="6" max="6" width="7" customWidth="1"/>
    <col min="7" max="7" width="11.85546875" customWidth="1"/>
    <col min="8" max="8" width="10.140625" customWidth="1"/>
    <col min="9" max="9" width="9.140625" customWidth="1"/>
    <col min="10" max="10" width="10" style="95" customWidth="1"/>
    <col min="11" max="11" width="10.5703125" style="95" customWidth="1"/>
    <col min="12" max="12" width="10.85546875" style="95" customWidth="1"/>
    <col min="13" max="13" width="10.7109375" style="95" customWidth="1"/>
    <col min="14" max="14" width="12.28515625" style="95" customWidth="1"/>
    <col min="15" max="15" width="11" style="95" customWidth="1"/>
    <col min="16" max="18" width="12.7109375" customWidth="1"/>
    <col min="19" max="19" width="10.28515625" customWidth="1"/>
  </cols>
  <sheetData>
    <row r="1" spans="1:16" x14ac:dyDescent="0.2">
      <c r="A1" s="54"/>
      <c r="B1" s="54"/>
      <c r="C1" s="54"/>
      <c r="D1" s="54"/>
      <c r="E1" s="54"/>
      <c r="F1" s="54"/>
      <c r="G1" s="54"/>
      <c r="H1" s="54"/>
      <c r="I1" s="54"/>
      <c r="J1" s="138"/>
      <c r="K1" s="138"/>
      <c r="L1" s="138"/>
      <c r="M1" s="138"/>
      <c r="N1" s="138"/>
      <c r="O1" s="84" t="s">
        <v>1209</v>
      </c>
    </row>
    <row r="2" spans="1:16" x14ac:dyDescent="0.2">
      <c r="A2" s="54"/>
      <c r="B2" s="54"/>
      <c r="C2" s="54"/>
      <c r="D2" s="54"/>
      <c r="E2" s="54"/>
      <c r="F2" s="54"/>
      <c r="G2" s="54"/>
      <c r="H2" s="54"/>
      <c r="I2" s="54"/>
      <c r="J2" s="138"/>
      <c r="K2" s="138"/>
      <c r="L2" s="138"/>
      <c r="M2" s="138"/>
      <c r="N2" s="138"/>
      <c r="O2" s="724" t="str">
        <f>'1.Bev-kiad.'!C2</f>
        <v>a /2023.() önkormányzati rendelethez</v>
      </c>
    </row>
    <row r="3" spans="1:16" x14ac:dyDescent="0.2">
      <c r="A3" s="54"/>
      <c r="B3" s="54"/>
      <c r="C3" s="54"/>
      <c r="D3" s="54"/>
      <c r="E3" s="54"/>
      <c r="F3" s="54"/>
      <c r="G3" s="54"/>
      <c r="H3" s="54"/>
      <c r="I3" s="54"/>
      <c r="J3" s="138"/>
      <c r="K3" s="138"/>
      <c r="L3" s="138"/>
      <c r="M3" s="138"/>
      <c r="N3" s="138"/>
      <c r="O3" s="181"/>
    </row>
    <row r="4" spans="1:16" ht="16.5" customHeight="1" x14ac:dyDescent="0.2">
      <c r="A4" s="825" t="s">
        <v>115</v>
      </c>
      <c r="B4" s="802"/>
      <c r="C4" s="802"/>
      <c r="D4" s="80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</row>
    <row r="5" spans="1:16" ht="30.75" customHeight="1" x14ac:dyDescent="0.2">
      <c r="A5" s="859" t="s">
        <v>1330</v>
      </c>
      <c r="B5" s="801"/>
      <c r="C5" s="801"/>
      <c r="D5" s="801"/>
      <c r="E5" s="801"/>
      <c r="F5" s="801"/>
      <c r="G5" s="801"/>
      <c r="H5" s="801"/>
      <c r="I5" s="801"/>
      <c r="J5" s="801"/>
      <c r="K5" s="801"/>
      <c r="L5" s="801"/>
      <c r="M5" s="801"/>
      <c r="N5" s="801"/>
      <c r="O5" s="801"/>
      <c r="P5" s="139"/>
    </row>
    <row r="6" spans="1:16" ht="12" customHeight="1" x14ac:dyDescent="0.2">
      <c r="A6" s="801"/>
      <c r="B6" s="801"/>
      <c r="C6" s="801"/>
      <c r="D6" s="801"/>
      <c r="E6" s="801"/>
      <c r="F6" s="801"/>
      <c r="G6" s="801"/>
      <c r="H6" s="801"/>
      <c r="I6" s="801"/>
      <c r="J6" s="801"/>
      <c r="K6" s="801"/>
      <c r="L6" s="801"/>
      <c r="M6" s="801"/>
      <c r="N6" s="801"/>
      <c r="O6" s="801"/>
    </row>
    <row r="7" spans="1:16" ht="12.95" customHeight="1" thickBot="1" x14ac:dyDescent="0.25">
      <c r="A7" s="3"/>
      <c r="B7" s="3"/>
      <c r="C7" s="3"/>
      <c r="D7" s="3"/>
      <c r="E7" s="3"/>
      <c r="F7" s="3"/>
      <c r="G7" s="3"/>
      <c r="H7" s="3"/>
      <c r="I7" s="3"/>
      <c r="J7" s="86"/>
      <c r="K7" s="86"/>
      <c r="L7" s="86"/>
      <c r="M7" s="86"/>
      <c r="N7" s="86"/>
      <c r="O7" s="84" t="s">
        <v>0</v>
      </c>
    </row>
    <row r="8" spans="1:16" ht="43.5" customHeight="1" x14ac:dyDescent="0.2">
      <c r="A8" s="868" t="s">
        <v>105</v>
      </c>
      <c r="B8" s="853" t="s">
        <v>106</v>
      </c>
      <c r="C8" s="853" t="s">
        <v>107</v>
      </c>
      <c r="D8" s="850" t="s">
        <v>114</v>
      </c>
      <c r="E8" s="853" t="s">
        <v>108</v>
      </c>
      <c r="F8" s="430"/>
      <c r="G8" s="850" t="s">
        <v>1101</v>
      </c>
      <c r="H8" s="856" t="s">
        <v>109</v>
      </c>
      <c r="I8" s="857"/>
      <c r="J8" s="857"/>
      <c r="K8" s="858"/>
      <c r="L8" s="850" t="s">
        <v>873</v>
      </c>
      <c r="M8" s="863" t="s">
        <v>1207</v>
      </c>
      <c r="N8" s="863" t="s">
        <v>1100</v>
      </c>
      <c r="O8" s="860" t="s">
        <v>383</v>
      </c>
    </row>
    <row r="9" spans="1:16" ht="51" customHeight="1" x14ac:dyDescent="0.2">
      <c r="A9" s="869"/>
      <c r="B9" s="854"/>
      <c r="C9" s="854"/>
      <c r="D9" s="851"/>
      <c r="E9" s="854"/>
      <c r="F9" s="178" t="s">
        <v>366</v>
      </c>
      <c r="G9" s="851"/>
      <c r="H9" s="866" t="s">
        <v>111</v>
      </c>
      <c r="I9" s="867"/>
      <c r="J9" s="854" t="s">
        <v>110</v>
      </c>
      <c r="K9" s="854" t="s">
        <v>367</v>
      </c>
      <c r="L9" s="851"/>
      <c r="M9" s="864"/>
      <c r="N9" s="864"/>
      <c r="O9" s="861"/>
    </row>
    <row r="10" spans="1:16" ht="41.25" customHeight="1" thickBot="1" x14ac:dyDescent="0.25">
      <c r="A10" s="870"/>
      <c r="B10" s="855"/>
      <c r="C10" s="855"/>
      <c r="D10" s="852"/>
      <c r="E10" s="855"/>
      <c r="F10" s="431"/>
      <c r="G10" s="852"/>
      <c r="H10" s="432" t="s">
        <v>112</v>
      </c>
      <c r="I10" s="432" t="s">
        <v>113</v>
      </c>
      <c r="J10" s="855"/>
      <c r="K10" s="855"/>
      <c r="L10" s="852"/>
      <c r="M10" s="865"/>
      <c r="N10" s="865"/>
      <c r="O10" s="862"/>
    </row>
    <row r="11" spans="1:16" ht="25.5" x14ac:dyDescent="0.2">
      <c r="A11" s="427" t="s">
        <v>480</v>
      </c>
      <c r="B11" s="433" t="s">
        <v>481</v>
      </c>
      <c r="C11" s="79">
        <v>680000</v>
      </c>
      <c r="D11" s="144" t="s">
        <v>482</v>
      </c>
      <c r="E11" s="79">
        <v>680000</v>
      </c>
      <c r="F11" s="79">
        <v>0</v>
      </c>
      <c r="G11" s="79">
        <v>665000</v>
      </c>
      <c r="H11" s="79">
        <f>SUM(K11)</f>
        <v>665000</v>
      </c>
      <c r="I11" s="12">
        <v>0</v>
      </c>
      <c r="J11" s="79">
        <v>0</v>
      </c>
      <c r="K11" s="79">
        <f>(665000+'3.felh'!C24)</f>
        <v>665000</v>
      </c>
      <c r="L11" s="79">
        <v>0</v>
      </c>
      <c r="M11" s="79" t="e">
        <f>SUM('3.felh'!C68+'8.Önk.'!#REF!)</f>
        <v>#REF!</v>
      </c>
      <c r="N11" s="696" t="s">
        <v>66</v>
      </c>
      <c r="O11" s="434" t="s">
        <v>66</v>
      </c>
    </row>
    <row r="12" spans="1:16" ht="36" x14ac:dyDescent="0.2">
      <c r="A12" s="20" t="s">
        <v>891</v>
      </c>
      <c r="B12" s="433" t="s">
        <v>1210</v>
      </c>
      <c r="C12" s="79">
        <v>230000</v>
      </c>
      <c r="D12" s="144" t="s">
        <v>482</v>
      </c>
      <c r="E12" s="79">
        <v>230000</v>
      </c>
      <c r="F12" s="79">
        <v>0</v>
      </c>
      <c r="G12" s="79">
        <v>221049</v>
      </c>
      <c r="H12" s="79">
        <v>221049</v>
      </c>
      <c r="I12" s="12">
        <v>0</v>
      </c>
      <c r="J12" s="79">
        <v>0</v>
      </c>
      <c r="K12" s="79">
        <v>221049</v>
      </c>
      <c r="L12" s="79">
        <v>0</v>
      </c>
      <c r="M12" s="79" t="e">
        <f>SUM('3.felh'!C46+'3.felh'!C47+'8.Önk.'!#REF!)</f>
        <v>#REF!</v>
      </c>
      <c r="N12" s="559" t="s">
        <v>66</v>
      </c>
      <c r="O12" s="434" t="s">
        <v>66</v>
      </c>
    </row>
    <row r="13" spans="1:16" ht="38.25" customHeight="1" thickBot="1" x14ac:dyDescent="0.25">
      <c r="A13" s="20" t="s">
        <v>1206</v>
      </c>
      <c r="B13" s="433" t="s">
        <v>1205</v>
      </c>
      <c r="C13" s="79">
        <v>238522</v>
      </c>
      <c r="D13" s="144" t="s">
        <v>482</v>
      </c>
      <c r="E13" s="79">
        <v>238522</v>
      </c>
      <c r="F13" s="79">
        <v>0</v>
      </c>
      <c r="G13" s="79">
        <v>227589</v>
      </c>
      <c r="H13" s="79">
        <v>227589</v>
      </c>
      <c r="I13" s="12">
        <v>0</v>
      </c>
      <c r="J13" s="79">
        <v>0</v>
      </c>
      <c r="K13" s="79">
        <v>227589</v>
      </c>
      <c r="L13" s="79">
        <v>0</v>
      </c>
      <c r="M13" s="79">
        <v>0</v>
      </c>
      <c r="N13" s="559" t="s">
        <v>66</v>
      </c>
      <c r="O13" s="434" t="s">
        <v>66</v>
      </c>
    </row>
    <row r="14" spans="1:16" ht="19.5" customHeight="1" thickBot="1" x14ac:dyDescent="0.25">
      <c r="A14" s="140" t="s">
        <v>70</v>
      </c>
      <c r="B14" s="141"/>
      <c r="C14" s="142">
        <f>SUM(C11:C13)</f>
        <v>1148522</v>
      </c>
      <c r="D14" s="141"/>
      <c r="E14" s="142">
        <f>SUM(E11:E13)</f>
        <v>1148522</v>
      </c>
      <c r="F14" s="142">
        <f>SUM(F11:F13)</f>
        <v>0</v>
      </c>
      <c r="G14" s="183">
        <f>SUM(E14:F14)</f>
        <v>1148522</v>
      </c>
      <c r="H14" s="142">
        <f>SUM(H11:H13)</f>
        <v>1113638</v>
      </c>
      <c r="I14" s="142">
        <f>SUM(I11:I13)</f>
        <v>0</v>
      </c>
      <c r="J14" s="142">
        <f>SUM(J11:J13)</f>
        <v>0</v>
      </c>
      <c r="K14" s="142">
        <f>SUM(K11:K13)</f>
        <v>1113638</v>
      </c>
      <c r="L14" s="142"/>
      <c r="M14" s="183" t="e">
        <f>SUM(M11:M13)</f>
        <v>#REF!</v>
      </c>
      <c r="N14" s="183"/>
      <c r="O14" s="143"/>
    </row>
    <row r="15" spans="1:16" ht="12.95" customHeight="1" x14ac:dyDescent="0.2">
      <c r="J15"/>
      <c r="K15" s="37">
        <f>SUM(H14:J14)</f>
        <v>1113638</v>
      </c>
      <c r="L15" s="75"/>
      <c r="M15"/>
      <c r="N15"/>
      <c r="O15"/>
    </row>
    <row r="16" spans="1:16" ht="12.95" customHeight="1" x14ac:dyDescent="0.2">
      <c r="B16" s="75"/>
      <c r="C16" s="75"/>
      <c r="D16" s="75"/>
      <c r="E16" s="75"/>
      <c r="F16" s="75"/>
      <c r="G16" s="75"/>
      <c r="H16" s="75"/>
      <c r="I16" s="75"/>
      <c r="J16" s="94"/>
      <c r="K16" s="94"/>
      <c r="L16" s="94"/>
      <c r="M16" s="94"/>
      <c r="N16" s="94"/>
      <c r="O16" s="94"/>
    </row>
    <row r="17" spans="2:15" ht="12.95" customHeight="1" x14ac:dyDescent="0.2">
      <c r="B17" s="75"/>
      <c r="C17" s="75"/>
      <c r="D17" s="75"/>
      <c r="E17" s="75"/>
      <c r="F17" s="75"/>
      <c r="G17" s="75"/>
      <c r="H17" s="75"/>
      <c r="I17" s="75"/>
      <c r="J17" s="94"/>
      <c r="K17" s="94"/>
      <c r="L17" s="94"/>
      <c r="M17" s="94"/>
      <c r="N17" s="94"/>
      <c r="O17" s="94"/>
    </row>
    <row r="18" spans="2:15" ht="12.95" customHeight="1" x14ac:dyDescent="0.2">
      <c r="B18" s="75"/>
      <c r="C18" s="75"/>
      <c r="D18" s="75"/>
      <c r="E18" s="75"/>
      <c r="F18" s="75"/>
      <c r="G18" s="75"/>
      <c r="H18" s="75"/>
      <c r="I18" s="75"/>
      <c r="J18" s="94"/>
      <c r="K18" s="94"/>
      <c r="L18" s="94"/>
      <c r="M18" s="94"/>
      <c r="N18" s="94"/>
      <c r="O18" s="94"/>
    </row>
    <row r="19" spans="2:15" ht="12.95" customHeight="1" x14ac:dyDescent="0.2">
      <c r="B19" s="75"/>
      <c r="C19" s="75"/>
      <c r="D19" s="75"/>
      <c r="E19" s="75"/>
      <c r="F19" s="75"/>
      <c r="G19" s="75"/>
      <c r="H19" s="75"/>
      <c r="I19" s="75"/>
      <c r="J19" s="94"/>
      <c r="K19" s="94"/>
      <c r="L19" s="94"/>
      <c r="M19" s="94"/>
      <c r="N19" s="94"/>
      <c r="O19" s="94"/>
    </row>
    <row r="20" spans="2:15" ht="12.95" customHeight="1" x14ac:dyDescent="0.2">
      <c r="B20" s="75"/>
      <c r="C20" s="75"/>
      <c r="D20" s="75"/>
      <c r="E20" s="75"/>
      <c r="F20" s="75"/>
      <c r="G20" s="75"/>
      <c r="H20" s="75"/>
      <c r="I20" s="75"/>
      <c r="J20" s="94"/>
      <c r="K20" s="94"/>
      <c r="L20" s="94"/>
      <c r="M20" s="94"/>
      <c r="N20" s="94"/>
      <c r="O20" s="94"/>
    </row>
    <row r="21" spans="2:15" ht="12.95" customHeight="1" x14ac:dyDescent="0.2">
      <c r="B21" s="75"/>
      <c r="C21" s="75"/>
      <c r="D21" s="75"/>
      <c r="E21" s="75"/>
      <c r="F21" s="75"/>
      <c r="G21" s="75"/>
      <c r="H21" s="75"/>
      <c r="I21" s="75"/>
      <c r="J21" s="94"/>
      <c r="K21" s="94"/>
      <c r="L21" s="94"/>
      <c r="M21" s="94"/>
      <c r="N21" s="94"/>
      <c r="O21" s="94"/>
    </row>
    <row r="22" spans="2:15" ht="12.95" customHeight="1" x14ac:dyDescent="0.2">
      <c r="B22" s="75"/>
      <c r="C22" s="75"/>
      <c r="D22" s="75"/>
      <c r="E22" s="75"/>
      <c r="F22" s="75"/>
      <c r="G22" s="75"/>
      <c r="H22" s="75"/>
      <c r="I22" s="75"/>
      <c r="J22" s="94"/>
      <c r="K22" s="94"/>
      <c r="L22" s="94"/>
      <c r="M22" s="94"/>
      <c r="N22" s="94"/>
      <c r="O22" s="94"/>
    </row>
    <row r="23" spans="2:15" ht="12.95" customHeight="1" x14ac:dyDescent="0.2">
      <c r="B23" s="75"/>
      <c r="C23" s="75"/>
      <c r="D23" s="75"/>
      <c r="E23" s="75"/>
      <c r="F23" s="75"/>
      <c r="G23" s="75"/>
      <c r="H23" s="75"/>
      <c r="I23" s="75"/>
      <c r="J23" s="94"/>
      <c r="K23" s="94"/>
      <c r="L23" s="94"/>
      <c r="M23" s="94"/>
      <c r="N23" s="94"/>
      <c r="O23" s="94"/>
    </row>
    <row r="24" spans="2:15" ht="12.95" customHeight="1" x14ac:dyDescent="0.2">
      <c r="B24" s="75"/>
      <c r="C24" s="75"/>
      <c r="D24" s="75"/>
      <c r="E24" s="75"/>
      <c r="F24" s="75"/>
      <c r="G24" s="75"/>
      <c r="H24" s="75"/>
      <c r="I24" s="75"/>
      <c r="J24" s="94"/>
      <c r="K24" s="94"/>
      <c r="L24" s="94"/>
      <c r="M24" s="94"/>
      <c r="N24" s="94"/>
      <c r="O24" s="94"/>
    </row>
    <row r="25" spans="2:15" ht="12.95" customHeight="1" x14ac:dyDescent="0.2">
      <c r="B25" s="75"/>
      <c r="C25" s="75"/>
      <c r="D25" s="75"/>
      <c r="E25" s="75"/>
      <c r="F25" s="75"/>
      <c r="G25" s="75"/>
      <c r="H25" s="75"/>
      <c r="I25" s="75"/>
      <c r="J25" s="94"/>
      <c r="K25" s="94"/>
      <c r="L25" s="94"/>
      <c r="M25" s="94"/>
      <c r="N25" s="94"/>
      <c r="O25" s="94"/>
    </row>
    <row r="26" spans="2:15" ht="12.95" customHeight="1" x14ac:dyDescent="0.2">
      <c r="B26" s="75"/>
      <c r="C26" s="75"/>
      <c r="D26" s="75"/>
      <c r="E26" s="75"/>
      <c r="F26" s="75"/>
      <c r="G26" s="75"/>
      <c r="H26" s="75"/>
      <c r="I26" s="75"/>
      <c r="J26" s="94"/>
      <c r="K26" s="94"/>
      <c r="L26" s="94"/>
      <c r="M26" s="94"/>
      <c r="N26" s="94"/>
      <c r="O26" s="94"/>
    </row>
    <row r="27" spans="2:15" ht="12.95" customHeight="1" x14ac:dyDescent="0.2">
      <c r="B27" s="75"/>
      <c r="C27" s="75"/>
      <c r="D27" s="75"/>
      <c r="E27" s="75"/>
      <c r="F27" s="75"/>
      <c r="G27" s="75"/>
      <c r="H27" s="75"/>
      <c r="I27" s="75"/>
      <c r="J27" s="94"/>
      <c r="K27" s="94"/>
      <c r="L27" s="94"/>
      <c r="M27" s="94"/>
      <c r="N27" s="94"/>
      <c r="O27" s="94"/>
    </row>
    <row r="28" spans="2:15" ht="12.95" customHeight="1" x14ac:dyDescent="0.2">
      <c r="B28" s="75"/>
      <c r="C28" s="75"/>
      <c r="D28" s="75"/>
      <c r="E28" s="75"/>
      <c r="F28" s="75"/>
      <c r="G28" s="75"/>
      <c r="H28" s="75"/>
      <c r="I28" s="75"/>
      <c r="J28" s="94"/>
      <c r="K28" s="94"/>
      <c r="L28" s="94"/>
      <c r="M28" s="94"/>
      <c r="N28" s="94"/>
      <c r="O28" s="94"/>
    </row>
    <row r="29" spans="2:15" ht="12.95" customHeight="1" x14ac:dyDescent="0.2">
      <c r="B29" s="75"/>
      <c r="C29" s="75"/>
      <c r="D29" s="75"/>
      <c r="E29" s="75"/>
      <c r="F29" s="75"/>
      <c r="G29" s="75"/>
      <c r="H29" s="75"/>
      <c r="I29" s="75"/>
      <c r="J29" s="94"/>
      <c r="K29" s="94"/>
      <c r="L29" s="94"/>
      <c r="M29" s="94"/>
      <c r="N29" s="94"/>
      <c r="O29" s="94"/>
    </row>
    <row r="30" spans="2:15" ht="12.95" customHeight="1" x14ac:dyDescent="0.2">
      <c r="B30" s="75"/>
      <c r="C30" s="75"/>
      <c r="D30" s="75"/>
      <c r="E30" s="75"/>
      <c r="F30" s="75"/>
      <c r="G30" s="75"/>
      <c r="H30" s="75"/>
      <c r="I30" s="75"/>
      <c r="J30" s="94"/>
      <c r="K30" s="94"/>
      <c r="L30" s="94"/>
      <c r="M30" s="94"/>
      <c r="N30" s="94"/>
      <c r="O30" s="94"/>
    </row>
    <row r="31" spans="2:15" ht="12.95" customHeight="1" x14ac:dyDescent="0.2">
      <c r="B31" s="75"/>
      <c r="C31" s="75"/>
      <c r="D31" s="75"/>
      <c r="E31" s="75"/>
      <c r="F31" s="75"/>
      <c r="G31" s="75"/>
      <c r="H31" s="75"/>
      <c r="I31" s="75"/>
      <c r="J31" s="94"/>
      <c r="K31" s="94"/>
      <c r="L31" s="94"/>
      <c r="M31" s="94"/>
      <c r="N31" s="94"/>
      <c r="O31" s="94"/>
    </row>
    <row r="32" spans="2:15" ht="12.95" customHeight="1" x14ac:dyDescent="0.2">
      <c r="B32" s="75"/>
      <c r="C32" s="75"/>
      <c r="D32" s="75"/>
      <c r="E32" s="75"/>
      <c r="F32" s="75"/>
      <c r="G32" s="75"/>
      <c r="H32" s="75"/>
      <c r="I32" s="75"/>
      <c r="J32" s="94"/>
      <c r="K32" s="94"/>
      <c r="L32" s="94"/>
      <c r="M32" s="94"/>
      <c r="N32" s="94"/>
      <c r="O32" s="94"/>
    </row>
    <row r="33" spans="2:15" ht="12.95" customHeight="1" x14ac:dyDescent="0.2">
      <c r="B33" s="75"/>
      <c r="C33" s="75"/>
      <c r="D33" s="75"/>
      <c r="E33" s="75"/>
      <c r="F33" s="75"/>
      <c r="G33" s="75"/>
      <c r="H33" s="75"/>
      <c r="I33" s="75"/>
      <c r="J33" s="94"/>
      <c r="K33" s="94"/>
      <c r="L33" s="94"/>
      <c r="M33" s="94"/>
      <c r="N33" s="94"/>
      <c r="O33" s="94"/>
    </row>
    <row r="34" spans="2:15" ht="12.95" customHeight="1" x14ac:dyDescent="0.2">
      <c r="B34" s="75"/>
      <c r="C34" s="75"/>
      <c r="D34" s="75"/>
      <c r="E34" s="75"/>
      <c r="F34" s="75"/>
      <c r="G34" s="75"/>
      <c r="H34" s="75"/>
      <c r="I34" s="75"/>
      <c r="J34" s="94"/>
      <c r="K34" s="94"/>
      <c r="L34" s="94"/>
      <c r="M34" s="94"/>
      <c r="N34" s="94"/>
      <c r="O34" s="94"/>
    </row>
    <row r="35" spans="2:15" ht="12.95" customHeight="1" x14ac:dyDescent="0.2">
      <c r="B35" s="75"/>
      <c r="C35" s="75"/>
      <c r="D35" s="75"/>
      <c r="E35" s="75"/>
      <c r="F35" s="75"/>
      <c r="G35" s="75"/>
      <c r="H35" s="75"/>
      <c r="I35" s="75"/>
      <c r="J35" s="94"/>
      <c r="K35" s="94"/>
      <c r="L35" s="94"/>
      <c r="M35" s="94"/>
      <c r="N35" s="94"/>
      <c r="O35" s="94"/>
    </row>
    <row r="36" spans="2:15" ht="12.95" customHeight="1" x14ac:dyDescent="0.2">
      <c r="B36" s="75"/>
      <c r="C36" s="75"/>
      <c r="D36" s="75"/>
      <c r="E36" s="75"/>
      <c r="F36" s="75"/>
      <c r="G36" s="75"/>
      <c r="H36" s="75"/>
      <c r="I36" s="75"/>
      <c r="J36" s="94"/>
      <c r="K36" s="94"/>
      <c r="L36" s="94"/>
      <c r="M36" s="94"/>
      <c r="N36" s="94"/>
      <c r="O36" s="94"/>
    </row>
    <row r="37" spans="2:15" ht="12.95" customHeight="1" x14ac:dyDescent="0.2">
      <c r="B37" s="75"/>
      <c r="C37" s="75"/>
      <c r="D37" s="75"/>
      <c r="E37" s="75"/>
      <c r="F37" s="75"/>
      <c r="G37" s="75"/>
      <c r="H37" s="75"/>
      <c r="I37" s="75"/>
      <c r="J37" s="94"/>
      <c r="K37" s="94"/>
      <c r="L37" s="94"/>
      <c r="M37" s="94"/>
      <c r="N37" s="94"/>
      <c r="O37" s="94"/>
    </row>
    <row r="38" spans="2:15" ht="12.95" customHeight="1" x14ac:dyDescent="0.2">
      <c r="B38" s="75"/>
      <c r="C38" s="75"/>
      <c r="D38" s="75"/>
      <c r="E38" s="75"/>
      <c r="F38" s="75"/>
      <c r="G38" s="75"/>
      <c r="H38" s="75"/>
      <c r="I38" s="75"/>
      <c r="J38" s="94"/>
      <c r="K38" s="94"/>
      <c r="L38" s="94"/>
      <c r="M38" s="94"/>
      <c r="N38" s="94"/>
      <c r="O38" s="94"/>
    </row>
    <row r="39" spans="2:15" ht="12.95" customHeight="1" x14ac:dyDescent="0.2">
      <c r="B39" s="75"/>
      <c r="C39" s="75"/>
      <c r="D39" s="75"/>
      <c r="E39" s="75"/>
      <c r="F39" s="75"/>
      <c r="G39" s="75"/>
      <c r="H39" s="75"/>
      <c r="I39" s="75"/>
      <c r="J39" s="94"/>
      <c r="K39" s="94"/>
      <c r="L39" s="94"/>
      <c r="M39" s="94"/>
      <c r="N39" s="94"/>
      <c r="O39" s="94"/>
    </row>
    <row r="40" spans="2:15" ht="12.95" customHeight="1" x14ac:dyDescent="0.2">
      <c r="B40" s="75"/>
      <c r="C40" s="75"/>
      <c r="D40" s="75"/>
      <c r="E40" s="75"/>
      <c r="F40" s="75"/>
      <c r="G40" s="75"/>
      <c r="H40" s="75"/>
      <c r="I40" s="75"/>
      <c r="J40" s="94"/>
      <c r="K40" s="94"/>
      <c r="L40" s="94"/>
      <c r="M40" s="94"/>
      <c r="N40" s="94"/>
      <c r="O40" s="94"/>
    </row>
    <row r="41" spans="2:15" ht="12.95" customHeight="1" x14ac:dyDescent="0.2">
      <c r="B41" s="75"/>
      <c r="C41" s="75"/>
      <c r="D41" s="75"/>
      <c r="E41" s="75"/>
      <c r="F41" s="75"/>
      <c r="G41" s="75"/>
      <c r="H41" s="75"/>
      <c r="I41" s="75"/>
      <c r="J41" s="94"/>
      <c r="K41" s="94"/>
      <c r="L41" s="94"/>
      <c r="M41" s="94"/>
      <c r="N41" s="94"/>
      <c r="O41" s="94"/>
    </row>
    <row r="42" spans="2:15" ht="12.95" customHeight="1" x14ac:dyDescent="0.2">
      <c r="B42" s="75"/>
      <c r="C42" s="75"/>
      <c r="D42" s="75"/>
      <c r="E42" s="75"/>
      <c r="F42" s="75"/>
      <c r="G42" s="75"/>
      <c r="H42" s="75"/>
      <c r="I42" s="75"/>
      <c r="J42" s="94"/>
      <c r="K42" s="94"/>
      <c r="L42" s="94"/>
      <c r="M42" s="94"/>
      <c r="N42" s="94"/>
      <c r="O42" s="94"/>
    </row>
    <row r="43" spans="2:15" ht="12.95" customHeight="1" x14ac:dyDescent="0.2">
      <c r="B43" s="75"/>
      <c r="C43" s="75"/>
      <c r="D43" s="75"/>
      <c r="E43" s="75"/>
      <c r="F43" s="75"/>
      <c r="G43" s="75"/>
      <c r="H43" s="75"/>
      <c r="I43" s="75"/>
      <c r="J43" s="94"/>
      <c r="K43" s="94"/>
      <c r="L43" s="94"/>
      <c r="M43" s="94"/>
      <c r="N43" s="94"/>
      <c r="O43" s="94"/>
    </row>
    <row r="44" spans="2:15" ht="12.95" customHeight="1" x14ac:dyDescent="0.2">
      <c r="B44" s="75"/>
      <c r="C44" s="75"/>
      <c r="D44" s="75"/>
      <c r="E44" s="75"/>
      <c r="F44" s="75"/>
      <c r="G44" s="75"/>
      <c r="H44" s="75"/>
      <c r="I44" s="75"/>
      <c r="J44" s="94"/>
      <c r="K44" s="94"/>
      <c r="L44" s="94"/>
      <c r="M44" s="94"/>
      <c r="N44" s="94"/>
      <c r="O44" s="94"/>
    </row>
    <row r="45" spans="2:15" ht="12.95" customHeight="1" x14ac:dyDescent="0.2">
      <c r="B45" s="75"/>
      <c r="C45" s="75"/>
      <c r="D45" s="75"/>
      <c r="E45" s="75"/>
      <c r="F45" s="75"/>
      <c r="G45" s="75"/>
      <c r="H45" s="75"/>
      <c r="I45" s="75"/>
      <c r="J45" s="94"/>
      <c r="K45" s="94"/>
      <c r="L45" s="94"/>
      <c r="M45" s="94"/>
      <c r="N45" s="94"/>
      <c r="O45" s="94"/>
    </row>
    <row r="46" spans="2:15" ht="12.95" customHeight="1" x14ac:dyDescent="0.2">
      <c r="B46" s="75"/>
      <c r="C46" s="75"/>
      <c r="D46" s="75"/>
      <c r="E46" s="75"/>
      <c r="F46" s="75"/>
      <c r="G46" s="75"/>
      <c r="H46" s="75"/>
      <c r="I46" s="75"/>
      <c r="J46" s="94"/>
      <c r="K46" s="94"/>
      <c r="L46" s="94"/>
      <c r="M46" s="94"/>
      <c r="N46" s="94"/>
      <c r="O46" s="94"/>
    </row>
    <row r="47" spans="2:15" ht="12.95" customHeight="1" x14ac:dyDescent="0.2">
      <c r="B47" s="75"/>
      <c r="C47" s="75"/>
      <c r="D47" s="75"/>
      <c r="E47" s="75"/>
      <c r="F47" s="75"/>
      <c r="G47" s="75"/>
      <c r="H47" s="75"/>
      <c r="I47" s="75"/>
      <c r="J47" s="94"/>
      <c r="K47" s="94"/>
      <c r="L47" s="94"/>
      <c r="M47" s="94"/>
      <c r="N47" s="94"/>
      <c r="O47" s="94"/>
    </row>
    <row r="48" spans="2:15" ht="12.95" customHeight="1" x14ac:dyDescent="0.2">
      <c r="B48" s="75"/>
      <c r="C48" s="75"/>
      <c r="D48" s="75"/>
      <c r="E48" s="75"/>
      <c r="F48" s="75"/>
      <c r="G48" s="75"/>
      <c r="H48" s="75"/>
      <c r="I48" s="75"/>
      <c r="J48" s="94"/>
      <c r="K48" s="94"/>
      <c r="L48" s="94"/>
      <c r="M48" s="94"/>
      <c r="N48" s="94"/>
      <c r="O48" s="94"/>
    </row>
    <row r="49" spans="2:15" ht="12.95" customHeight="1" x14ac:dyDescent="0.2">
      <c r="B49" s="75"/>
      <c r="C49" s="75"/>
      <c r="D49" s="75"/>
      <c r="E49" s="75"/>
      <c r="F49" s="75"/>
      <c r="G49" s="75"/>
      <c r="H49" s="75"/>
      <c r="I49" s="75"/>
      <c r="J49" s="94"/>
      <c r="K49" s="94"/>
      <c r="L49" s="94"/>
      <c r="M49" s="94"/>
      <c r="N49" s="94"/>
      <c r="O49" s="94"/>
    </row>
    <row r="50" spans="2:15" ht="12.95" customHeight="1" x14ac:dyDescent="0.2">
      <c r="B50" s="75"/>
      <c r="C50" s="75"/>
      <c r="D50" s="75"/>
      <c r="E50" s="75"/>
      <c r="F50" s="75"/>
      <c r="G50" s="75"/>
      <c r="H50" s="75"/>
      <c r="I50" s="75"/>
      <c r="J50" s="94"/>
      <c r="K50" s="94"/>
      <c r="L50" s="94"/>
      <c r="M50" s="94"/>
      <c r="N50" s="94"/>
      <c r="O50" s="94"/>
    </row>
    <row r="51" spans="2:15" ht="12.95" customHeight="1" x14ac:dyDescent="0.2">
      <c r="B51" s="75"/>
      <c r="C51" s="75"/>
      <c r="D51" s="75"/>
      <c r="E51" s="75"/>
      <c r="F51" s="75"/>
      <c r="G51" s="75"/>
      <c r="H51" s="75"/>
      <c r="I51" s="75"/>
      <c r="J51" s="94"/>
      <c r="K51" s="94"/>
      <c r="L51" s="94"/>
      <c r="M51" s="94"/>
      <c r="N51" s="94"/>
      <c r="O51" s="94"/>
    </row>
    <row r="52" spans="2:15" ht="12.95" customHeight="1" x14ac:dyDescent="0.2">
      <c r="B52" s="75"/>
      <c r="C52" s="75"/>
      <c r="D52" s="75"/>
      <c r="E52" s="75"/>
      <c r="F52" s="75"/>
      <c r="G52" s="75"/>
      <c r="H52" s="75"/>
      <c r="I52" s="75"/>
      <c r="J52" s="94"/>
      <c r="K52" s="94"/>
      <c r="L52" s="94"/>
      <c r="M52" s="94"/>
      <c r="N52" s="94"/>
      <c r="O52" s="94"/>
    </row>
    <row r="53" spans="2:15" ht="12.95" customHeight="1" x14ac:dyDescent="0.2">
      <c r="B53" s="75"/>
      <c r="C53" s="75"/>
      <c r="D53" s="75"/>
      <c r="E53" s="75"/>
      <c r="F53" s="75"/>
      <c r="G53" s="75"/>
      <c r="H53" s="75"/>
      <c r="I53" s="75"/>
      <c r="J53" s="94"/>
      <c r="K53" s="94"/>
      <c r="L53" s="94"/>
      <c r="M53" s="94"/>
      <c r="N53" s="94"/>
      <c r="O53" s="94"/>
    </row>
    <row r="54" spans="2:15" ht="12.95" customHeight="1" x14ac:dyDescent="0.2">
      <c r="B54" s="75"/>
      <c r="C54" s="75"/>
      <c r="D54" s="75"/>
      <c r="E54" s="75"/>
      <c r="F54" s="75"/>
      <c r="G54" s="75"/>
      <c r="H54" s="75"/>
      <c r="I54" s="75"/>
      <c r="J54" s="94"/>
      <c r="K54" s="94"/>
      <c r="L54" s="94"/>
      <c r="M54" s="94"/>
      <c r="N54" s="94"/>
      <c r="O54" s="94"/>
    </row>
    <row r="55" spans="2:15" ht="12.95" customHeight="1" x14ac:dyDescent="0.2">
      <c r="B55" s="75"/>
      <c r="C55" s="75"/>
      <c r="D55" s="75"/>
      <c r="E55" s="75"/>
      <c r="F55" s="75"/>
      <c r="G55" s="75"/>
      <c r="H55" s="75"/>
      <c r="I55" s="75"/>
      <c r="J55" s="94"/>
      <c r="K55" s="94"/>
      <c r="L55" s="94"/>
      <c r="M55" s="94"/>
      <c r="N55" s="94"/>
      <c r="O55" s="94"/>
    </row>
    <row r="56" spans="2:15" x14ac:dyDescent="0.2">
      <c r="B56" s="75"/>
      <c r="C56" s="75"/>
      <c r="D56" s="75"/>
      <c r="E56" s="75"/>
      <c r="F56" s="75"/>
      <c r="G56" s="75"/>
      <c r="H56" s="75"/>
      <c r="I56" s="75"/>
      <c r="J56" s="94"/>
      <c r="K56" s="94"/>
      <c r="L56" s="94"/>
      <c r="M56" s="94"/>
      <c r="N56" s="94"/>
      <c r="O56" s="94"/>
    </row>
    <row r="57" spans="2:15" x14ac:dyDescent="0.2">
      <c r="B57" s="75"/>
      <c r="C57" s="75"/>
      <c r="D57" s="75"/>
      <c r="E57" s="75"/>
      <c r="F57" s="75"/>
      <c r="G57" s="75"/>
      <c r="H57" s="75"/>
      <c r="I57" s="75"/>
      <c r="J57" s="94"/>
      <c r="K57" s="94"/>
      <c r="L57" s="94"/>
      <c r="M57" s="94"/>
      <c r="N57" s="94"/>
      <c r="O57" s="94"/>
    </row>
    <row r="58" spans="2:15" x14ac:dyDescent="0.2">
      <c r="B58" s="75"/>
      <c r="C58" s="75"/>
      <c r="D58" s="75"/>
      <c r="E58" s="75"/>
      <c r="F58" s="75"/>
      <c r="G58" s="75"/>
      <c r="H58" s="75"/>
      <c r="I58" s="75"/>
      <c r="J58" s="94"/>
      <c r="K58" s="94"/>
      <c r="L58" s="94"/>
      <c r="M58" s="94"/>
      <c r="N58" s="94"/>
      <c r="O58" s="94"/>
    </row>
    <row r="59" spans="2:15" x14ac:dyDescent="0.2">
      <c r="B59" s="75"/>
      <c r="C59" s="75"/>
      <c r="D59" s="75"/>
      <c r="E59" s="75"/>
      <c r="F59" s="75"/>
      <c r="G59" s="75"/>
      <c r="H59" s="75"/>
      <c r="I59" s="75"/>
      <c r="J59" s="94"/>
      <c r="K59" s="94"/>
      <c r="L59" s="94"/>
      <c r="M59" s="94"/>
      <c r="N59" s="94"/>
      <c r="O59" s="94"/>
    </row>
    <row r="60" spans="2:15" x14ac:dyDescent="0.2">
      <c r="B60" s="75"/>
      <c r="C60" s="75"/>
      <c r="D60" s="75"/>
      <c r="E60" s="75"/>
      <c r="F60" s="75"/>
      <c r="G60" s="75"/>
      <c r="H60" s="75"/>
      <c r="I60" s="75"/>
      <c r="J60" s="94"/>
      <c r="K60" s="94"/>
      <c r="L60" s="94"/>
      <c r="M60" s="94"/>
      <c r="N60" s="94"/>
      <c r="O60" s="94"/>
    </row>
    <row r="61" spans="2:15" x14ac:dyDescent="0.2">
      <c r="B61" s="75"/>
      <c r="C61" s="75"/>
      <c r="D61" s="75"/>
      <c r="E61" s="75"/>
      <c r="F61" s="75"/>
      <c r="G61" s="75"/>
      <c r="H61" s="75"/>
      <c r="I61" s="75"/>
      <c r="J61" s="94"/>
      <c r="K61" s="94"/>
      <c r="L61" s="94"/>
      <c r="M61" s="94"/>
      <c r="N61" s="94"/>
      <c r="O61" s="94"/>
    </row>
    <row r="62" spans="2:15" x14ac:dyDescent="0.2">
      <c r="B62" s="75"/>
      <c r="C62" s="75"/>
      <c r="D62" s="75"/>
      <c r="E62" s="75"/>
      <c r="F62" s="75"/>
      <c r="G62" s="75"/>
      <c r="H62" s="75"/>
      <c r="I62" s="75"/>
      <c r="J62" s="94"/>
      <c r="K62" s="94"/>
      <c r="L62" s="94"/>
      <c r="M62" s="94"/>
      <c r="N62" s="94"/>
      <c r="O62" s="94"/>
    </row>
    <row r="63" spans="2:15" x14ac:dyDescent="0.2">
      <c r="B63" s="75"/>
      <c r="C63" s="75"/>
      <c r="D63" s="75"/>
      <c r="E63" s="75"/>
      <c r="F63" s="75"/>
      <c r="G63" s="75"/>
      <c r="H63" s="75"/>
      <c r="I63" s="75"/>
      <c r="J63" s="94"/>
      <c r="K63" s="94"/>
      <c r="L63" s="94"/>
      <c r="M63" s="94"/>
      <c r="N63" s="94"/>
      <c r="O63" s="94"/>
    </row>
    <row r="64" spans="2:15" x14ac:dyDescent="0.2">
      <c r="B64" s="75"/>
      <c r="C64" s="75"/>
      <c r="D64" s="75"/>
      <c r="E64" s="75"/>
      <c r="F64" s="75"/>
      <c r="G64" s="75"/>
      <c r="H64" s="75"/>
      <c r="I64" s="75"/>
      <c r="J64" s="94"/>
      <c r="K64" s="94"/>
      <c r="L64" s="94"/>
      <c r="M64" s="94"/>
      <c r="N64" s="94"/>
      <c r="O64" s="94"/>
    </row>
    <row r="65" spans="2:15" x14ac:dyDescent="0.2">
      <c r="B65" s="75"/>
      <c r="C65" s="75"/>
      <c r="D65" s="75"/>
      <c r="E65" s="75"/>
      <c r="F65" s="75"/>
      <c r="G65" s="75"/>
      <c r="H65" s="75"/>
      <c r="I65" s="75"/>
      <c r="J65" s="94"/>
      <c r="K65" s="94"/>
      <c r="L65" s="94"/>
      <c r="M65" s="94"/>
      <c r="N65" s="94"/>
      <c r="O65" s="94"/>
    </row>
    <row r="66" spans="2:15" x14ac:dyDescent="0.2">
      <c r="B66" s="75"/>
      <c r="C66" s="75"/>
      <c r="D66" s="75"/>
      <c r="E66" s="75"/>
      <c r="F66" s="75"/>
      <c r="G66" s="75"/>
      <c r="H66" s="75"/>
      <c r="I66" s="75"/>
      <c r="J66" s="94"/>
      <c r="K66" s="94"/>
      <c r="L66" s="94"/>
      <c r="M66" s="94"/>
      <c r="N66" s="94"/>
      <c r="O66" s="94"/>
    </row>
    <row r="67" spans="2:15" x14ac:dyDescent="0.2">
      <c r="B67" s="75"/>
      <c r="C67" s="75"/>
      <c r="D67" s="75"/>
      <c r="E67" s="75"/>
      <c r="F67" s="75"/>
      <c r="G67" s="75"/>
      <c r="H67" s="75"/>
      <c r="I67" s="75"/>
      <c r="J67" s="94"/>
      <c r="K67" s="94"/>
      <c r="L67" s="94"/>
      <c r="M67" s="94"/>
      <c r="N67" s="94"/>
      <c r="O67" s="94"/>
    </row>
    <row r="68" spans="2:15" x14ac:dyDescent="0.2">
      <c r="B68" s="75"/>
      <c r="C68" s="75"/>
      <c r="D68" s="75"/>
      <c r="E68" s="75"/>
      <c r="F68" s="75"/>
      <c r="G68" s="75"/>
      <c r="H68" s="75"/>
      <c r="I68" s="75"/>
      <c r="J68" s="94"/>
      <c r="K68" s="94"/>
      <c r="L68" s="94"/>
      <c r="M68" s="94"/>
      <c r="N68" s="94"/>
      <c r="O68" s="94"/>
    </row>
    <row r="69" spans="2:15" x14ac:dyDescent="0.2">
      <c r="B69" s="75"/>
      <c r="C69" s="75"/>
      <c r="D69" s="75"/>
      <c r="E69" s="75"/>
      <c r="F69" s="75"/>
      <c r="G69" s="75"/>
      <c r="H69" s="75"/>
      <c r="I69" s="75"/>
      <c r="J69" s="94"/>
      <c r="K69" s="94"/>
      <c r="L69" s="94"/>
      <c r="M69" s="94"/>
      <c r="N69" s="94"/>
      <c r="O69" s="94"/>
    </row>
    <row r="70" spans="2:15" x14ac:dyDescent="0.2">
      <c r="B70" s="75"/>
      <c r="C70" s="75"/>
      <c r="D70" s="75"/>
      <c r="E70" s="75"/>
      <c r="F70" s="75"/>
      <c r="G70" s="75"/>
      <c r="H70" s="75"/>
      <c r="I70" s="75"/>
      <c r="J70" s="94"/>
      <c r="K70" s="94"/>
      <c r="L70" s="94"/>
      <c r="M70" s="94"/>
      <c r="N70" s="94"/>
      <c r="O70" s="94"/>
    </row>
    <row r="71" spans="2:15" x14ac:dyDescent="0.2">
      <c r="B71" s="75"/>
      <c r="C71" s="75"/>
      <c r="D71" s="75"/>
      <c r="E71" s="75"/>
      <c r="F71" s="75"/>
      <c r="G71" s="75"/>
      <c r="H71" s="75"/>
      <c r="I71" s="75"/>
      <c r="J71" s="94"/>
      <c r="K71" s="94"/>
      <c r="L71" s="94"/>
      <c r="M71" s="94"/>
      <c r="N71" s="94"/>
      <c r="O71" s="94"/>
    </row>
    <row r="72" spans="2:15" x14ac:dyDescent="0.2">
      <c r="B72" s="75"/>
      <c r="C72" s="75"/>
      <c r="D72" s="75"/>
      <c r="E72" s="75"/>
      <c r="F72" s="75"/>
      <c r="G72" s="75"/>
      <c r="H72" s="75"/>
      <c r="I72" s="75"/>
      <c r="J72" s="94"/>
      <c r="K72" s="94"/>
      <c r="L72" s="94"/>
      <c r="M72" s="94"/>
      <c r="N72" s="94"/>
      <c r="O72" s="94"/>
    </row>
    <row r="73" spans="2:15" x14ac:dyDescent="0.2">
      <c r="B73" s="75"/>
      <c r="C73" s="75"/>
      <c r="D73" s="75"/>
      <c r="E73" s="75"/>
      <c r="F73" s="75"/>
      <c r="G73" s="75"/>
      <c r="H73" s="75"/>
      <c r="I73" s="75"/>
      <c r="J73" s="94"/>
      <c r="K73" s="94"/>
      <c r="L73" s="94"/>
      <c r="M73" s="94"/>
      <c r="N73" s="94"/>
      <c r="O73" s="94"/>
    </row>
    <row r="74" spans="2:15" x14ac:dyDescent="0.2">
      <c r="I74" s="75"/>
    </row>
  </sheetData>
  <mergeCells count="17">
    <mergeCell ref="A4:O4"/>
    <mergeCell ref="A6:O6"/>
    <mergeCell ref="A5:O5"/>
    <mergeCell ref="O8:O10"/>
    <mergeCell ref="L8:L10"/>
    <mergeCell ref="N8:N10"/>
    <mergeCell ref="H9:I9"/>
    <mergeCell ref="A8:A10"/>
    <mergeCell ref="B8:B10"/>
    <mergeCell ref="C8:C10"/>
    <mergeCell ref="D8:D10"/>
    <mergeCell ref="M8:M10"/>
    <mergeCell ref="G8:G10"/>
    <mergeCell ref="E8:E10"/>
    <mergeCell ref="J9:J10"/>
    <mergeCell ref="H8:K8"/>
    <mergeCell ref="K9:K10"/>
  </mergeCells>
  <pageMargins left="0.41" right="0.17" top="0.31" bottom="1" header="0.19" footer="0.5"/>
  <pageSetup paperSize="9" scale="82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25"/>
  <sheetViews>
    <sheetView zoomScaleNormal="100" workbookViewId="0">
      <selection activeCell="F29" sqref="F29"/>
    </sheetView>
  </sheetViews>
  <sheetFormatPr defaultRowHeight="15" x14ac:dyDescent="0.25"/>
  <cols>
    <col min="1" max="1" width="3" style="698" bestFit="1" customWidth="1"/>
    <col min="2" max="2" width="61.7109375" style="698" customWidth="1"/>
    <col min="3" max="3" width="14.7109375" style="698" customWidth="1"/>
    <col min="4" max="4" width="14.7109375" style="698" bestFit="1" customWidth="1"/>
    <col min="5" max="5" width="14.7109375" style="698" customWidth="1"/>
    <col min="6" max="6" width="4.7109375" style="698" customWidth="1"/>
    <col min="7" max="7" width="49.140625" style="698" customWidth="1"/>
    <col min="8" max="8" width="14.7109375" style="698" customWidth="1"/>
    <col min="9" max="9" width="14.5703125" style="698" customWidth="1"/>
    <col min="10" max="10" width="14.7109375" style="698" customWidth="1"/>
    <col min="11" max="16384" width="9.140625" style="698"/>
  </cols>
  <sheetData>
    <row r="1" spans="1:10" x14ac:dyDescent="0.25">
      <c r="A1" s="697"/>
      <c r="B1" s="697"/>
      <c r="C1" s="697"/>
      <c r="D1" s="697"/>
      <c r="E1" s="697"/>
      <c r="F1" s="697"/>
      <c r="G1" s="697"/>
      <c r="H1" s="697"/>
      <c r="I1" s="697"/>
      <c r="J1" s="84" t="s">
        <v>1105</v>
      </c>
    </row>
    <row r="2" spans="1:10" x14ac:dyDescent="0.25">
      <c r="A2" s="697"/>
      <c r="B2" s="697"/>
      <c r="C2" s="697"/>
      <c r="D2" s="697"/>
      <c r="E2" s="697"/>
      <c r="F2" s="697"/>
      <c r="G2" s="697"/>
      <c r="H2" s="697"/>
      <c r="I2" s="697"/>
      <c r="J2" s="699" t="str">
        <f>'1.Bev-kiad.'!C2</f>
        <v>a /2023.() önkormányzati rendelethez</v>
      </c>
    </row>
    <row r="3" spans="1:10" x14ac:dyDescent="0.25">
      <c r="A3" s="697"/>
      <c r="B3" s="697"/>
      <c r="C3" s="697"/>
      <c r="D3" s="697"/>
      <c r="E3" s="697"/>
      <c r="F3" s="697"/>
      <c r="G3" s="697"/>
      <c r="H3" s="697"/>
      <c r="I3" s="697"/>
    </row>
    <row r="4" spans="1:10" ht="15.75" x14ac:dyDescent="0.25">
      <c r="A4" s="697"/>
      <c r="B4" s="871" t="s">
        <v>1106</v>
      </c>
      <c r="C4" s="872"/>
      <c r="D4" s="872"/>
      <c r="E4" s="872"/>
      <c r="F4" s="872"/>
      <c r="G4" s="872"/>
      <c r="H4" s="872"/>
      <c r="I4" s="872"/>
      <c r="J4" s="699"/>
    </row>
    <row r="5" spans="1:10" x14ac:dyDescent="0.25">
      <c r="A5" s="697"/>
      <c r="B5" s="700"/>
      <c r="C5" s="700"/>
      <c r="D5" s="699"/>
      <c r="E5" s="699"/>
      <c r="F5" s="701"/>
      <c r="G5" s="701"/>
      <c r="H5" s="701"/>
      <c r="I5" s="701"/>
      <c r="J5" s="699" t="s">
        <v>0</v>
      </c>
    </row>
    <row r="6" spans="1:10" ht="25.5" x14ac:dyDescent="0.25">
      <c r="A6" s="702"/>
      <c r="B6" s="703" t="s">
        <v>1107</v>
      </c>
      <c r="C6" s="703" t="s">
        <v>869</v>
      </c>
      <c r="D6" s="703" t="s">
        <v>1108</v>
      </c>
      <c r="E6" s="703" t="s">
        <v>1109</v>
      </c>
      <c r="F6" s="702"/>
      <c r="G6" s="703" t="s">
        <v>1110</v>
      </c>
      <c r="H6" s="703" t="s">
        <v>869</v>
      </c>
      <c r="I6" s="703" t="s">
        <v>1108</v>
      </c>
      <c r="J6" s="703" t="s">
        <v>1109</v>
      </c>
    </row>
    <row r="7" spans="1:10" x14ac:dyDescent="0.25">
      <c r="A7" s="704"/>
      <c r="B7" s="705" t="s">
        <v>1111</v>
      </c>
      <c r="C7" s="706">
        <f>SUM(C8+C14)</f>
        <v>1346724</v>
      </c>
      <c r="D7" s="706">
        <f t="shared" ref="D7:E7" si="0">SUM(D8+D14)</f>
        <v>1062363</v>
      </c>
      <c r="E7" s="706">
        <f t="shared" si="0"/>
        <v>1414863</v>
      </c>
      <c r="F7" s="704"/>
      <c r="G7" s="705" t="s">
        <v>1112</v>
      </c>
      <c r="H7" s="706">
        <f>SUM(H8+H14)</f>
        <v>2410229</v>
      </c>
      <c r="I7" s="706">
        <f>SUM(I8+I14)</f>
        <v>1247450</v>
      </c>
      <c r="J7" s="706">
        <f>SUM(J8+J14)</f>
        <v>1196910</v>
      </c>
    </row>
    <row r="8" spans="1:10" x14ac:dyDescent="0.25">
      <c r="A8" s="704"/>
      <c r="B8" s="707" t="s">
        <v>1113</v>
      </c>
      <c r="C8" s="708">
        <f>SUM(C9:C12)</f>
        <v>1004248</v>
      </c>
      <c r="D8" s="708">
        <f t="shared" ref="D8:E8" si="1">SUM(D9:D12)</f>
        <v>967067</v>
      </c>
      <c r="E8" s="708">
        <f t="shared" si="1"/>
        <v>963034</v>
      </c>
      <c r="F8" s="704"/>
      <c r="G8" s="707" t="s">
        <v>1114</v>
      </c>
      <c r="H8" s="708">
        <f>SUM(H9:H13)</f>
        <v>1168003</v>
      </c>
      <c r="I8" s="709">
        <f>SUM(I9:I13)</f>
        <v>856711</v>
      </c>
      <c r="J8" s="709">
        <f>SUM(J9:J13)</f>
        <v>863688</v>
      </c>
    </row>
    <row r="9" spans="1:10" x14ac:dyDescent="0.25">
      <c r="A9" s="704" t="s">
        <v>120</v>
      </c>
      <c r="B9" s="710" t="s">
        <v>1115</v>
      </c>
      <c r="C9" s="711">
        <f>SUM('[3]1.Bev-kiad.'!C9)</f>
        <v>559478</v>
      </c>
      <c r="D9" s="711">
        <v>507122</v>
      </c>
      <c r="E9" s="711">
        <v>536780</v>
      </c>
      <c r="F9" s="712" t="s">
        <v>216</v>
      </c>
      <c r="G9" s="710" t="s">
        <v>1116</v>
      </c>
      <c r="H9" s="711">
        <f>SUM('[3]2.működés'!C111)</f>
        <v>238288</v>
      </c>
      <c r="I9" s="711">
        <v>218807</v>
      </c>
      <c r="J9" s="711">
        <v>205470</v>
      </c>
    </row>
    <row r="10" spans="1:10" ht="25.5" x14ac:dyDescent="0.25">
      <c r="A10" s="704" t="s">
        <v>140</v>
      </c>
      <c r="B10" s="710" t="s">
        <v>1117</v>
      </c>
      <c r="C10" s="711">
        <f>SUM('[3]1.Bev-kiad.'!C22)</f>
        <v>373000</v>
      </c>
      <c r="D10" s="711">
        <v>348204</v>
      </c>
      <c r="E10" s="711">
        <v>330062</v>
      </c>
      <c r="F10" s="712" t="s">
        <v>217</v>
      </c>
      <c r="G10" s="713" t="s">
        <v>1118</v>
      </c>
      <c r="H10" s="714">
        <f>SUM('[3]2.működés'!C114)</f>
        <v>31821</v>
      </c>
      <c r="I10" s="714">
        <v>33368</v>
      </c>
      <c r="J10" s="714">
        <v>34590</v>
      </c>
    </row>
    <row r="11" spans="1:10" x14ac:dyDescent="0.25">
      <c r="A11" s="704" t="s">
        <v>151</v>
      </c>
      <c r="B11" s="710" t="s">
        <v>1119</v>
      </c>
      <c r="C11" s="711">
        <f>SUM('[3]1.Bev-kiad.'!C29)</f>
        <v>51770</v>
      </c>
      <c r="D11" s="711">
        <v>71384</v>
      </c>
      <c r="E11" s="711">
        <v>62293</v>
      </c>
      <c r="F11" s="712" t="s">
        <v>218</v>
      </c>
      <c r="G11" s="713" t="s">
        <v>1120</v>
      </c>
      <c r="H11" s="714">
        <f>SUM('[3]2.működés'!C117)</f>
        <v>367219</v>
      </c>
      <c r="I11" s="714">
        <v>206818</v>
      </c>
      <c r="J11" s="714">
        <v>242449</v>
      </c>
    </row>
    <row r="12" spans="1:10" x14ac:dyDescent="0.25">
      <c r="A12" s="704" t="s">
        <v>189</v>
      </c>
      <c r="B12" s="710" t="s">
        <v>1121</v>
      </c>
      <c r="C12" s="711">
        <f>SUM('[3]1.Bev-kiad.'!C46)</f>
        <v>20000</v>
      </c>
      <c r="D12" s="711">
        <v>40357</v>
      </c>
      <c r="E12" s="711">
        <v>33899</v>
      </c>
      <c r="F12" s="712" t="s">
        <v>219</v>
      </c>
      <c r="G12" s="713" t="s">
        <v>1122</v>
      </c>
      <c r="H12" s="714">
        <f>SUM('[3]2.működés'!C120)</f>
        <v>9300</v>
      </c>
      <c r="I12" s="714">
        <v>10004</v>
      </c>
      <c r="J12" s="714">
        <v>12401</v>
      </c>
    </row>
    <row r="13" spans="1:10" x14ac:dyDescent="0.25">
      <c r="A13" s="704"/>
      <c r="B13" s="710"/>
      <c r="C13" s="715"/>
      <c r="D13" s="715"/>
      <c r="E13" s="715"/>
      <c r="F13" s="712" t="s">
        <v>220</v>
      </c>
      <c r="G13" s="713" t="s">
        <v>1123</v>
      </c>
      <c r="H13" s="714">
        <f>SUM('[3]2.működés'!C121)</f>
        <v>521375</v>
      </c>
      <c r="I13" s="714">
        <v>387714</v>
      </c>
      <c r="J13" s="714">
        <v>368778</v>
      </c>
    </row>
    <row r="14" spans="1:10" x14ac:dyDescent="0.25">
      <c r="A14" s="704"/>
      <c r="B14" s="707" t="s">
        <v>1124</v>
      </c>
      <c r="C14" s="708">
        <f>SUM(C15:C17)</f>
        <v>342476</v>
      </c>
      <c r="D14" s="708">
        <f t="shared" ref="D14:E14" si="2">SUM(D15:D17)</f>
        <v>95296</v>
      </c>
      <c r="E14" s="708">
        <f t="shared" si="2"/>
        <v>451829</v>
      </c>
      <c r="F14" s="712"/>
      <c r="G14" s="707" t="s">
        <v>1125</v>
      </c>
      <c r="H14" s="708">
        <f>SUM(H15:H17)</f>
        <v>1242226</v>
      </c>
      <c r="I14" s="708">
        <f>SUM(I15:I17)</f>
        <v>390739</v>
      </c>
      <c r="J14" s="708">
        <f>SUM(J15:J17)</f>
        <v>333222</v>
      </c>
    </row>
    <row r="15" spans="1:10" x14ac:dyDescent="0.25">
      <c r="A15" s="704" t="s">
        <v>131</v>
      </c>
      <c r="B15" s="710" t="s">
        <v>1126</v>
      </c>
      <c r="C15" s="711">
        <f>SUM('[3]1.Bev-kiad.'!C16)</f>
        <v>305226</v>
      </c>
      <c r="D15" s="711">
        <v>38365</v>
      </c>
      <c r="E15" s="711">
        <v>422847</v>
      </c>
      <c r="F15" s="712" t="s">
        <v>253</v>
      </c>
      <c r="G15" s="710" t="s">
        <v>64</v>
      </c>
      <c r="H15" s="711">
        <f>SUM('[3]1.Bev-kiad.'!C71)</f>
        <v>456818</v>
      </c>
      <c r="I15" s="711">
        <v>133864</v>
      </c>
      <c r="J15" s="711">
        <v>11338</v>
      </c>
    </row>
    <row r="16" spans="1:10" x14ac:dyDescent="0.25">
      <c r="A16" s="704" t="s">
        <v>178</v>
      </c>
      <c r="B16" s="710" t="s">
        <v>1127</v>
      </c>
      <c r="C16" s="711">
        <f>SUM('[3]1.Bev-kiad.'!C40)</f>
        <v>26950</v>
      </c>
      <c r="D16" s="711">
        <v>46637</v>
      </c>
      <c r="E16" s="711">
        <v>18689</v>
      </c>
      <c r="F16" s="712" t="s">
        <v>356</v>
      </c>
      <c r="G16" s="710" t="s">
        <v>65</v>
      </c>
      <c r="H16" s="711">
        <f>SUM('[3]1.Bev-kiad.'!C72)</f>
        <v>641826</v>
      </c>
      <c r="I16" s="711">
        <v>251855</v>
      </c>
      <c r="J16" s="711">
        <v>321884</v>
      </c>
    </row>
    <row r="17" spans="1:10" x14ac:dyDescent="0.25">
      <c r="A17" s="704" t="s">
        <v>190</v>
      </c>
      <c r="B17" s="710" t="s">
        <v>1128</v>
      </c>
      <c r="C17" s="711">
        <f>SUM('[3]1.Bev-kiad.'!C50)</f>
        <v>10300</v>
      </c>
      <c r="D17" s="711">
        <v>10294</v>
      </c>
      <c r="E17" s="711">
        <v>10293</v>
      </c>
      <c r="F17" s="712" t="s">
        <v>355</v>
      </c>
      <c r="G17" s="710" t="s">
        <v>1129</v>
      </c>
      <c r="H17" s="711">
        <f>SUM('[3]1.Bev-kiad.'!C73)</f>
        <v>143582</v>
      </c>
      <c r="I17" s="711">
        <v>5020</v>
      </c>
      <c r="J17" s="711">
        <v>0</v>
      </c>
    </row>
    <row r="18" spans="1:10" x14ac:dyDescent="0.25">
      <c r="A18" s="704" t="s">
        <v>774</v>
      </c>
      <c r="B18" s="716" t="s">
        <v>1130</v>
      </c>
      <c r="C18" s="708">
        <f>SUM(C24+C19)</f>
        <v>1137576</v>
      </c>
      <c r="D18" s="708">
        <f t="shared" ref="D18:E18" si="3">SUM(D24+D19)</f>
        <v>1015815</v>
      </c>
      <c r="E18" s="708">
        <f t="shared" si="3"/>
        <v>816419</v>
      </c>
      <c r="F18" s="712" t="s">
        <v>206</v>
      </c>
      <c r="G18" s="716" t="s">
        <v>1131</v>
      </c>
      <c r="H18" s="708">
        <f>SUM(H19)</f>
        <v>74071</v>
      </c>
      <c r="I18" s="708">
        <f>SUM(I19)</f>
        <v>35152</v>
      </c>
      <c r="J18" s="708">
        <f>SUM(J19)</f>
        <v>34472</v>
      </c>
    </row>
    <row r="19" spans="1:10" x14ac:dyDescent="0.25">
      <c r="A19" s="704"/>
      <c r="B19" s="707" t="s">
        <v>1132</v>
      </c>
      <c r="C19" s="708">
        <f>SUM(C20)</f>
        <v>795576</v>
      </c>
      <c r="D19" s="708">
        <f>SUM(D20+D23)</f>
        <v>1015815</v>
      </c>
      <c r="E19" s="708">
        <f>SUM(E20)+E23</f>
        <v>816419</v>
      </c>
      <c r="F19" s="712"/>
      <c r="G19" s="707" t="s">
        <v>1133</v>
      </c>
      <c r="H19" s="708">
        <f>SUM(H20:H21)</f>
        <v>74071</v>
      </c>
      <c r="I19" s="708">
        <f>SUM(I20:I21)</f>
        <v>35152</v>
      </c>
      <c r="J19" s="708">
        <f>SUM(J20:J21)</f>
        <v>34472</v>
      </c>
    </row>
    <row r="20" spans="1:10" x14ac:dyDescent="0.25">
      <c r="A20" s="704"/>
      <c r="B20" s="710" t="s">
        <v>1134</v>
      </c>
      <c r="C20" s="711">
        <f>SUM(C21:C22)</f>
        <v>795576</v>
      </c>
      <c r="D20" s="711">
        <f t="shared" ref="D20" si="4">SUM(D21:D22)</f>
        <v>999900</v>
      </c>
      <c r="E20" s="711">
        <f>SUM(E21:E22)</f>
        <v>801423</v>
      </c>
      <c r="F20" s="712" t="s">
        <v>386</v>
      </c>
      <c r="G20" s="717" t="s">
        <v>390</v>
      </c>
      <c r="H20" s="718">
        <f>SUM('[3]1.Bev-kiad.'!C79)</f>
        <v>15915</v>
      </c>
      <c r="I20" s="718">
        <v>14996</v>
      </c>
      <c r="J20" s="718">
        <v>14316</v>
      </c>
    </row>
    <row r="21" spans="1:10" x14ac:dyDescent="0.25">
      <c r="A21" s="704"/>
      <c r="B21" s="719" t="s">
        <v>422</v>
      </c>
      <c r="C21" s="711">
        <f>SUM('[3]1.Bev-kiad.'!C57)</f>
        <v>220868</v>
      </c>
      <c r="D21" s="873">
        <v>999900</v>
      </c>
      <c r="E21" s="711">
        <v>127533</v>
      </c>
      <c r="F21" s="712"/>
      <c r="G21" s="720" t="s">
        <v>1135</v>
      </c>
      <c r="H21" s="711">
        <f>SUM('[3]1.Bev-kiad.'!C81)</f>
        <v>58156</v>
      </c>
      <c r="I21" s="711">
        <v>20156</v>
      </c>
      <c r="J21" s="711">
        <v>20156</v>
      </c>
    </row>
    <row r="22" spans="1:10" x14ac:dyDescent="0.25">
      <c r="A22" s="704"/>
      <c r="B22" s="719" t="s">
        <v>1136</v>
      </c>
      <c r="C22" s="711">
        <f>SUM('[3]1.Bev-kiad.'!C58)</f>
        <v>574708</v>
      </c>
      <c r="D22" s="874"/>
      <c r="E22" s="711">
        <v>673890</v>
      </c>
      <c r="F22" s="712"/>
      <c r="G22" s="707" t="s">
        <v>1137</v>
      </c>
      <c r="H22" s="709">
        <v>0</v>
      </c>
      <c r="I22" s="708"/>
      <c r="J22" s="708"/>
    </row>
    <row r="23" spans="1:10" x14ac:dyDescent="0.25">
      <c r="A23" s="704"/>
      <c r="B23" s="715" t="s">
        <v>1138</v>
      </c>
      <c r="C23" s="721" t="s">
        <v>66</v>
      </c>
      <c r="D23" s="722">
        <v>15915</v>
      </c>
      <c r="E23" s="711">
        <v>14996</v>
      </c>
      <c r="F23" s="712"/>
      <c r="G23" s="707"/>
      <c r="H23" s="709"/>
      <c r="I23" s="708"/>
      <c r="J23" s="708"/>
    </row>
    <row r="24" spans="1:10" x14ac:dyDescent="0.25">
      <c r="A24" s="704"/>
      <c r="B24" s="707" t="s">
        <v>1139</v>
      </c>
      <c r="C24" s="708">
        <f>SUM('[3]1.Bev-kiad.'!C60)</f>
        <v>342000</v>
      </c>
      <c r="D24" s="708">
        <v>0</v>
      </c>
      <c r="E24" s="708">
        <v>0</v>
      </c>
      <c r="F24" s="712"/>
      <c r="G24" s="707"/>
      <c r="H24" s="709"/>
      <c r="I24" s="708"/>
      <c r="J24" s="708"/>
    </row>
    <row r="25" spans="1:10" x14ac:dyDescent="0.25">
      <c r="A25" s="704"/>
      <c r="B25" s="705" t="s">
        <v>374</v>
      </c>
      <c r="C25" s="706">
        <f>SUM(C7+C18)</f>
        <v>2484300</v>
      </c>
      <c r="D25" s="706">
        <f t="shared" ref="D25:E25" si="5">SUM(D7+D18)</f>
        <v>2078178</v>
      </c>
      <c r="E25" s="706">
        <f t="shared" si="5"/>
        <v>2231282</v>
      </c>
      <c r="F25" s="723"/>
      <c r="G25" s="705" t="s">
        <v>55</v>
      </c>
      <c r="H25" s="706">
        <f>SUM(H7+H18)</f>
        <v>2484300</v>
      </c>
      <c r="I25" s="706">
        <f>SUM(I7+I18)</f>
        <v>1282602</v>
      </c>
      <c r="J25" s="706">
        <f>SUM(J7+J18)</f>
        <v>1231382</v>
      </c>
    </row>
  </sheetData>
  <mergeCells count="2">
    <mergeCell ref="B4:I4"/>
    <mergeCell ref="D21:D2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V40"/>
  <sheetViews>
    <sheetView zoomScale="80" zoomScaleNormal="80" zoomScaleSheetLayoutView="84" workbookViewId="0">
      <selection activeCell="N12" sqref="N12"/>
    </sheetView>
  </sheetViews>
  <sheetFormatPr defaultRowHeight="12.75" x14ac:dyDescent="0.2"/>
  <cols>
    <col min="1" max="1" width="14.42578125" style="601" customWidth="1"/>
    <col min="2" max="2" width="12.140625" style="601" customWidth="1"/>
    <col min="3" max="3" width="9.42578125" style="601" customWidth="1"/>
    <col min="4" max="4" width="9.28515625" style="601" customWidth="1"/>
    <col min="5" max="5" width="8.5703125" style="601" customWidth="1"/>
    <col min="6" max="6" width="8.140625" style="601" customWidth="1"/>
    <col min="7" max="7" width="9.5703125" style="601" customWidth="1"/>
    <col min="8" max="8" width="14.140625" style="601" customWidth="1"/>
    <col min="9" max="9" width="8" style="601" customWidth="1"/>
    <col min="10" max="10" width="9.140625" style="601" hidden="1" customWidth="1"/>
    <col min="11" max="11" width="9.140625" style="601" customWidth="1"/>
    <col min="12" max="12" width="12.5703125" style="601" customWidth="1"/>
    <col min="13" max="13" width="9.28515625" style="601" bestFit="1" customWidth="1"/>
    <col min="14" max="14" width="10" style="601" customWidth="1"/>
    <col min="15" max="15" width="12.28515625" style="647" customWidth="1"/>
    <col min="16" max="16" width="11" style="601" customWidth="1"/>
    <col min="17" max="17" width="11.85546875" style="601" customWidth="1"/>
    <col min="18" max="18" width="8" style="600" customWidth="1"/>
    <col min="19" max="19" width="8.42578125" style="601" customWidth="1"/>
    <col min="20" max="20" width="10.140625" style="601" customWidth="1"/>
    <col min="21" max="16384" width="9.140625" style="601"/>
  </cols>
  <sheetData>
    <row r="1" spans="1:22" x14ac:dyDescent="0.2">
      <c r="A1" s="598"/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9"/>
      <c r="P1" s="598"/>
      <c r="Q1" s="598"/>
    </row>
    <row r="2" spans="1:22" x14ac:dyDescent="0.2">
      <c r="A2" s="599" t="s">
        <v>1002</v>
      </c>
      <c r="B2" s="598"/>
      <c r="C2" s="598"/>
      <c r="D2" s="598"/>
      <c r="E2" s="598"/>
      <c r="G2" s="598"/>
      <c r="H2" s="598"/>
      <c r="I2" s="598"/>
      <c r="J2" s="598"/>
      <c r="K2" s="598"/>
      <c r="L2" s="598"/>
      <c r="M2" s="598"/>
      <c r="N2" s="598"/>
      <c r="O2" s="599"/>
      <c r="P2" s="598"/>
      <c r="Q2" s="598"/>
    </row>
    <row r="3" spans="1:22" ht="13.5" thickBot="1" x14ac:dyDescent="0.25">
      <c r="A3" s="599"/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9"/>
      <c r="Q3" s="602" t="s">
        <v>417</v>
      </c>
    </row>
    <row r="4" spans="1:22" ht="13.5" thickBot="1" x14ac:dyDescent="0.25">
      <c r="A4" s="875" t="s">
        <v>1003</v>
      </c>
      <c r="B4" s="877" t="s">
        <v>1004</v>
      </c>
      <c r="C4" s="889" t="s">
        <v>1005</v>
      </c>
      <c r="D4" s="889"/>
      <c r="E4" s="889"/>
      <c r="F4" s="889"/>
      <c r="G4" s="889"/>
      <c r="H4" s="875" t="s">
        <v>1003</v>
      </c>
      <c r="I4" s="891" t="s">
        <v>45</v>
      </c>
      <c r="J4" s="892"/>
      <c r="K4" s="892"/>
      <c r="L4" s="892"/>
      <c r="M4" s="892"/>
      <c r="N4" s="892"/>
      <c r="O4" s="893"/>
      <c r="P4" s="894" t="s">
        <v>418</v>
      </c>
      <c r="Q4" s="896" t="s">
        <v>1006</v>
      </c>
      <c r="S4" s="898" t="s">
        <v>1007</v>
      </c>
    </row>
    <row r="5" spans="1:22" s="607" customFormat="1" ht="48.75" thickBot="1" x14ac:dyDescent="0.25">
      <c r="A5" s="876"/>
      <c r="B5" s="878"/>
      <c r="C5" s="603" t="s">
        <v>1008</v>
      </c>
      <c r="D5" s="604" t="s">
        <v>1009</v>
      </c>
      <c r="E5" s="604" t="s">
        <v>1010</v>
      </c>
      <c r="F5" s="605" t="s">
        <v>1011</v>
      </c>
      <c r="G5" s="606" t="s">
        <v>1012</v>
      </c>
      <c r="H5" s="890"/>
      <c r="I5" s="603" t="s">
        <v>1013</v>
      </c>
      <c r="K5" s="604" t="s">
        <v>1014</v>
      </c>
      <c r="L5" s="604" t="s">
        <v>1015</v>
      </c>
      <c r="M5" s="604" t="s">
        <v>1016</v>
      </c>
      <c r="N5" s="605" t="s">
        <v>1017</v>
      </c>
      <c r="O5" s="606" t="s">
        <v>1018</v>
      </c>
      <c r="P5" s="895"/>
      <c r="Q5" s="897"/>
      <c r="R5" s="608" t="s">
        <v>1019</v>
      </c>
      <c r="S5" s="899"/>
    </row>
    <row r="6" spans="1:22" x14ac:dyDescent="0.2">
      <c r="A6" s="678" t="s">
        <v>1020</v>
      </c>
      <c r="B6" s="679">
        <f>'[4]TKT műk.'!B39</f>
        <v>2344</v>
      </c>
      <c r="C6" s="680">
        <f>'[4]Társulási hozzájár.'!F9</f>
        <v>1172</v>
      </c>
      <c r="D6" s="681">
        <f>'[4]TKT műk.'!E39</f>
        <v>125.08408796895213</v>
      </c>
      <c r="E6" s="682">
        <f>[4]Ügyelet!E26</f>
        <v>15200.315972449162</v>
      </c>
      <c r="F6" s="683">
        <f>[4]Labor!H27</f>
        <v>4932</v>
      </c>
      <c r="G6" s="684">
        <f t="shared" ref="G6:G18" si="0">SUM(C6:F6)</f>
        <v>21429.400060418113</v>
      </c>
      <c r="H6" s="685" t="s">
        <v>1020</v>
      </c>
      <c r="I6" s="686">
        <f>'[4]Püg.,TV, étkeztetés '!E20</f>
        <v>3510</v>
      </c>
      <c r="J6" s="676"/>
      <c r="K6" s="681">
        <f>[4]Jelzőrendszer!E18</f>
        <v>109.48</v>
      </c>
      <c r="L6" s="681">
        <f>SUM('[4]Családsegítés, gyerm.jólét'!V41)</f>
        <v>395.67390583333349</v>
      </c>
      <c r="M6" s="682">
        <f>[4]Óvoda!H22+[4]Óvoda!C34</f>
        <v>0</v>
      </c>
      <c r="N6" s="687">
        <f>'[4]Püg.,TV, étkeztetés '!D20</f>
        <v>730</v>
      </c>
      <c r="O6" s="684">
        <f>I6+K6+L6+M6+N6</f>
        <v>4745.1539058333337</v>
      </c>
      <c r="P6" s="684">
        <f>G6+O6-1</f>
        <v>26173.553966251446</v>
      </c>
      <c r="Q6" s="688">
        <v>28273</v>
      </c>
      <c r="R6" s="619">
        <f>P6-Q6</f>
        <v>-2099.4460337485543</v>
      </c>
      <c r="S6" s="620">
        <v>0</v>
      </c>
      <c r="V6" s="621"/>
    </row>
    <row r="7" spans="1:22" x14ac:dyDescent="0.2">
      <c r="A7" s="622" t="s">
        <v>1021</v>
      </c>
      <c r="B7" s="610">
        <f>'[4]TKT műk.'!B40</f>
        <v>549</v>
      </c>
      <c r="C7" s="611">
        <f>'[4]Társulási hozzájár.'!F10</f>
        <v>275</v>
      </c>
      <c r="D7" s="612">
        <f>'[4]TKT műk.'!E40</f>
        <v>29.296571798188875</v>
      </c>
      <c r="E7" s="613">
        <f>[4]Ügyelet!E27</f>
        <v>2909.5689608434536</v>
      </c>
      <c r="F7" s="614">
        <f>[4]Labor!H28</f>
        <v>1155</v>
      </c>
      <c r="G7" s="615">
        <f t="shared" si="0"/>
        <v>4368.8655326416429</v>
      </c>
      <c r="H7" s="623" t="s">
        <v>1021</v>
      </c>
      <c r="I7" s="616">
        <f>'[4]Püg.,TV, étkeztetés '!E21</f>
        <v>165</v>
      </c>
      <c r="K7" s="612">
        <f>[4]Jelzőrendszer!E19</f>
        <v>78.2</v>
      </c>
      <c r="L7" s="612">
        <f>SUM('[4]Családsegítés, gyerm.jólét'!V54)</f>
        <v>143.80529583333333</v>
      </c>
      <c r="M7" s="624">
        <v>0</v>
      </c>
      <c r="N7" s="617">
        <f>'[4]Püg.,TV, étkeztetés '!D21</f>
        <v>0</v>
      </c>
      <c r="O7" s="615">
        <f t="shared" ref="O7:O18" si="1">I7+K7+L7+M7+N7</f>
        <v>387.00529583333332</v>
      </c>
      <c r="P7" s="618">
        <f t="shared" ref="P7:P19" si="2">G7+O7</f>
        <v>4755.8708284749764</v>
      </c>
      <c r="Q7" s="625">
        <v>4022</v>
      </c>
      <c r="R7" s="619">
        <f t="shared" ref="R7:R20" si="3">P7-Q7</f>
        <v>733.87082847497641</v>
      </c>
      <c r="S7" s="626">
        <v>0</v>
      </c>
      <c r="V7" s="621"/>
    </row>
    <row r="8" spans="1:22" x14ac:dyDescent="0.2">
      <c r="A8" s="622" t="s">
        <v>1022</v>
      </c>
      <c r="B8" s="610">
        <f>'[4]TKT műk.'!B41</f>
        <v>2254</v>
      </c>
      <c r="C8" s="611">
        <f>'[4]Társulási hozzájár.'!F11</f>
        <v>1127</v>
      </c>
      <c r="D8" s="612">
        <f>'[4]TKT műk.'!E41</f>
        <v>120.28137128072446</v>
      </c>
      <c r="E8" s="613">
        <f>[4]Ügyelet!E28</f>
        <v>11904.41915200997</v>
      </c>
      <c r="F8" s="614">
        <f>[4]Labor!H29</f>
        <v>4742</v>
      </c>
      <c r="G8" s="615">
        <f>SUM(C8:F8)-1</f>
        <v>17892.700523290696</v>
      </c>
      <c r="H8" s="623" t="s">
        <v>1022</v>
      </c>
      <c r="I8" s="616">
        <f>'[4]Püg.,TV, étkeztetés '!E22</f>
        <v>0</v>
      </c>
      <c r="K8" s="612">
        <f>[4]Jelzőrendszer!E20</f>
        <v>547.4</v>
      </c>
      <c r="L8" s="612">
        <f>SUM('[4]Családsegítés, gyerm.jólét'!V49)</f>
        <v>1196.8236115434283</v>
      </c>
      <c r="M8" s="624">
        <v>0</v>
      </c>
      <c r="N8" s="617">
        <f>'[4]Püg.,TV, étkeztetés '!D22</f>
        <v>0</v>
      </c>
      <c r="O8" s="615">
        <f t="shared" si="1"/>
        <v>1744.2236115434284</v>
      </c>
      <c r="P8" s="618">
        <f t="shared" si="2"/>
        <v>19636.924134834124</v>
      </c>
      <c r="Q8" s="625">
        <v>15212</v>
      </c>
      <c r="R8" s="619">
        <f t="shared" si="3"/>
        <v>4424.9241348341238</v>
      </c>
      <c r="S8" s="626">
        <v>0</v>
      </c>
      <c r="V8" s="621"/>
    </row>
    <row r="9" spans="1:22" x14ac:dyDescent="0.2">
      <c r="A9" s="622" t="s">
        <v>1023</v>
      </c>
      <c r="B9" s="610">
        <f>'[4]TKT műk.'!B42</f>
        <v>1826</v>
      </c>
      <c r="C9" s="611">
        <f>'[4]Társulási hozzájár.'!F12</f>
        <v>913</v>
      </c>
      <c r="D9" s="612">
        <f>'[4]TKT műk.'!E42</f>
        <v>98.441785252263898</v>
      </c>
      <c r="E9" s="613">
        <f>[4]Ügyelet!E29</f>
        <v>9990.2631919183241</v>
      </c>
      <c r="F9" s="614">
        <f>[4]Labor!H30</f>
        <v>3842</v>
      </c>
      <c r="G9" s="615">
        <f>SUM(C9:F9)-1</f>
        <v>14842.704977170588</v>
      </c>
      <c r="H9" s="623" t="s">
        <v>1023</v>
      </c>
      <c r="I9" s="616">
        <f>'[4]Püg.,TV, étkeztetés '!E23</f>
        <v>0</v>
      </c>
      <c r="K9" s="612">
        <f>[4]Jelzőrendszer!E21</f>
        <v>93.84</v>
      </c>
      <c r="L9" s="612">
        <f>SUM('[4]Családsegítés, gyerm.jólét'!V53)</f>
        <v>462.37694666666653</v>
      </c>
      <c r="M9" s="624">
        <v>0</v>
      </c>
      <c r="N9" s="617">
        <f>'[4]Püg.,TV, étkeztetés '!D23</f>
        <v>0</v>
      </c>
      <c r="O9" s="615">
        <f t="shared" si="1"/>
        <v>556.21694666666656</v>
      </c>
      <c r="P9" s="618">
        <f>G9+O9</f>
        <v>15398.921923837255</v>
      </c>
      <c r="Q9" s="625">
        <v>11268</v>
      </c>
      <c r="R9" s="619">
        <f t="shared" si="3"/>
        <v>4130.9219238372552</v>
      </c>
      <c r="S9" s="626">
        <v>2690</v>
      </c>
      <c r="V9" s="621"/>
    </row>
    <row r="10" spans="1:22" x14ac:dyDescent="0.2">
      <c r="A10" s="622" t="s">
        <v>1024</v>
      </c>
      <c r="B10" s="610">
        <f>'[4]TKT műk.'!B43</f>
        <v>608</v>
      </c>
      <c r="C10" s="611">
        <f>'[4]Társulási hozzájár.'!F13</f>
        <v>304</v>
      </c>
      <c r="D10" s="612">
        <f>'[4]TKT műk.'!E43</f>
        <v>33.445019404915911</v>
      </c>
      <c r="E10" s="613">
        <f>[4]Ügyelet!E30</f>
        <v>804.69041095890418</v>
      </c>
      <c r="F10" s="614">
        <f>[4]Labor!H31</f>
        <v>853</v>
      </c>
      <c r="G10" s="615">
        <f t="shared" si="0"/>
        <v>1995.13543036382</v>
      </c>
      <c r="H10" s="623" t="s">
        <v>1024</v>
      </c>
      <c r="I10" s="616">
        <f>'[4]Püg.,TV, étkeztetés '!E24</f>
        <v>165</v>
      </c>
      <c r="K10" s="612">
        <f>[4]Jelzőrendszer!E22</f>
        <v>15.64</v>
      </c>
      <c r="L10" s="612">
        <f>SUM('[4]Családsegítés, gyerm.jólét'!V42)</f>
        <v>253.42884916666665</v>
      </c>
      <c r="M10" s="624">
        <f>[4]Óvoda!H18+[4]Óvoda!E34</f>
        <v>0</v>
      </c>
      <c r="N10" s="617">
        <f>'[4]Püg.,TV, étkeztetés '!D24</f>
        <v>1570</v>
      </c>
      <c r="O10" s="615">
        <f t="shared" si="1"/>
        <v>2004.0688491666665</v>
      </c>
      <c r="P10" s="618">
        <f t="shared" si="2"/>
        <v>3999.2042795304865</v>
      </c>
      <c r="Q10" s="625">
        <v>5718</v>
      </c>
      <c r="R10" s="619">
        <f t="shared" si="3"/>
        <v>-1718.7957204695135</v>
      </c>
      <c r="S10" s="626">
        <v>0</v>
      </c>
      <c r="V10" s="621"/>
    </row>
    <row r="11" spans="1:22" x14ac:dyDescent="0.2">
      <c r="A11" s="622" t="s">
        <v>1025</v>
      </c>
      <c r="B11" s="610">
        <f>'[4]TKT műk.'!B44</f>
        <v>543</v>
      </c>
      <c r="C11" s="611">
        <f>'[4]Társulási hozzájár.'!F14</f>
        <v>272</v>
      </c>
      <c r="D11" s="612">
        <f>'[4]TKT műk.'!E44</f>
        <v>28.976390685640364</v>
      </c>
      <c r="E11" s="613">
        <f>[4]Ügyelet!E31</f>
        <v>610.45479452054792</v>
      </c>
      <c r="F11" s="614">
        <f>[4]Labor!H32</f>
        <v>762</v>
      </c>
      <c r="G11" s="615">
        <f t="shared" si="0"/>
        <v>1673.4311852061883</v>
      </c>
      <c r="H11" s="623" t="s">
        <v>1025</v>
      </c>
      <c r="I11" s="616">
        <f>'[4]Püg.,TV, étkeztetés '!E25</f>
        <v>165</v>
      </c>
      <c r="K11" s="612">
        <f>[4]Jelzőrendszer!E23</f>
        <v>0</v>
      </c>
      <c r="L11" s="612">
        <f>SUM('[4]Családsegítés, gyerm.jólét'!V43)</f>
        <v>342.58200958333356</v>
      </c>
      <c r="M11" s="624">
        <f>[4]Óvoda!H19</f>
        <v>0</v>
      </c>
      <c r="N11" s="617">
        <f>'[4]Püg.,TV, étkeztetés '!D25</f>
        <v>0</v>
      </c>
      <c r="O11" s="615">
        <f t="shared" si="1"/>
        <v>507.58200958333356</v>
      </c>
      <c r="P11" s="618">
        <f>G11+O11</f>
        <v>2181.013194789522</v>
      </c>
      <c r="Q11" s="625">
        <v>2837</v>
      </c>
      <c r="R11" s="619">
        <f t="shared" si="3"/>
        <v>-655.986805210478</v>
      </c>
      <c r="S11" s="626">
        <v>0</v>
      </c>
      <c r="V11" s="621"/>
    </row>
    <row r="12" spans="1:22" x14ac:dyDescent="0.2">
      <c r="A12" s="622" t="s">
        <v>1026</v>
      </c>
      <c r="B12" s="610">
        <f>'[4]TKT műk.'!B45</f>
        <v>1420</v>
      </c>
      <c r="C12" s="611">
        <f>'[4]Társulási hozzájár.'!F15</f>
        <v>710</v>
      </c>
      <c r="D12" s="612">
        <f>'[4]TKT műk.'!E45</f>
        <v>75.776196636481245</v>
      </c>
      <c r="E12" s="613">
        <f>[4]Ügyelet!E32</f>
        <v>2830.2904109589044</v>
      </c>
      <c r="F12" s="614">
        <f>[4]Labor!H33</f>
        <v>1992</v>
      </c>
      <c r="G12" s="615">
        <f t="shared" si="0"/>
        <v>5608.0666075953859</v>
      </c>
      <c r="H12" s="623" t="s">
        <v>1026</v>
      </c>
      <c r="I12" s="616">
        <f>'[4]Püg.,TV, étkeztetés '!E26</f>
        <v>0</v>
      </c>
      <c r="K12" s="612">
        <f>[4]Jelzőrendszer!E24</f>
        <v>46.92</v>
      </c>
      <c r="L12" s="612">
        <f>SUM('[4]Családsegítés, gyerm.jólét'!V56)</f>
        <v>0</v>
      </c>
      <c r="M12" s="624">
        <v>0</v>
      </c>
      <c r="N12" s="617">
        <f>'[4]Püg.,TV, étkeztetés '!D26</f>
        <v>600</v>
      </c>
      <c r="O12" s="615">
        <f t="shared" si="1"/>
        <v>646.91999999999996</v>
      </c>
      <c r="P12" s="618">
        <f t="shared" si="2"/>
        <v>6254.986607595386</v>
      </c>
      <c r="Q12" s="625">
        <v>4986</v>
      </c>
      <c r="R12" s="619">
        <f t="shared" si="3"/>
        <v>1268.986607595386</v>
      </c>
      <c r="S12" s="626">
        <v>0</v>
      </c>
      <c r="V12" s="621"/>
    </row>
    <row r="13" spans="1:22" x14ac:dyDescent="0.2">
      <c r="A13" s="622" t="s">
        <v>1027</v>
      </c>
      <c r="B13" s="610">
        <f>'[4]TKT műk.'!B46</f>
        <v>544</v>
      </c>
      <c r="C13" s="611">
        <f>'[4]Társulási hozzájár.'!F16</f>
        <v>272</v>
      </c>
      <c r="D13" s="612">
        <f>'[4]TKT műk.'!E46</f>
        <v>29.029754204398451</v>
      </c>
      <c r="E13" s="613">
        <f>[4]Ügyelet!E33</f>
        <v>471.71506849315074</v>
      </c>
      <c r="F13" s="614">
        <f>[4]Labor!H34</f>
        <v>763</v>
      </c>
      <c r="G13" s="615">
        <f t="shared" si="0"/>
        <v>1535.7448226975491</v>
      </c>
      <c r="H13" s="623" t="s">
        <v>1027</v>
      </c>
      <c r="I13" s="616">
        <f>'[4]Püg.,TV, étkeztetés '!E27</f>
        <v>165</v>
      </c>
      <c r="K13" s="612">
        <f>[4]Jelzőrendszer!E25</f>
        <v>15.64</v>
      </c>
      <c r="L13" s="612">
        <f>SUM('[4]Családsegítés, gyerm.jólét'!V50)</f>
        <v>362.30524122065719</v>
      </c>
      <c r="M13" s="624">
        <v>0</v>
      </c>
      <c r="N13" s="617">
        <f>'[4]Püg.,TV, étkeztetés '!D27</f>
        <v>0</v>
      </c>
      <c r="O13" s="615">
        <f t="shared" si="1"/>
        <v>542.94524122065718</v>
      </c>
      <c r="P13" s="618">
        <f t="shared" si="2"/>
        <v>2078.6900639182063</v>
      </c>
      <c r="Q13" s="625">
        <v>2339</v>
      </c>
      <c r="R13" s="619">
        <f t="shared" si="3"/>
        <v>-260.30993608179369</v>
      </c>
      <c r="S13" s="626">
        <v>0</v>
      </c>
      <c r="T13" s="627"/>
      <c r="V13" s="621"/>
    </row>
    <row r="14" spans="1:22" x14ac:dyDescent="0.2">
      <c r="A14" s="622" t="s">
        <v>1028</v>
      </c>
      <c r="B14" s="610">
        <f>'[4]TKT műk.'!B47</f>
        <v>378</v>
      </c>
      <c r="C14" s="611">
        <f>'[4]Társulási hozzájár.'!F17</f>
        <v>189</v>
      </c>
      <c r="D14" s="612">
        <f>'[4]TKT műk.'!E47</f>
        <v>20.171410090556275</v>
      </c>
      <c r="E14" s="613">
        <f>[4]Ügyelet!E34</f>
        <v>499.46301369863016</v>
      </c>
      <c r="F14" s="614">
        <f>[4]Labor!H35</f>
        <v>530</v>
      </c>
      <c r="G14" s="615">
        <f>SUM(C14:F14)-1</f>
        <v>1237.6344237891865</v>
      </c>
      <c r="H14" s="623" t="s">
        <v>1028</v>
      </c>
      <c r="I14" s="616">
        <f>'[4]Püg.,TV, étkeztetés '!E28</f>
        <v>165</v>
      </c>
      <c r="K14" s="612">
        <f>[4]Jelzőrendszer!E26</f>
        <v>46.92</v>
      </c>
      <c r="L14" s="612">
        <f>SUM('[4]Családsegítés, gyerm.jólét'!V51)</f>
        <v>720.61048244131439</v>
      </c>
      <c r="M14" s="624">
        <v>0</v>
      </c>
      <c r="N14" s="617">
        <f>'[4]Püg.,TV, étkeztetés '!D28</f>
        <v>0</v>
      </c>
      <c r="O14" s="615">
        <f t="shared" si="1"/>
        <v>932.53048244131446</v>
      </c>
      <c r="P14" s="618">
        <f>G14+O14+1</f>
        <v>2171.1649062305009</v>
      </c>
      <c r="Q14" s="625">
        <v>1886</v>
      </c>
      <c r="R14" s="619">
        <f t="shared" si="3"/>
        <v>285.16490623050095</v>
      </c>
      <c r="S14" s="626">
        <v>0</v>
      </c>
      <c r="T14" s="628"/>
      <c r="V14" s="621"/>
    </row>
    <row r="15" spans="1:22" x14ac:dyDescent="0.2">
      <c r="A15" s="622" t="s">
        <v>1029</v>
      </c>
      <c r="B15" s="610">
        <f>'[4]TKT műk.'!B48</f>
        <v>389</v>
      </c>
      <c r="C15" s="611">
        <f>'[4]Társulási hozzájár.'!F18</f>
        <v>194</v>
      </c>
      <c r="D15" s="612">
        <f>'[4]TKT műk.'!E48</f>
        <v>20.758408796895214</v>
      </c>
      <c r="E15" s="613">
        <f>[4]Ügyelet!E35</f>
        <v>527.21095890410959</v>
      </c>
      <c r="F15" s="614">
        <f>[4]Labor!H36</f>
        <v>546</v>
      </c>
      <c r="G15" s="615">
        <f t="shared" si="0"/>
        <v>1287.9693677010048</v>
      </c>
      <c r="H15" s="623" t="s">
        <v>1029</v>
      </c>
      <c r="I15" s="616">
        <f>'[4]Püg.,TV, étkeztetés '!E29</f>
        <v>0</v>
      </c>
      <c r="K15" s="612">
        <f>[4]Jelzőrendszer!E27</f>
        <v>15.64</v>
      </c>
      <c r="L15" s="612">
        <f>SUM('[4]Családsegítés, gyerm.jólét'!V44)</f>
        <v>189.24688458333341</v>
      </c>
      <c r="M15" s="624">
        <f>[4]Óvoda!H20</f>
        <v>0</v>
      </c>
      <c r="N15" s="617">
        <f>'[4]Püg.,TV, étkeztetés '!D29</f>
        <v>0</v>
      </c>
      <c r="O15" s="615">
        <f t="shared" si="1"/>
        <v>204.88688458333343</v>
      </c>
      <c r="P15" s="618">
        <f>G15+O15</f>
        <v>1492.8562522843381</v>
      </c>
      <c r="Q15" s="625">
        <v>1868</v>
      </c>
      <c r="R15" s="619">
        <f t="shared" si="3"/>
        <v>-375.1437477156619</v>
      </c>
      <c r="S15" s="626">
        <v>0</v>
      </c>
      <c r="T15" s="628"/>
      <c r="V15" s="621"/>
    </row>
    <row r="16" spans="1:22" x14ac:dyDescent="0.2">
      <c r="A16" s="622" t="s">
        <v>1030</v>
      </c>
      <c r="B16" s="610">
        <f>'[4]TKT műk.'!B49</f>
        <v>698</v>
      </c>
      <c r="C16" s="611">
        <f>'[4]Társulási hozzájár.'!F19</f>
        <v>349</v>
      </c>
      <c r="D16" s="612">
        <f>'[4]TKT műk.'!E49</f>
        <v>37.247736093143601</v>
      </c>
      <c r="E16" s="613">
        <f>[4]Ügyelet!E36</f>
        <v>3284.2272433270286</v>
      </c>
      <c r="F16" s="614">
        <f>[4]Labor!H37</f>
        <v>1468</v>
      </c>
      <c r="G16" s="615">
        <f t="shared" si="0"/>
        <v>5138.4749794201725</v>
      </c>
      <c r="H16" s="623" t="s">
        <v>1030</v>
      </c>
      <c r="I16" s="616">
        <f>'[4]Püg.,TV, étkeztetés '!E30</f>
        <v>165</v>
      </c>
      <c r="K16" s="612">
        <f>[4]Jelzőrendszer!E28</f>
        <v>186.68</v>
      </c>
      <c r="L16" s="612">
        <f>SUM('[4]Családsegítés, gyerm.jólét'!V45)</f>
        <v>199.33695291666675</v>
      </c>
      <c r="M16" s="624">
        <f>[4]Óvoda!H21</f>
        <v>0</v>
      </c>
      <c r="N16" s="617">
        <f>'[4]Püg.,TV, étkeztetés '!D30</f>
        <v>0</v>
      </c>
      <c r="O16" s="615">
        <f t="shared" si="1"/>
        <v>551.0169529166667</v>
      </c>
      <c r="P16" s="618">
        <f t="shared" si="2"/>
        <v>5689.4919323368395</v>
      </c>
      <c r="Q16" s="625">
        <v>5278</v>
      </c>
      <c r="R16" s="619">
        <f t="shared" si="3"/>
        <v>411.49193233683945</v>
      </c>
      <c r="S16" s="626">
        <v>0</v>
      </c>
      <c r="T16" s="628"/>
      <c r="V16" s="621"/>
    </row>
    <row r="17" spans="1:22" x14ac:dyDescent="0.2">
      <c r="A17" s="622" t="s">
        <v>1031</v>
      </c>
      <c r="B17" s="610">
        <f>'[4]TKT műk.'!B50</f>
        <v>589</v>
      </c>
      <c r="C17" s="611">
        <f>'[4]Társulási hozzájár.'!F20</f>
        <v>294</v>
      </c>
      <c r="D17" s="629">
        <f>'[4]TKT műk.'!E50</f>
        <v>31.431112548512292</v>
      </c>
      <c r="E17" s="624">
        <f>[4]Ügyelet!E37</f>
        <v>860.18630136986303</v>
      </c>
      <c r="F17" s="614">
        <f>[4]Labor!H38</f>
        <v>826</v>
      </c>
      <c r="G17" s="630">
        <f>SUM(C17:F17)-1</f>
        <v>2010.6174139183754</v>
      </c>
      <c r="H17" s="623" t="s">
        <v>1031</v>
      </c>
      <c r="I17" s="631">
        <f>'[4]Püg.,TV, étkeztetés '!E31</f>
        <v>0</v>
      </c>
      <c r="K17" s="612">
        <f>[4]Jelzőrendszer!E29</f>
        <v>15.64</v>
      </c>
      <c r="L17" s="629">
        <f>SUM('[4]Családsegítés, gyerm.jólét'!V46)</f>
        <v>363.01323958333353</v>
      </c>
      <c r="M17" s="624">
        <v>0</v>
      </c>
      <c r="N17" s="617">
        <f>'[4]Püg.,TV, étkeztetés '!D31</f>
        <v>0</v>
      </c>
      <c r="O17" s="615">
        <f t="shared" si="1"/>
        <v>378.65323958333352</v>
      </c>
      <c r="P17" s="632">
        <f>G17+O17+1</f>
        <v>2390.2706535017087</v>
      </c>
      <c r="Q17" s="625">
        <v>2246</v>
      </c>
      <c r="R17" s="619">
        <f t="shared" si="3"/>
        <v>144.27065350170869</v>
      </c>
      <c r="S17" s="626">
        <v>0</v>
      </c>
      <c r="T17" s="628"/>
      <c r="V17" s="621"/>
    </row>
    <row r="18" spans="1:22" x14ac:dyDescent="0.2">
      <c r="A18" s="622" t="s">
        <v>1032</v>
      </c>
      <c r="B18" s="610">
        <f>'[4]TKT műk.'!B51</f>
        <v>226</v>
      </c>
      <c r="C18" s="611">
        <f>'[4]Társulási hozzájár.'!F21</f>
        <v>113</v>
      </c>
      <c r="D18" s="629">
        <f>'[4]TKT műk.'!E51</f>
        <v>12.060155239327297</v>
      </c>
      <c r="E18" s="624">
        <f>[4]Ügyelet!E38</f>
        <v>749.19452054794522</v>
      </c>
      <c r="F18" s="614">
        <f>[4]Labor!H39</f>
        <v>317</v>
      </c>
      <c r="G18" s="630">
        <f t="shared" si="0"/>
        <v>1191.2546757872724</v>
      </c>
      <c r="H18" s="623" t="s">
        <v>1032</v>
      </c>
      <c r="I18" s="631">
        <f>'[4]Püg.,TV, étkeztetés '!E32</f>
        <v>0</v>
      </c>
      <c r="K18" s="612">
        <f>[4]Jelzőrendszer!E30</f>
        <v>0</v>
      </c>
      <c r="L18" s="629">
        <f>SUM('[4]Családsegítés, gyerm.jólét'!V47)</f>
        <v>925.84468062793417</v>
      </c>
      <c r="M18" s="624">
        <v>0</v>
      </c>
      <c r="N18" s="617">
        <f>'[4]Püg.,TV, étkeztetés '!D32</f>
        <v>0</v>
      </c>
      <c r="O18" s="615">
        <f t="shared" si="1"/>
        <v>925.84468062793417</v>
      </c>
      <c r="P18" s="632">
        <f>G18+O18</f>
        <v>2117.0993564152068</v>
      </c>
      <c r="Q18" s="625">
        <v>1662</v>
      </c>
      <c r="R18" s="619">
        <f t="shared" si="3"/>
        <v>455.09935641520678</v>
      </c>
      <c r="S18" s="626">
        <v>0</v>
      </c>
      <c r="T18" s="627"/>
      <c r="V18" s="621"/>
    </row>
    <row r="19" spans="1:22" hidden="1" x14ac:dyDescent="0.2">
      <c r="A19" s="633" t="s">
        <v>1033</v>
      </c>
      <c r="B19" s="634"/>
      <c r="C19" s="611"/>
      <c r="D19" s="629"/>
      <c r="E19" s="624"/>
      <c r="F19" s="635"/>
      <c r="G19" s="630"/>
      <c r="H19" s="636" t="s">
        <v>1033</v>
      </c>
      <c r="I19" s="631"/>
      <c r="K19" s="612">
        <f>[4]Jelzőrendszer!E31</f>
        <v>1173</v>
      </c>
      <c r="L19" s="629">
        <f>SUM('[4]Családsegítés, gyerm.jólét'!V57)</f>
        <v>0</v>
      </c>
      <c r="M19" s="624"/>
      <c r="N19" s="617">
        <f>'[4]Püg.,TV, étkeztetés '!D33+'[4]Püg.,TV, étkeztetés '!J33</f>
        <v>2900</v>
      </c>
      <c r="O19" s="630" t="e">
        <f>I19+#REF!+L19+M19+N19</f>
        <v>#REF!</v>
      </c>
      <c r="P19" s="632" t="e">
        <f t="shared" si="2"/>
        <v>#REF!</v>
      </c>
      <c r="Q19" s="625" t="e">
        <v>#REF!</v>
      </c>
      <c r="R19" s="619" t="e">
        <f t="shared" si="3"/>
        <v>#REF!</v>
      </c>
      <c r="S19" s="626"/>
    </row>
    <row r="20" spans="1:22" ht="13.5" thickBot="1" x14ac:dyDescent="0.25">
      <c r="A20" s="637" t="s">
        <v>47</v>
      </c>
      <c r="B20" s="638">
        <f>SUM(B6:B19)</f>
        <v>12368</v>
      </c>
      <c r="C20" s="639">
        <f>SUM(C6:C18)</f>
        <v>6184</v>
      </c>
      <c r="D20" s="639">
        <f>SUM(D6:D18)-2</f>
        <v>659.99999999999989</v>
      </c>
      <c r="E20" s="640">
        <f>SUM(E6:E18)-2</f>
        <v>50639.999999999978</v>
      </c>
      <c r="F20" s="641">
        <f>SUM(F6:F18)</f>
        <v>22728</v>
      </c>
      <c r="G20" s="638">
        <f>SUM(G6:G18)</f>
        <v>80212.000000000015</v>
      </c>
      <c r="H20" s="642" t="s">
        <v>47</v>
      </c>
      <c r="I20" s="639">
        <f>SUM(I6:I18)</f>
        <v>4500</v>
      </c>
      <c r="J20" s="639">
        <f>SUM(J6:J18)</f>
        <v>0</v>
      </c>
      <c r="K20" s="639">
        <f>SUM(K6:K18)+1</f>
        <v>1173</v>
      </c>
      <c r="L20" s="640">
        <f>SUM(L6:L19)</f>
        <v>5555.0481000000018</v>
      </c>
      <c r="M20" s="640">
        <f>SUM(M6:M18)</f>
        <v>0</v>
      </c>
      <c r="N20" s="643">
        <f>SUM(N6:N18)</f>
        <v>2900</v>
      </c>
      <c r="O20" s="638">
        <f>SUM(I20:N20)</f>
        <v>14128.048100000002</v>
      </c>
      <c r="P20" s="638">
        <f>SUM(P6:P18)</f>
        <v>94340.048100000015</v>
      </c>
      <c r="Q20" s="644">
        <f>SUM(Q6:Q18)</f>
        <v>87595</v>
      </c>
      <c r="R20" s="619">
        <f t="shared" si="3"/>
        <v>6745.0481000000145</v>
      </c>
      <c r="S20" s="645">
        <f>SUM(S6:S18)</f>
        <v>2690</v>
      </c>
      <c r="V20" s="646"/>
    </row>
    <row r="21" spans="1:22" x14ac:dyDescent="0.2">
      <c r="A21" s="647"/>
      <c r="B21" s="647"/>
      <c r="C21" s="647"/>
      <c r="D21" s="648">
        <f>SUM(C20+D20)</f>
        <v>6844</v>
      </c>
      <c r="E21" s="649"/>
      <c r="F21" s="649"/>
      <c r="G21" s="649"/>
      <c r="H21" s="647"/>
      <c r="I21" s="647"/>
      <c r="J21" s="647"/>
      <c r="K21" s="647"/>
      <c r="L21" s="647"/>
      <c r="M21" s="649"/>
      <c r="N21" s="649"/>
      <c r="O21" s="649"/>
      <c r="P21" s="649"/>
      <c r="Q21" s="650"/>
      <c r="R21" s="619"/>
    </row>
    <row r="22" spans="1:22" ht="13.5" thickBot="1" x14ac:dyDescent="0.25">
      <c r="J22" s="647"/>
      <c r="K22" s="647"/>
    </row>
    <row r="23" spans="1:22" ht="20.25" customHeight="1" thickBot="1" x14ac:dyDescent="0.25">
      <c r="A23" s="875" t="s">
        <v>1003</v>
      </c>
      <c r="B23" s="879" t="s">
        <v>1034</v>
      </c>
      <c r="C23" s="881" t="s">
        <v>1035</v>
      </c>
      <c r="E23" s="651"/>
      <c r="H23" s="883" t="s">
        <v>1003</v>
      </c>
      <c r="I23" s="885" t="s">
        <v>1036</v>
      </c>
      <c r="J23" s="886"/>
      <c r="K23" s="886"/>
      <c r="L23" s="886"/>
      <c r="M23" s="886"/>
      <c r="N23" s="886"/>
      <c r="O23" s="886"/>
      <c r="P23" s="887"/>
    </row>
    <row r="24" spans="1:22" ht="57" customHeight="1" thickBot="1" x14ac:dyDescent="0.25">
      <c r="A24" s="876"/>
      <c r="B24" s="880"/>
      <c r="C24" s="882"/>
      <c r="H24" s="884"/>
      <c r="I24" s="652" t="s">
        <v>1037</v>
      </c>
      <c r="J24" s="653" t="s">
        <v>1009</v>
      </c>
      <c r="K24" s="653" t="s">
        <v>1038</v>
      </c>
      <c r="L24" s="654" t="s">
        <v>1039</v>
      </c>
      <c r="M24" s="652" t="s">
        <v>1040</v>
      </c>
      <c r="N24" s="653" t="s">
        <v>1041</v>
      </c>
      <c r="O24" s="654" t="s">
        <v>1042</v>
      </c>
      <c r="P24" s="654" t="s">
        <v>1043</v>
      </c>
      <c r="R24" s="888" t="s">
        <v>1044</v>
      </c>
      <c r="S24" s="888"/>
    </row>
    <row r="25" spans="1:22" x14ac:dyDescent="0.2">
      <c r="A25" s="609" t="s">
        <v>1020</v>
      </c>
      <c r="B25" s="655">
        <f>'[4]Házi segítségnyújtás'!E37</f>
        <v>0</v>
      </c>
      <c r="C25" s="656">
        <v>3592.0256410256402</v>
      </c>
      <c r="H25" s="657" t="s">
        <v>1020</v>
      </c>
      <c r="I25" s="658">
        <v>6348</v>
      </c>
      <c r="J25" s="612">
        <f>'[5]TKT műk.'!K58</f>
        <v>0</v>
      </c>
      <c r="K25" s="613">
        <v>8959</v>
      </c>
      <c r="L25" s="659">
        <f>SUM(E6-K25)</f>
        <v>6241.3159724491616</v>
      </c>
      <c r="M25" s="658">
        <v>4459</v>
      </c>
      <c r="N25" s="613">
        <v>4617</v>
      </c>
      <c r="O25" s="660">
        <f>SUM(F6-N25)</f>
        <v>315</v>
      </c>
      <c r="P25" s="661">
        <f>SUM(L25+O25)</f>
        <v>6556.3159724491616</v>
      </c>
      <c r="R25" s="600">
        <f>SUM(R6-P25)</f>
        <v>-8655.7620061977159</v>
      </c>
    </row>
    <row r="26" spans="1:22" x14ac:dyDescent="0.2">
      <c r="A26" s="622" t="s">
        <v>1021</v>
      </c>
      <c r="B26" s="655">
        <f>'[4]Házi segítségnyújtás'!E38</f>
        <v>0</v>
      </c>
      <c r="C26" s="656">
        <v>861.84615384615404</v>
      </c>
      <c r="H26" s="636" t="s">
        <v>1021</v>
      </c>
      <c r="I26" s="662">
        <v>1591</v>
      </c>
      <c r="J26" s="612">
        <f>'[5]TKT műk.'!K59</f>
        <v>0</v>
      </c>
      <c r="K26" s="613">
        <v>2246</v>
      </c>
      <c r="L26" s="663">
        <f t="shared" ref="L26:L37" si="4">SUM(E7-K26)</f>
        <v>663.56896084345362</v>
      </c>
      <c r="M26" s="658">
        <v>1087</v>
      </c>
      <c r="N26" s="613">
        <v>1125</v>
      </c>
      <c r="O26" s="664">
        <f t="shared" ref="O26:O37" si="5">SUM(F7-N26)</f>
        <v>30</v>
      </c>
      <c r="P26" s="665">
        <f t="shared" ref="P26:P38" si="6">SUM(L26+O26)</f>
        <v>693.56896084345362</v>
      </c>
      <c r="R26" s="600">
        <f t="shared" ref="R26:R37" si="7">SUM(R7-P26)</f>
        <v>40.301867631522782</v>
      </c>
    </row>
    <row r="27" spans="1:22" x14ac:dyDescent="0.2">
      <c r="A27" s="622" t="s">
        <v>1022</v>
      </c>
      <c r="B27" s="655">
        <f>'[4]Házi segítségnyújtás'!E39</f>
        <v>0</v>
      </c>
      <c r="C27" s="656">
        <v>0</v>
      </c>
      <c r="H27" s="636" t="s">
        <v>1022</v>
      </c>
      <c r="I27" s="662">
        <v>5956</v>
      </c>
      <c r="J27" s="612">
        <f>'[5]TKT műk.'!K60</f>
        <v>0</v>
      </c>
      <c r="K27" s="613">
        <v>8405</v>
      </c>
      <c r="L27" s="663">
        <f t="shared" si="4"/>
        <v>3499.4191520099703</v>
      </c>
      <c r="M27" s="658">
        <v>4324</v>
      </c>
      <c r="N27" s="613">
        <v>4477</v>
      </c>
      <c r="O27" s="664">
        <f t="shared" si="5"/>
        <v>265</v>
      </c>
      <c r="P27" s="665">
        <f t="shared" si="6"/>
        <v>3764.4191520099703</v>
      </c>
      <c r="R27" s="600">
        <f t="shared" si="7"/>
        <v>660.50498282415356</v>
      </c>
    </row>
    <row r="28" spans="1:22" x14ac:dyDescent="0.2">
      <c r="A28" s="622" t="s">
        <v>1023</v>
      </c>
      <c r="B28" s="655">
        <f>'[4]Házi segítségnyújtás'!E40</f>
        <v>0</v>
      </c>
      <c r="C28" s="656">
        <v>0</v>
      </c>
      <c r="H28" s="636" t="s">
        <v>1023</v>
      </c>
      <c r="I28" s="662">
        <v>4340</v>
      </c>
      <c r="J28" s="612">
        <f>'[5]TKT műk.'!K61</f>
        <v>0</v>
      </c>
      <c r="K28" s="613">
        <v>6124</v>
      </c>
      <c r="L28" s="663">
        <f t="shared" si="4"/>
        <v>3866.2631919183241</v>
      </c>
      <c r="M28" s="658">
        <v>3539</v>
      </c>
      <c r="N28" s="613">
        <v>3664</v>
      </c>
      <c r="O28" s="664">
        <f t="shared" si="5"/>
        <v>178</v>
      </c>
      <c r="P28" s="665">
        <f t="shared" si="6"/>
        <v>4044.2631919183241</v>
      </c>
      <c r="R28" s="600">
        <f t="shared" si="7"/>
        <v>86.658731918931153</v>
      </c>
    </row>
    <row r="29" spans="1:22" x14ac:dyDescent="0.2">
      <c r="A29" s="622" t="s">
        <v>1024</v>
      </c>
      <c r="B29" s="655">
        <f>'[4]Házi segítségnyújtás'!E41</f>
        <v>0</v>
      </c>
      <c r="C29" s="656">
        <v>861.84615384615404</v>
      </c>
      <c r="H29" s="636" t="s">
        <v>1024</v>
      </c>
      <c r="I29" s="662">
        <v>264</v>
      </c>
      <c r="J29" s="612">
        <f>'[5]TKT műk.'!K62</f>
        <v>0</v>
      </c>
      <c r="K29" s="613">
        <v>373</v>
      </c>
      <c r="L29" s="663">
        <f t="shared" si="4"/>
        <v>431.69041095890418</v>
      </c>
      <c r="M29" s="658">
        <v>770</v>
      </c>
      <c r="N29" s="613">
        <v>797</v>
      </c>
      <c r="O29" s="664">
        <f t="shared" si="5"/>
        <v>56</v>
      </c>
      <c r="P29" s="665">
        <f t="shared" si="6"/>
        <v>487.69041095890418</v>
      </c>
      <c r="R29" s="600">
        <f t="shared" si="7"/>
        <v>-2206.4861314284176</v>
      </c>
    </row>
    <row r="30" spans="1:22" x14ac:dyDescent="0.2">
      <c r="A30" s="622" t="s">
        <v>1025</v>
      </c>
      <c r="B30" s="655">
        <f>'[4]Házi segítségnyújtás'!E42</f>
        <v>0</v>
      </c>
      <c r="C30" s="656">
        <v>1005.4871794871796</v>
      </c>
      <c r="H30" s="636" t="s">
        <v>1025</v>
      </c>
      <c r="I30" s="662">
        <v>264</v>
      </c>
      <c r="J30" s="612">
        <f>'[5]TKT műk.'!K63</f>
        <v>0</v>
      </c>
      <c r="K30" s="613">
        <v>373</v>
      </c>
      <c r="L30" s="663">
        <f t="shared" si="4"/>
        <v>237.45479452054792</v>
      </c>
      <c r="M30" s="658">
        <v>711</v>
      </c>
      <c r="N30" s="613">
        <v>737</v>
      </c>
      <c r="O30" s="664">
        <f t="shared" si="5"/>
        <v>25</v>
      </c>
      <c r="P30" s="665">
        <f t="shared" si="6"/>
        <v>262.45479452054792</v>
      </c>
      <c r="R30" s="600">
        <f t="shared" si="7"/>
        <v>-918.44159973102592</v>
      </c>
    </row>
    <row r="31" spans="1:22" x14ac:dyDescent="0.2">
      <c r="A31" s="622" t="s">
        <v>1026</v>
      </c>
      <c r="B31" s="655">
        <f>'[4]Házi segítségnyújtás'!E43</f>
        <v>0</v>
      </c>
      <c r="C31" s="656">
        <v>1292.7692307692309</v>
      </c>
      <c r="H31" s="636" t="s">
        <v>1026</v>
      </c>
      <c r="I31" s="662">
        <v>1243</v>
      </c>
      <c r="J31" s="612">
        <f>'[5]TKT műk.'!K64</f>
        <v>0</v>
      </c>
      <c r="K31" s="613">
        <v>1754</v>
      </c>
      <c r="L31" s="663">
        <f t="shared" si="4"/>
        <v>1076.2904109589044</v>
      </c>
      <c r="M31" s="658">
        <v>1847</v>
      </c>
      <c r="N31" s="613">
        <v>1912</v>
      </c>
      <c r="O31" s="664">
        <f t="shared" si="5"/>
        <v>80</v>
      </c>
      <c r="P31" s="665">
        <f t="shared" si="6"/>
        <v>1156.2904109589044</v>
      </c>
      <c r="R31" s="600">
        <f t="shared" si="7"/>
        <v>112.69619663648155</v>
      </c>
    </row>
    <row r="32" spans="1:22" x14ac:dyDescent="0.2">
      <c r="A32" s="622" t="s">
        <v>1027</v>
      </c>
      <c r="B32" s="655">
        <f>'[4]Házi segítségnyújtás'!E44</f>
        <v>0</v>
      </c>
      <c r="C32" s="656">
        <v>1005.4871794871796</v>
      </c>
      <c r="H32" s="636" t="s">
        <v>1027</v>
      </c>
      <c r="I32" s="662">
        <v>520</v>
      </c>
      <c r="J32" s="612">
        <f>'[5]TKT műk.'!K65</f>
        <v>0</v>
      </c>
      <c r="K32" s="613">
        <v>734</v>
      </c>
      <c r="L32" s="663">
        <f t="shared" si="4"/>
        <v>-262.28493150684926</v>
      </c>
      <c r="M32" s="658">
        <v>699</v>
      </c>
      <c r="N32" s="613">
        <v>723</v>
      </c>
      <c r="O32" s="664">
        <f t="shared" si="5"/>
        <v>40</v>
      </c>
      <c r="P32" s="665">
        <f t="shared" si="6"/>
        <v>-222.28493150684926</v>
      </c>
      <c r="R32" s="600">
        <f t="shared" si="7"/>
        <v>-38.025004574944433</v>
      </c>
    </row>
    <row r="33" spans="1:18" x14ac:dyDescent="0.2">
      <c r="A33" s="622" t="s">
        <v>1028</v>
      </c>
      <c r="B33" s="655">
        <f>'[4]Házi segítségnyújtás'!E45</f>
        <v>0</v>
      </c>
      <c r="C33" s="656">
        <v>1005.48717948718</v>
      </c>
      <c r="H33" s="636" t="s">
        <v>1028</v>
      </c>
      <c r="I33" s="662">
        <v>185</v>
      </c>
      <c r="J33" s="612">
        <f>'[5]TKT műk.'!K66</f>
        <v>0</v>
      </c>
      <c r="K33" s="613">
        <v>261</v>
      </c>
      <c r="L33" s="663">
        <f t="shared" si="4"/>
        <v>238.46301369863016</v>
      </c>
      <c r="M33" s="658">
        <v>502</v>
      </c>
      <c r="N33" s="613">
        <v>520</v>
      </c>
      <c r="O33" s="664">
        <f t="shared" si="5"/>
        <v>10</v>
      </c>
      <c r="P33" s="665">
        <f t="shared" si="6"/>
        <v>248.46301369863016</v>
      </c>
      <c r="R33" s="600">
        <f t="shared" si="7"/>
        <v>36.701892531870783</v>
      </c>
    </row>
    <row r="34" spans="1:18" x14ac:dyDescent="0.2">
      <c r="A34" s="622" t="s">
        <v>1029</v>
      </c>
      <c r="B34" s="655">
        <f>'[4]Házi segítségnyújtás'!E46</f>
        <v>0</v>
      </c>
      <c r="C34" s="656">
        <v>0</v>
      </c>
      <c r="H34" s="636" t="s">
        <v>1029</v>
      </c>
      <c r="I34" s="662">
        <v>132</v>
      </c>
      <c r="J34" s="612">
        <f>'[5]TKT műk.'!K67</f>
        <v>0</v>
      </c>
      <c r="K34" s="613">
        <v>187</v>
      </c>
      <c r="L34" s="663">
        <f t="shared" si="4"/>
        <v>340.21095890410959</v>
      </c>
      <c r="M34" s="658">
        <v>500</v>
      </c>
      <c r="N34" s="613">
        <v>518</v>
      </c>
      <c r="O34" s="664">
        <f t="shared" si="5"/>
        <v>28</v>
      </c>
      <c r="P34" s="665">
        <f t="shared" si="6"/>
        <v>368.21095890410959</v>
      </c>
      <c r="R34" s="600">
        <f t="shared" si="7"/>
        <v>-743.35470661977149</v>
      </c>
    </row>
    <row r="35" spans="1:18" x14ac:dyDescent="0.2">
      <c r="A35" s="622" t="s">
        <v>1030</v>
      </c>
      <c r="B35" s="655">
        <f>'[4]Házi segítségnyújtás'!E47</f>
        <v>0</v>
      </c>
      <c r="C35" s="656">
        <v>574.56410256410265</v>
      </c>
      <c r="H35" s="636" t="s">
        <v>1030</v>
      </c>
      <c r="I35" s="662">
        <v>1775</v>
      </c>
      <c r="J35" s="612">
        <f>'[5]TKT műk.'!K68</f>
        <v>0</v>
      </c>
      <c r="K35" s="613">
        <v>2506</v>
      </c>
      <c r="L35" s="663">
        <f t="shared" si="4"/>
        <v>778.22724332702865</v>
      </c>
      <c r="M35" s="658">
        <v>1337</v>
      </c>
      <c r="N35" s="613">
        <v>1384</v>
      </c>
      <c r="O35" s="664">
        <f t="shared" si="5"/>
        <v>84</v>
      </c>
      <c r="P35" s="665">
        <f t="shared" si="6"/>
        <v>862.22724332702865</v>
      </c>
      <c r="R35" s="600">
        <f t="shared" si="7"/>
        <v>-450.73531099018919</v>
      </c>
    </row>
    <row r="36" spans="1:18" x14ac:dyDescent="0.2">
      <c r="A36" s="622" t="s">
        <v>1031</v>
      </c>
      <c r="B36" s="666">
        <f>'[4]Házi segítségnyújtás'!E48</f>
        <v>0</v>
      </c>
      <c r="C36" s="667">
        <v>1005.4871794871796</v>
      </c>
      <c r="H36" s="636" t="s">
        <v>1031</v>
      </c>
      <c r="I36" s="662">
        <v>485</v>
      </c>
      <c r="J36" s="629">
        <f>'[5]TKT műk.'!K69</f>
        <v>0</v>
      </c>
      <c r="K36" s="624">
        <v>684</v>
      </c>
      <c r="L36" s="663">
        <f t="shared" si="4"/>
        <v>176.18630136986303</v>
      </c>
      <c r="M36" s="662">
        <v>757</v>
      </c>
      <c r="N36" s="624">
        <v>784</v>
      </c>
      <c r="O36" s="664">
        <f t="shared" si="5"/>
        <v>42</v>
      </c>
      <c r="P36" s="665">
        <f t="shared" si="6"/>
        <v>218.18630136986303</v>
      </c>
      <c r="R36" s="600">
        <f t="shared" si="7"/>
        <v>-73.915647868154338</v>
      </c>
    </row>
    <row r="37" spans="1:18" x14ac:dyDescent="0.2">
      <c r="A37" s="622" t="s">
        <v>1032</v>
      </c>
      <c r="B37" s="666">
        <f>'[4]Házi segítségnyújtás'!E49</f>
        <v>0</v>
      </c>
      <c r="C37" s="667">
        <v>0</v>
      </c>
      <c r="H37" s="636" t="s">
        <v>1032</v>
      </c>
      <c r="I37" s="662">
        <v>335</v>
      </c>
      <c r="J37" s="629">
        <f>'[5]TKT műk.'!K70</f>
        <v>0</v>
      </c>
      <c r="K37" s="624">
        <v>473</v>
      </c>
      <c r="L37" s="663">
        <f t="shared" si="4"/>
        <v>276.19452054794522</v>
      </c>
      <c r="M37" s="662">
        <v>299</v>
      </c>
      <c r="N37" s="624">
        <v>310</v>
      </c>
      <c r="O37" s="664">
        <f t="shared" si="5"/>
        <v>7</v>
      </c>
      <c r="P37" s="665">
        <f t="shared" si="6"/>
        <v>283.19452054794522</v>
      </c>
      <c r="R37" s="600">
        <f t="shared" si="7"/>
        <v>171.90483586726157</v>
      </c>
    </row>
    <row r="38" spans="1:18" ht="13.5" thickBot="1" x14ac:dyDescent="0.25">
      <c r="A38" s="637" t="s">
        <v>47</v>
      </c>
      <c r="B38" s="668">
        <f>SUM(B25:B37)</f>
        <v>0</v>
      </c>
      <c r="C38" s="669">
        <v>11204.000000000004</v>
      </c>
      <c r="H38" s="642" t="s">
        <v>47</v>
      </c>
      <c r="I38" s="670">
        <f t="shared" ref="I38:O38" si="8">SUM(I25:I37)</f>
        <v>23438</v>
      </c>
      <c r="J38" s="639">
        <f t="shared" si="8"/>
        <v>0</v>
      </c>
      <c r="K38" s="640">
        <f t="shared" si="8"/>
        <v>33079</v>
      </c>
      <c r="L38" s="671">
        <f>SUM(L25:L37)-2</f>
        <v>17561</v>
      </c>
      <c r="M38" s="670">
        <f t="shared" si="8"/>
        <v>20831</v>
      </c>
      <c r="N38" s="640">
        <f t="shared" si="8"/>
        <v>21568</v>
      </c>
      <c r="O38" s="672">
        <f t="shared" si="8"/>
        <v>1160</v>
      </c>
      <c r="P38" s="673">
        <f t="shared" si="6"/>
        <v>18721</v>
      </c>
      <c r="R38" s="600">
        <f>SUM(R25:R37)</f>
        <v>-11977.951899999996</v>
      </c>
    </row>
    <row r="39" spans="1:18" x14ac:dyDescent="0.2">
      <c r="L39" s="674">
        <f>SUM(E20-K38)</f>
        <v>17560.999999999978</v>
      </c>
      <c r="O39" s="674">
        <f>SUM(F20-N38)</f>
        <v>1160</v>
      </c>
      <c r="P39" s="674">
        <f>SUM(P25:P37)-2</f>
        <v>18721</v>
      </c>
      <c r="R39" s="674">
        <f>SUM(R20-P38)</f>
        <v>-11975.951899999985</v>
      </c>
    </row>
    <row r="40" spans="1:18" ht="38.25" x14ac:dyDescent="0.2">
      <c r="H40" s="675" t="s">
        <v>1045</v>
      </c>
      <c r="I40" s="676"/>
      <c r="J40" s="676"/>
      <c r="K40" s="676"/>
      <c r="L40" s="677">
        <f>SUM(E20-I38)</f>
        <v>27201.999999999978</v>
      </c>
      <c r="M40" s="676"/>
      <c r="N40" s="676"/>
      <c r="O40" s="677">
        <f>SUM(F20-M38)</f>
        <v>1897</v>
      </c>
      <c r="P40" s="677">
        <f>SUM(L40+O40)</f>
        <v>29098.999999999978</v>
      </c>
    </row>
  </sheetData>
  <mergeCells count="14">
    <mergeCell ref="H23:H24"/>
    <mergeCell ref="I23:P23"/>
    <mergeCell ref="R24:S24"/>
    <mergeCell ref="C4:G4"/>
    <mergeCell ref="H4:H5"/>
    <mergeCell ref="I4:O4"/>
    <mergeCell ref="P4:P5"/>
    <mergeCell ref="Q4:Q5"/>
    <mergeCell ref="S4:S5"/>
    <mergeCell ref="A4:A5"/>
    <mergeCell ref="B4:B5"/>
    <mergeCell ref="A23:A24"/>
    <mergeCell ref="B23:B24"/>
    <mergeCell ref="C23:C24"/>
  </mergeCells>
  <pageMargins left="0.39370078740157483" right="0.19685039370078741" top="0.27559055118110237" bottom="0.47244094488188981" header="0.27559055118110237" footer="0.31496062992125984"/>
  <pageSetup paperSize="9" scale="7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P746"/>
  <sheetViews>
    <sheetView topLeftCell="A102" zoomScaleNormal="100" zoomScaleSheetLayoutView="80" workbookViewId="0">
      <selection activeCell="B63" sqref="B63"/>
    </sheetView>
  </sheetViews>
  <sheetFormatPr defaultRowHeight="12.75" x14ac:dyDescent="0.2"/>
  <cols>
    <col min="1" max="1" width="6.28515625" style="2" customWidth="1"/>
    <col min="2" max="2" width="80.7109375" customWidth="1"/>
    <col min="3" max="3" width="14" style="37" hidden="1" customWidth="1"/>
    <col min="4" max="4" width="18.7109375" style="37" customWidth="1"/>
    <col min="5" max="5" width="14" style="37" hidden="1" customWidth="1"/>
    <col min="6" max="6" width="11.28515625" style="37" hidden="1" customWidth="1"/>
    <col min="7" max="7" width="13.5703125" style="37" hidden="1" customWidth="1"/>
    <col min="8" max="8" width="13.140625" style="37" hidden="1" customWidth="1"/>
    <col min="9" max="9" width="10.5703125" customWidth="1"/>
    <col min="10" max="15" width="9.140625" hidden="1" customWidth="1"/>
    <col min="16" max="16" width="9.140625" customWidth="1"/>
    <col min="17" max="18" width="9.140625" hidden="1" customWidth="1"/>
    <col min="19" max="22" width="9.140625" customWidth="1"/>
    <col min="23" max="23" width="6.5703125" bestFit="1" customWidth="1"/>
  </cols>
  <sheetData>
    <row r="1" spans="1:42" ht="15" customHeight="1" x14ac:dyDescent="0.3">
      <c r="A1" s="55"/>
      <c r="B1" s="34"/>
      <c r="D1" s="56" t="s">
        <v>823</v>
      </c>
      <c r="F1" s="56" t="s">
        <v>823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9.5" x14ac:dyDescent="0.35">
      <c r="A2" s="742" t="s">
        <v>27</v>
      </c>
      <c r="B2" s="742"/>
      <c r="C2" s="742"/>
      <c r="D2" s="900"/>
      <c r="E2" s="900"/>
      <c r="F2" s="900"/>
      <c r="G2" s="900"/>
      <c r="H2" s="90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9.5" x14ac:dyDescent="0.35">
      <c r="A3" s="742" t="s">
        <v>822</v>
      </c>
      <c r="B3" s="742"/>
      <c r="C3" s="742"/>
      <c r="D3" s="900"/>
      <c r="E3" s="900"/>
      <c r="F3" s="900"/>
      <c r="G3" s="900"/>
      <c r="H3" s="90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3.5" thickBot="1" x14ac:dyDescent="0.25">
      <c r="A4" s="55"/>
      <c r="B4" s="1"/>
      <c r="D4" s="56" t="s">
        <v>0</v>
      </c>
      <c r="F4" s="56" t="s">
        <v>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95.25" thickBot="1" x14ac:dyDescent="0.25">
      <c r="A5" s="217" t="s">
        <v>118</v>
      </c>
      <c r="B5" s="45" t="s">
        <v>209</v>
      </c>
      <c r="C5" s="45" t="s">
        <v>365</v>
      </c>
      <c r="D5" s="46" t="str">
        <f>'1.Bev-kiad.'!C7</f>
        <v>2023. évi eredeti előirányzat</v>
      </c>
      <c r="E5" s="532" t="e">
        <f>'1.Bev-kiad.'!#REF!</f>
        <v>#REF!</v>
      </c>
      <c r="F5" s="45" t="e">
        <f>'1.Bev-kiad.'!#REF!</f>
        <v>#REF!</v>
      </c>
      <c r="G5" s="310"/>
      <c r="H5" s="46" t="s">
        <v>720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20.25" customHeight="1" x14ac:dyDescent="0.2">
      <c r="A6" s="147" t="s">
        <v>119</v>
      </c>
      <c r="B6" s="226" t="s">
        <v>339</v>
      </c>
      <c r="C6" s="173" t="e">
        <f t="shared" ref="C6:H6" si="0">SUM(C11+C18+C24)</f>
        <v>#REF!</v>
      </c>
      <c r="D6" s="173">
        <f t="shared" si="0"/>
        <v>43249</v>
      </c>
      <c r="E6" s="173">
        <f t="shared" si="0"/>
        <v>53817</v>
      </c>
      <c r="F6" s="173">
        <f t="shared" si="0"/>
        <v>65817</v>
      </c>
      <c r="G6" s="173" t="e">
        <f t="shared" si="0"/>
        <v>#REF!</v>
      </c>
      <c r="H6" s="173">
        <f t="shared" si="0"/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12.75" hidden="1" customHeight="1" x14ac:dyDescent="0.2">
      <c r="A7" s="8" t="s">
        <v>122</v>
      </c>
      <c r="B7" s="8" t="s">
        <v>126</v>
      </c>
      <c r="C7" s="6"/>
      <c r="D7" s="6"/>
      <c r="E7" s="6"/>
      <c r="F7" s="6"/>
      <c r="G7" s="6"/>
      <c r="H7" s="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12.75" hidden="1" customHeight="1" x14ac:dyDescent="0.2">
      <c r="A8" s="8" t="s">
        <v>123</v>
      </c>
      <c r="B8" s="8" t="s">
        <v>127</v>
      </c>
      <c r="C8" s="11"/>
      <c r="D8" s="11"/>
      <c r="E8" s="11"/>
      <c r="F8" s="11"/>
      <c r="G8" s="11"/>
      <c r="H8" s="1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12.75" hidden="1" customHeight="1" x14ac:dyDescent="0.2">
      <c r="A9" s="8" t="s">
        <v>124</v>
      </c>
      <c r="B9" s="8" t="s">
        <v>128</v>
      </c>
      <c r="C9" s="11"/>
      <c r="D9" s="11"/>
      <c r="E9" s="11"/>
      <c r="F9" s="11"/>
      <c r="G9" s="11"/>
      <c r="H9" s="1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12.75" hidden="1" customHeight="1" x14ac:dyDescent="0.2">
      <c r="A10" s="8" t="s">
        <v>125</v>
      </c>
      <c r="B10" s="8" t="s">
        <v>130</v>
      </c>
      <c r="C10" s="11"/>
      <c r="D10" s="11"/>
      <c r="E10" s="11"/>
      <c r="F10" s="11"/>
      <c r="G10" s="11"/>
      <c r="H10" s="1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18" customHeight="1" x14ac:dyDescent="0.25">
      <c r="A11" s="14" t="s">
        <v>131</v>
      </c>
      <c r="B11" s="23" t="s">
        <v>249</v>
      </c>
      <c r="C11" s="38" t="e">
        <f t="shared" ref="C11:H11" si="1">C12+C15</f>
        <v>#REF!</v>
      </c>
      <c r="D11" s="38">
        <f t="shared" si="1"/>
        <v>10249</v>
      </c>
      <c r="E11" s="38">
        <f t="shared" si="1"/>
        <v>44746</v>
      </c>
      <c r="F11" s="38">
        <f t="shared" si="1"/>
        <v>44746</v>
      </c>
      <c r="G11" s="38" t="e">
        <f t="shared" si="1"/>
        <v>#REF!</v>
      </c>
      <c r="H11" s="38">
        <f t="shared" si="1"/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13.5" customHeight="1" x14ac:dyDescent="0.2">
      <c r="A12" s="8" t="s">
        <v>132</v>
      </c>
      <c r="B12" s="8" t="s">
        <v>326</v>
      </c>
      <c r="C12" s="11" t="e">
        <f>#REF!+#REF!</f>
        <v>#REF!</v>
      </c>
      <c r="D12" s="11">
        <f>SUM(D13:D13)</f>
        <v>10249</v>
      </c>
      <c r="E12" s="11">
        <f>SUM(E13:E13)</f>
        <v>11148</v>
      </c>
      <c r="F12" s="11">
        <f>SUM(F13:F13)</f>
        <v>11148</v>
      </c>
      <c r="G12" s="11" t="e">
        <f>#REF!+#REF!</f>
        <v>#REF!</v>
      </c>
      <c r="H12" s="11"/>
      <c r="I12" s="2"/>
      <c r="P12" s="7">
        <f>SUM(D13+D20+D26)</f>
        <v>43249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x14ac:dyDescent="0.2">
      <c r="A13" s="8"/>
      <c r="B13" s="8" t="s">
        <v>801</v>
      </c>
      <c r="C13" s="13">
        <v>0</v>
      </c>
      <c r="D13" s="260">
        <v>10249</v>
      </c>
      <c r="E13" s="13">
        <f>15000-3852</f>
        <v>11148</v>
      </c>
      <c r="F13" s="13">
        <f>15000-3852</f>
        <v>11148</v>
      </c>
      <c r="G13" s="13"/>
      <c r="H13" s="13"/>
      <c r="I13" s="2"/>
      <c r="J13" s="2"/>
      <c r="K13" s="500"/>
      <c r="L13" s="313"/>
      <c r="M13" s="501"/>
      <c r="N13" s="313"/>
      <c r="O13" s="31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x14ac:dyDescent="0.2">
      <c r="A14" s="8"/>
      <c r="B14" s="8"/>
      <c r="C14" s="13"/>
      <c r="D14" s="13"/>
      <c r="E14" s="13"/>
      <c r="F14" s="13"/>
      <c r="G14" s="13"/>
      <c r="H14" s="13"/>
      <c r="I14" s="2"/>
      <c r="J14" s="2"/>
      <c r="K14" s="500" t="s">
        <v>769</v>
      </c>
      <c r="L14" s="502"/>
      <c r="M14" s="501"/>
      <c r="N14" s="502"/>
      <c r="O14" s="50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x14ac:dyDescent="0.2">
      <c r="A15" s="8" t="s">
        <v>172</v>
      </c>
      <c r="B15" s="8" t="s">
        <v>327</v>
      </c>
      <c r="C15" s="11">
        <f t="shared" ref="C15:H15" si="2">SUM(C16:C17)</f>
        <v>33598</v>
      </c>
      <c r="D15" s="11">
        <f t="shared" si="2"/>
        <v>0</v>
      </c>
      <c r="E15" s="11">
        <f t="shared" si="2"/>
        <v>33598</v>
      </c>
      <c r="F15" s="11">
        <f t="shared" si="2"/>
        <v>33598</v>
      </c>
      <c r="G15" s="11">
        <f t="shared" si="2"/>
        <v>33598</v>
      </c>
      <c r="H15" s="11">
        <f t="shared" si="2"/>
        <v>0</v>
      </c>
      <c r="I15" s="2"/>
      <c r="J15" s="2" t="s">
        <v>770</v>
      </c>
      <c r="K15" s="13">
        <v>104400</v>
      </c>
      <c r="L15" s="7">
        <v>115800</v>
      </c>
      <c r="M15" s="7">
        <f>(L15-K15)</f>
        <v>11400</v>
      </c>
      <c r="N15" s="7">
        <v>4200</v>
      </c>
      <c r="O15" s="192">
        <f>SUM(L15+N15)</f>
        <v>120000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hidden="1" x14ac:dyDescent="0.2">
      <c r="A16" s="8"/>
      <c r="B16" s="20" t="s">
        <v>760</v>
      </c>
      <c r="C16" s="13">
        <v>31233</v>
      </c>
      <c r="D16" s="13"/>
      <c r="E16" s="13">
        <v>31233</v>
      </c>
      <c r="F16" s="13">
        <v>31233</v>
      </c>
      <c r="G16" s="13">
        <v>31233</v>
      </c>
      <c r="H16" s="13"/>
      <c r="I16" s="2"/>
      <c r="J16" s="2" t="s">
        <v>771</v>
      </c>
      <c r="K16" s="13">
        <v>226930</v>
      </c>
      <c r="L16" s="7">
        <v>229295</v>
      </c>
      <c r="M16" s="7">
        <f>(L16-K16)</f>
        <v>2365</v>
      </c>
      <c r="N16" s="7">
        <v>5500</v>
      </c>
      <c r="O16" s="192">
        <f>SUM(L16+N16)</f>
        <v>234795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hidden="1" x14ac:dyDescent="0.2">
      <c r="A17" s="8"/>
      <c r="B17" s="20" t="s">
        <v>761</v>
      </c>
      <c r="C17" s="13">
        <v>2365</v>
      </c>
      <c r="D17" s="13"/>
      <c r="E17" s="13">
        <v>2365</v>
      </c>
      <c r="F17" s="13">
        <v>2365</v>
      </c>
      <c r="G17" s="13">
        <v>2365</v>
      </c>
      <c r="H17" s="13"/>
      <c r="I17" s="2"/>
      <c r="J17" s="2"/>
      <c r="K17" s="7"/>
      <c r="L17" s="7"/>
      <c r="M17" s="7"/>
      <c r="N17" s="7"/>
      <c r="O17" s="7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ht="17.25" customHeight="1" x14ac:dyDescent="0.25">
      <c r="A18" s="14" t="s">
        <v>178</v>
      </c>
      <c r="B18" s="23" t="s">
        <v>250</v>
      </c>
      <c r="C18" s="38">
        <f t="shared" ref="C18:H18" si="3">SUM(C19:C23)</f>
        <v>0</v>
      </c>
      <c r="D18" s="38">
        <f t="shared" si="3"/>
        <v>22700</v>
      </c>
      <c r="E18" s="38">
        <f t="shared" si="3"/>
        <v>1056</v>
      </c>
      <c r="F18" s="38">
        <f>SUM(F19:F23)</f>
        <v>13056</v>
      </c>
      <c r="G18" s="38">
        <f t="shared" si="3"/>
        <v>0</v>
      </c>
      <c r="H18" s="38">
        <f t="shared" si="3"/>
        <v>0</v>
      </c>
      <c r="I18" s="2"/>
      <c r="J18" s="2"/>
      <c r="K18" s="7"/>
      <c r="L18" s="7"/>
      <c r="M18" s="7"/>
      <c r="N18" s="7"/>
      <c r="O18" s="7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ht="13.5" customHeight="1" x14ac:dyDescent="0.2">
      <c r="A19" s="8" t="s">
        <v>179</v>
      </c>
      <c r="B19" s="20" t="s">
        <v>401</v>
      </c>
      <c r="C19" s="11"/>
      <c r="D19" s="11"/>
      <c r="E19" s="11"/>
      <c r="F19" s="11"/>
      <c r="G19" s="11"/>
      <c r="H19" s="11"/>
      <c r="I19" s="2"/>
      <c r="J19" s="2"/>
      <c r="K19" s="2">
        <v>226638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ht="13.5" customHeight="1" x14ac:dyDescent="0.2">
      <c r="A20" s="8" t="s">
        <v>180</v>
      </c>
      <c r="B20" s="20" t="s">
        <v>824</v>
      </c>
      <c r="C20" s="13">
        <v>0</v>
      </c>
      <c r="D20" s="260">
        <f>(10700+12000)</f>
        <v>22700</v>
      </c>
      <c r="E20" s="13">
        <v>1056</v>
      </c>
      <c r="F20" s="13">
        <f>1056+12000</f>
        <v>13056</v>
      </c>
      <c r="G20" s="13"/>
      <c r="H20" s="13"/>
      <c r="I20" s="29" t="s">
        <v>830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ht="13.5" customHeight="1" x14ac:dyDescent="0.2">
      <c r="A21" s="8" t="s">
        <v>181</v>
      </c>
      <c r="B21" s="20" t="s">
        <v>450</v>
      </c>
      <c r="C21" s="11"/>
      <c r="D21" s="11"/>
      <c r="E21" s="11"/>
      <c r="F21" s="11"/>
      <c r="G21" s="11"/>
      <c r="H21" s="11"/>
      <c r="I21" s="28" t="s">
        <v>829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ht="13.5" customHeight="1" x14ac:dyDescent="0.2">
      <c r="A22" s="8" t="s">
        <v>182</v>
      </c>
      <c r="B22" s="20" t="s">
        <v>251</v>
      </c>
      <c r="C22" s="11"/>
      <c r="D22" s="11"/>
      <c r="E22" s="11"/>
      <c r="F22" s="11"/>
      <c r="G22" s="11"/>
      <c r="H22" s="1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ht="13.5" customHeight="1" x14ac:dyDescent="0.2">
      <c r="A23" s="8" t="s">
        <v>183</v>
      </c>
      <c r="B23" s="20" t="s">
        <v>252</v>
      </c>
      <c r="C23" s="11"/>
      <c r="D23" s="11"/>
      <c r="E23" s="11"/>
      <c r="F23" s="11"/>
      <c r="G23" s="11"/>
      <c r="H23" s="1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ht="18" customHeight="1" x14ac:dyDescent="0.25">
      <c r="A24" s="14" t="s">
        <v>190</v>
      </c>
      <c r="B24" s="23" t="s">
        <v>389</v>
      </c>
      <c r="C24" s="38">
        <f t="shared" ref="C24:H24" si="4">C26</f>
        <v>8015</v>
      </c>
      <c r="D24" s="38">
        <f t="shared" si="4"/>
        <v>10300</v>
      </c>
      <c r="E24" s="38">
        <f t="shared" si="4"/>
        <v>8015</v>
      </c>
      <c r="F24" s="38">
        <f t="shared" si="4"/>
        <v>8015</v>
      </c>
      <c r="G24" s="38">
        <f t="shared" si="4"/>
        <v>8015</v>
      </c>
      <c r="H24" s="38">
        <f t="shared" si="4"/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ht="13.5" hidden="1" customHeight="1" x14ac:dyDescent="0.2">
      <c r="A25" s="8" t="s">
        <v>190</v>
      </c>
      <c r="B25" s="20" t="s">
        <v>395</v>
      </c>
      <c r="C25" s="49"/>
      <c r="D25" s="49"/>
      <c r="E25" s="49"/>
      <c r="F25" s="49"/>
      <c r="G25" s="49"/>
      <c r="H25" s="49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ht="13.5" customHeight="1" x14ac:dyDescent="0.2">
      <c r="A26" s="8" t="s">
        <v>483</v>
      </c>
      <c r="B26" s="20" t="s">
        <v>843</v>
      </c>
      <c r="C26" s="166">
        <f t="shared" ref="C26:H26" si="5">C27</f>
        <v>8015</v>
      </c>
      <c r="D26" s="536">
        <v>10300</v>
      </c>
      <c r="E26" s="166">
        <f t="shared" si="5"/>
        <v>8015</v>
      </c>
      <c r="F26" s="166">
        <f t="shared" si="5"/>
        <v>8015</v>
      </c>
      <c r="G26" s="166">
        <f t="shared" si="5"/>
        <v>8015</v>
      </c>
      <c r="H26" s="166">
        <f t="shared" si="5"/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13.5" customHeight="1" x14ac:dyDescent="0.2">
      <c r="A27" s="8"/>
      <c r="B27" s="20"/>
      <c r="C27" s="166">
        <v>8015</v>
      </c>
      <c r="D27" s="166"/>
      <c r="E27" s="166">
        <v>8015</v>
      </c>
      <c r="F27" s="166">
        <v>8015</v>
      </c>
      <c r="G27" s="166">
        <v>8015</v>
      </c>
      <c r="H27" s="166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ht="20.25" customHeight="1" x14ac:dyDescent="0.25">
      <c r="A28" s="8"/>
      <c r="B28" s="172" t="s">
        <v>340</v>
      </c>
      <c r="C28" s="159">
        <f t="shared" ref="C28:H28" si="6">SUM(C29+C34)</f>
        <v>1273797</v>
      </c>
      <c r="D28" s="159">
        <f t="shared" si="6"/>
        <v>949598</v>
      </c>
      <c r="E28" s="159">
        <f t="shared" si="6"/>
        <v>1273797</v>
      </c>
      <c r="F28" s="159">
        <f t="shared" si="6"/>
        <v>1273797</v>
      </c>
      <c r="G28" s="159">
        <f t="shared" si="6"/>
        <v>1273797</v>
      </c>
      <c r="H28" s="159">
        <f t="shared" si="6"/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ht="16.5" customHeight="1" x14ac:dyDescent="0.25">
      <c r="A29" s="8"/>
      <c r="B29" s="18" t="s">
        <v>254</v>
      </c>
      <c r="C29" s="191">
        <f t="shared" ref="C29:H29" si="7">C30</f>
        <v>1095597</v>
      </c>
      <c r="D29" s="191">
        <f t="shared" si="7"/>
        <v>749598</v>
      </c>
      <c r="E29" s="191">
        <f t="shared" si="7"/>
        <v>1095597</v>
      </c>
      <c r="F29" s="191">
        <f t="shared" si="7"/>
        <v>1095597</v>
      </c>
      <c r="G29" s="191">
        <f t="shared" si="7"/>
        <v>1095597</v>
      </c>
      <c r="H29" s="191">
        <f t="shared" si="7"/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ht="13.5" customHeight="1" x14ac:dyDescent="0.2">
      <c r="A30" s="8"/>
      <c r="B30" s="31" t="s">
        <v>426</v>
      </c>
      <c r="C30" s="11">
        <v>1095597</v>
      </c>
      <c r="D30" s="11">
        <f>SUM(D31:D32)</f>
        <v>749598</v>
      </c>
      <c r="E30" s="11">
        <v>1095597</v>
      </c>
      <c r="F30" s="11">
        <v>1095597</v>
      </c>
      <c r="G30" s="11">
        <v>1095597</v>
      </c>
      <c r="H30" s="1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x14ac:dyDescent="0.2">
      <c r="A31" s="8"/>
      <c r="B31" s="31" t="s">
        <v>853</v>
      </c>
      <c r="C31" s="11"/>
      <c r="D31" s="13">
        <f>(632574-19378-10058-5652)</f>
        <v>597486</v>
      </c>
      <c r="E31" s="11"/>
      <c r="F31" s="11"/>
      <c r="G31" s="11"/>
      <c r="H31" s="1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x14ac:dyDescent="0.2">
      <c r="A32" s="8"/>
      <c r="B32" s="31" t="s">
        <v>854</v>
      </c>
      <c r="C32" s="11"/>
      <c r="D32" s="13">
        <f>(226930-68956-3881-1049-246-686)</f>
        <v>152112</v>
      </c>
      <c r="E32" s="11"/>
      <c r="F32" s="11"/>
      <c r="G32" s="11"/>
      <c r="H32" s="1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3.5" customHeight="1" x14ac:dyDescent="0.2">
      <c r="A33" s="8"/>
      <c r="B33" s="31"/>
      <c r="C33" s="11"/>
      <c r="D33" s="11"/>
      <c r="E33" s="11"/>
      <c r="F33" s="11"/>
      <c r="G33" s="11"/>
      <c r="H33" s="1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6.5" customHeight="1" x14ac:dyDescent="0.25">
      <c r="A34" s="8"/>
      <c r="B34" s="18" t="s">
        <v>255</v>
      </c>
      <c r="C34" s="38">
        <f>SUM(C35:C36)</f>
        <v>178200</v>
      </c>
      <c r="D34" s="38">
        <f>SUM(D35:D37)</f>
        <v>200000</v>
      </c>
      <c r="E34" s="38">
        <f>SUM(E35:E36)</f>
        <v>178200</v>
      </c>
      <c r="F34" s="38">
        <f>SUM(F35:F36)</f>
        <v>178200</v>
      </c>
      <c r="G34" s="38">
        <f>SUM(G35:G36)</f>
        <v>178200</v>
      </c>
      <c r="H34" s="38">
        <f>SUM(H36)</f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3.5" customHeight="1" x14ac:dyDescent="0.25">
      <c r="A35" s="12"/>
      <c r="B35" s="8" t="s">
        <v>856</v>
      </c>
      <c r="C35" s="11">
        <v>78200</v>
      </c>
      <c r="D35" s="528">
        <v>100000</v>
      </c>
      <c r="E35" s="11">
        <v>78200</v>
      </c>
      <c r="F35" s="11">
        <v>78200</v>
      </c>
      <c r="G35" s="11">
        <v>78200</v>
      </c>
      <c r="H35" s="49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3.5" customHeight="1" x14ac:dyDescent="0.2">
      <c r="A36" s="8"/>
      <c r="B36" s="8" t="s">
        <v>825</v>
      </c>
      <c r="C36" s="11">
        <v>100000</v>
      </c>
      <c r="D36" s="528">
        <v>100000</v>
      </c>
      <c r="E36" s="11">
        <v>100000</v>
      </c>
      <c r="F36" s="11">
        <v>100000</v>
      </c>
      <c r="G36" s="79">
        <v>100000</v>
      </c>
      <c r="H36" s="79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3.5" customHeight="1" thickBot="1" x14ac:dyDescent="0.25">
      <c r="A37" s="12"/>
      <c r="B37" s="12"/>
      <c r="C37" s="79"/>
      <c r="D37" s="79"/>
      <c r="E37" s="79"/>
      <c r="F37" s="79"/>
      <c r="G37" s="525"/>
      <c r="H37" s="526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20.25" thickBot="1" x14ac:dyDescent="0.4">
      <c r="A38" s="217"/>
      <c r="B38" s="216" t="s">
        <v>376</v>
      </c>
      <c r="C38" s="227" t="e">
        <f t="shared" ref="C38:H38" si="8">SUM(C6+C28)</f>
        <v>#REF!</v>
      </c>
      <c r="D38" s="227">
        <f t="shared" si="8"/>
        <v>992847</v>
      </c>
      <c r="E38" s="227">
        <f t="shared" si="8"/>
        <v>1327614</v>
      </c>
      <c r="F38" s="248">
        <f t="shared" si="8"/>
        <v>1339614</v>
      </c>
      <c r="G38" s="527" t="e">
        <f t="shared" si="8"/>
        <v>#REF!</v>
      </c>
      <c r="H38" s="248">
        <f t="shared" si="8"/>
        <v>0</v>
      </c>
      <c r="I38" s="901" t="s">
        <v>868</v>
      </c>
      <c r="J38" s="902"/>
      <c r="K38" s="902"/>
      <c r="L38" s="902"/>
      <c r="M38" s="902"/>
      <c r="N38" s="902"/>
      <c r="O38" s="902"/>
      <c r="P38" s="902"/>
      <c r="Q38" s="902"/>
      <c r="R38" s="902"/>
      <c r="S38" s="902"/>
      <c r="T38" s="90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36.75" customHeight="1" x14ac:dyDescent="0.25">
      <c r="A39" s="147" t="s">
        <v>353</v>
      </c>
      <c r="B39" s="225" t="s">
        <v>341</v>
      </c>
      <c r="C39" s="174" t="e">
        <f t="shared" ref="C39:H39" si="9">SUM(C40+C77+C93+C96)</f>
        <v>#REF!</v>
      </c>
      <c r="D39" s="174">
        <f t="shared" si="9"/>
        <v>1066397</v>
      </c>
      <c r="E39" s="174" t="e">
        <f t="shared" si="9"/>
        <v>#REF!</v>
      </c>
      <c r="F39" s="174" t="e">
        <f t="shared" si="9"/>
        <v>#REF!</v>
      </c>
      <c r="G39" s="174" t="e">
        <f t="shared" si="9"/>
        <v>#REF!</v>
      </c>
      <c r="H39" s="174" t="e">
        <f t="shared" si="9"/>
        <v>#REF!</v>
      </c>
      <c r="I39" s="537" t="s">
        <v>865</v>
      </c>
      <c r="J39" s="538"/>
      <c r="K39" s="538"/>
      <c r="L39" s="538"/>
      <c r="M39" s="538"/>
      <c r="N39" s="538"/>
      <c r="O39" s="538"/>
      <c r="P39" s="537" t="s">
        <v>866</v>
      </c>
      <c r="Q39" s="502"/>
      <c r="R39" s="502"/>
      <c r="S39" s="537" t="s">
        <v>867</v>
      </c>
      <c r="T39" s="537" t="s">
        <v>864</v>
      </c>
      <c r="U39" s="537" t="s">
        <v>418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15.75" x14ac:dyDescent="0.25">
      <c r="A40" s="14" t="s">
        <v>253</v>
      </c>
      <c r="B40" s="23" t="s">
        <v>5</v>
      </c>
      <c r="C40" s="159" t="e">
        <f t="shared" ref="C40:H40" si="10">SUM(C41+C68)</f>
        <v>#REF!</v>
      </c>
      <c r="D40" s="159">
        <f t="shared" si="10"/>
        <v>63555</v>
      </c>
      <c r="E40" s="159">
        <f t="shared" si="10"/>
        <v>137991</v>
      </c>
      <c r="F40" s="159" t="e">
        <f t="shared" si="10"/>
        <v>#REF!</v>
      </c>
      <c r="G40" s="159" t="e">
        <f t="shared" si="10"/>
        <v>#REF!</v>
      </c>
      <c r="H40" s="159">
        <f t="shared" si="10"/>
        <v>0</v>
      </c>
      <c r="I40" s="11" t="e">
        <f>SUM(D41+D85+'8.Önk.'!#REF!)</f>
        <v>#REF!</v>
      </c>
      <c r="J40" s="8"/>
      <c r="K40" s="8"/>
      <c r="L40" s="8"/>
      <c r="M40" s="8"/>
      <c r="N40" s="8"/>
      <c r="O40" s="8"/>
      <c r="P40" s="11" t="e">
        <f>SUM(D80+I80+D83+I83+D81+I81+'8.Önk.'!#REF!)</f>
        <v>#REF!</v>
      </c>
      <c r="Q40" s="2"/>
      <c r="R40" s="2"/>
      <c r="S40" s="11" t="e">
        <f>SUM(D79+I79+D82+I82+'8.Önk.'!#REF!)</f>
        <v>#REF!</v>
      </c>
      <c r="T40" s="11" t="e">
        <f>SUM(P40:S40)</f>
        <v>#REF!</v>
      </c>
      <c r="U40" s="11" t="e">
        <f>SUM(I40+T40)</f>
        <v>#REF!</v>
      </c>
      <c r="V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8" customHeight="1" x14ac:dyDescent="0.2">
      <c r="A41" s="14"/>
      <c r="B41" s="24" t="s">
        <v>342</v>
      </c>
      <c r="C41" s="148">
        <f t="shared" ref="C41:H41" si="11">SUM(C42+C47+C67)</f>
        <v>115700</v>
      </c>
      <c r="D41" s="148">
        <f t="shared" si="11"/>
        <v>62555</v>
      </c>
      <c r="E41" s="148">
        <f t="shared" si="11"/>
        <v>136991</v>
      </c>
      <c r="F41" s="148">
        <f t="shared" si="11"/>
        <v>137464</v>
      </c>
      <c r="G41" s="148">
        <f t="shared" si="11"/>
        <v>104259</v>
      </c>
      <c r="H41" s="148">
        <f t="shared" si="11"/>
        <v>0</v>
      </c>
      <c r="I41" s="903" t="e">
        <f>SUM(I40+P40)</f>
        <v>#REF!</v>
      </c>
      <c r="J41" s="903"/>
      <c r="K41" s="903"/>
      <c r="L41" s="903"/>
      <c r="M41" s="903"/>
      <c r="N41" s="903"/>
      <c r="O41" s="903"/>
      <c r="P41" s="903"/>
      <c r="Q41" s="2"/>
      <c r="R41" s="2"/>
      <c r="S41" s="8"/>
      <c r="T41" s="8"/>
      <c r="U41" s="8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14.25" x14ac:dyDescent="0.2">
      <c r="A42" s="14"/>
      <c r="B42" s="24" t="s">
        <v>346</v>
      </c>
      <c r="C42" s="148">
        <f>SUM(C43:C45)</f>
        <v>11441</v>
      </c>
      <c r="D42" s="148">
        <f>SUM(D45:D46)</f>
        <v>0</v>
      </c>
      <c r="E42" s="148">
        <f>SUM(E43:E45)</f>
        <v>20326</v>
      </c>
      <c r="F42" s="148">
        <f>SUM(F43:F45)</f>
        <v>20326</v>
      </c>
      <c r="G42" s="148">
        <f>SUM(G43:G43)</f>
        <v>0</v>
      </c>
      <c r="H42" s="148">
        <f>H43</f>
        <v>0</v>
      </c>
      <c r="I42" s="16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3.5" hidden="1" customHeight="1" x14ac:dyDescent="0.2">
      <c r="A43" s="14"/>
      <c r="B43" s="19" t="s">
        <v>762</v>
      </c>
      <c r="C43" s="11">
        <v>11441</v>
      </c>
      <c r="D43" s="11">
        <v>0</v>
      </c>
      <c r="E43" s="11">
        <v>0</v>
      </c>
      <c r="F43" s="11">
        <v>0</v>
      </c>
      <c r="G43" s="11">
        <v>0</v>
      </c>
      <c r="H43" s="13"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3.5" hidden="1" customHeight="1" x14ac:dyDescent="0.2">
      <c r="A44" s="14"/>
      <c r="B44" s="8" t="s">
        <v>804</v>
      </c>
      <c r="C44" s="11">
        <v>0</v>
      </c>
      <c r="D44" s="11">
        <v>0</v>
      </c>
      <c r="E44" s="11">
        <v>11995</v>
      </c>
      <c r="F44" s="11">
        <v>11995</v>
      </c>
      <c r="G44" s="11"/>
      <c r="H44" s="1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13.5" hidden="1" customHeight="1" x14ac:dyDescent="0.2">
      <c r="A45" s="14"/>
      <c r="B45" s="8" t="s">
        <v>805</v>
      </c>
      <c r="C45" s="11">
        <v>0</v>
      </c>
      <c r="D45" s="11">
        <v>0</v>
      </c>
      <c r="E45" s="11">
        <v>8331</v>
      </c>
      <c r="F45" s="11">
        <v>8331</v>
      </c>
      <c r="G45" s="11"/>
      <c r="H45" s="1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13.5" customHeight="1" x14ac:dyDescent="0.2">
      <c r="A46" s="14"/>
      <c r="B46" s="8"/>
      <c r="C46" s="11"/>
      <c r="D46" s="11"/>
      <c r="E46" s="11"/>
      <c r="F46" s="11"/>
      <c r="G46" s="11"/>
      <c r="H46" s="1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ht="13.5" customHeight="1" x14ac:dyDescent="0.2">
      <c r="A47" s="14"/>
      <c r="B47" s="14" t="s">
        <v>345</v>
      </c>
      <c r="C47" s="5">
        <f t="shared" ref="C47:H47" si="12">SUM(C48:C59)</f>
        <v>26059</v>
      </c>
      <c r="D47" s="5">
        <f>SUM(D60:D66)</f>
        <v>62555</v>
      </c>
      <c r="E47" s="5">
        <f>SUM(E48:E59)</f>
        <v>38465</v>
      </c>
      <c r="F47" s="5">
        <f>SUM(F48:F59)</f>
        <v>38938</v>
      </c>
      <c r="G47" s="5">
        <f t="shared" si="12"/>
        <v>26059</v>
      </c>
      <c r="H47" s="5">
        <f t="shared" si="12"/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hidden="1" x14ac:dyDescent="0.2">
      <c r="A48" s="14"/>
      <c r="B48" s="8" t="s">
        <v>455</v>
      </c>
      <c r="C48" s="13">
        <v>22000</v>
      </c>
      <c r="D48" s="13"/>
      <c r="E48" s="13">
        <f>22000+12-4680</f>
        <v>17332</v>
      </c>
      <c r="F48" s="13">
        <f>22000+12-4680</f>
        <v>17332</v>
      </c>
      <c r="G48" s="499">
        <v>22000</v>
      </c>
      <c r="H48" s="1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idden="1" x14ac:dyDescent="0.2">
      <c r="A49" s="14"/>
      <c r="B49" s="8" t="s">
        <v>763</v>
      </c>
      <c r="C49" s="13">
        <v>850</v>
      </c>
      <c r="D49" s="13"/>
      <c r="E49" s="13">
        <v>850</v>
      </c>
      <c r="F49" s="13">
        <f>850+120</f>
        <v>970</v>
      </c>
      <c r="G49" s="499">
        <v>850</v>
      </c>
      <c r="H49" s="11"/>
      <c r="I49" s="7">
        <f>F49-E49</f>
        <v>120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idden="1" x14ac:dyDescent="0.2">
      <c r="A50" s="14"/>
      <c r="B50" s="8" t="s">
        <v>764</v>
      </c>
      <c r="C50" s="13">
        <v>709</v>
      </c>
      <c r="D50" s="13"/>
      <c r="E50" s="13">
        <v>709</v>
      </c>
      <c r="F50" s="13">
        <v>709</v>
      </c>
      <c r="G50" s="499">
        <v>709</v>
      </c>
      <c r="H50" s="11"/>
      <c r="I50" s="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idden="1" x14ac:dyDescent="0.2">
      <c r="A51" s="14"/>
      <c r="B51" s="8" t="s">
        <v>457</v>
      </c>
      <c r="C51" s="13">
        <v>2500</v>
      </c>
      <c r="D51" s="13"/>
      <c r="E51" s="13">
        <f>2500+500</f>
        <v>3000</v>
      </c>
      <c r="F51" s="13">
        <f>2500+500</f>
        <v>3000</v>
      </c>
      <c r="G51" s="499">
        <v>2500</v>
      </c>
      <c r="H51" s="11"/>
      <c r="I51" s="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hidden="1" x14ac:dyDescent="0.2">
      <c r="A52" s="14"/>
      <c r="B52" s="19" t="s">
        <v>799</v>
      </c>
      <c r="C52" s="13">
        <v>0</v>
      </c>
      <c r="D52" s="13"/>
      <c r="E52" s="13">
        <v>11441</v>
      </c>
      <c r="F52" s="13">
        <v>11441</v>
      </c>
      <c r="G52" s="499"/>
      <c r="H52" s="11"/>
      <c r="I52" s="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idden="1" x14ac:dyDescent="0.2">
      <c r="A53" s="14"/>
      <c r="B53" s="8" t="s">
        <v>802</v>
      </c>
      <c r="C53" s="13">
        <v>0</v>
      </c>
      <c r="D53" s="13">
        <v>0</v>
      </c>
      <c r="E53" s="13">
        <v>573</v>
      </c>
      <c r="F53" s="13">
        <v>573</v>
      </c>
      <c r="G53" s="499"/>
      <c r="H53" s="11"/>
      <c r="I53" s="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idden="1" x14ac:dyDescent="0.2">
      <c r="A54" s="14"/>
      <c r="B54" s="8" t="s">
        <v>803</v>
      </c>
      <c r="C54" s="13">
        <v>0</v>
      </c>
      <c r="D54" s="13">
        <v>0</v>
      </c>
      <c r="E54" s="13">
        <v>3747</v>
      </c>
      <c r="F54" s="13">
        <v>3747</v>
      </c>
      <c r="G54" s="499"/>
      <c r="H54" s="11"/>
      <c r="I54" s="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idden="1" x14ac:dyDescent="0.2">
      <c r="A55" s="14"/>
      <c r="B55" s="8" t="s">
        <v>808</v>
      </c>
      <c r="C55" s="13">
        <v>0</v>
      </c>
      <c r="D55" s="13">
        <v>0</v>
      </c>
      <c r="E55" s="13">
        <v>114</v>
      </c>
      <c r="F55" s="13">
        <v>114</v>
      </c>
      <c r="G55" s="499"/>
      <c r="H55" s="11"/>
      <c r="I55" s="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idden="1" x14ac:dyDescent="0.2">
      <c r="A56" s="14"/>
      <c r="B56" s="8" t="s">
        <v>818</v>
      </c>
      <c r="C56" s="13">
        <v>0</v>
      </c>
      <c r="D56" s="13">
        <v>0</v>
      </c>
      <c r="E56" s="13">
        <v>298</v>
      </c>
      <c r="F56" s="13">
        <v>298</v>
      </c>
      <c r="G56" s="499"/>
      <c r="H56" s="11"/>
      <c r="I56" s="7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hidden="1" x14ac:dyDescent="0.2">
      <c r="A57" s="14"/>
      <c r="B57" s="8" t="s">
        <v>809</v>
      </c>
      <c r="C57" s="13">
        <v>0</v>
      </c>
      <c r="D57" s="13">
        <v>0</v>
      </c>
      <c r="E57" s="13">
        <v>401</v>
      </c>
      <c r="F57" s="13">
        <v>401</v>
      </c>
      <c r="G57" s="499"/>
      <c r="H57" s="11"/>
      <c r="I57" s="7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hidden="1" x14ac:dyDescent="0.2">
      <c r="A58" s="14"/>
      <c r="B58" s="8" t="s">
        <v>817</v>
      </c>
      <c r="C58" s="13">
        <v>0</v>
      </c>
      <c r="D58" s="13">
        <v>0</v>
      </c>
      <c r="E58" s="13">
        <v>0</v>
      </c>
      <c r="F58" s="13">
        <v>237</v>
      </c>
      <c r="G58" s="13">
        <v>0</v>
      </c>
      <c r="H58" s="13">
        <v>0</v>
      </c>
      <c r="I58" s="7">
        <f>F58-E58</f>
        <v>237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hidden="1" x14ac:dyDescent="0.2">
      <c r="A59" s="14"/>
      <c r="B59" s="19" t="s">
        <v>819</v>
      </c>
      <c r="C59" s="13">
        <v>0</v>
      </c>
      <c r="D59" s="13">
        <v>0</v>
      </c>
      <c r="E59" s="13">
        <v>0</v>
      </c>
      <c r="F59" s="13">
        <v>116</v>
      </c>
      <c r="G59" s="13">
        <v>0</v>
      </c>
      <c r="H59" s="13">
        <v>0</v>
      </c>
      <c r="I59" s="7">
        <f>F59-E59</f>
        <v>116</v>
      </c>
      <c r="J59" s="2"/>
      <c r="K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x14ac:dyDescent="0.2">
      <c r="A60" s="14"/>
      <c r="B60" s="541" t="s">
        <v>845</v>
      </c>
      <c r="C60" s="13"/>
      <c r="D60" s="539">
        <v>26000</v>
      </c>
      <c r="E60" s="13"/>
      <c r="F60" s="13"/>
      <c r="G60" s="13"/>
      <c r="H60" s="13"/>
      <c r="I60" s="540">
        <v>-10000</v>
      </c>
      <c r="J60" s="2"/>
      <c r="K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x14ac:dyDescent="0.2">
      <c r="A61" s="14"/>
      <c r="B61" s="19" t="s">
        <v>846</v>
      </c>
      <c r="C61" s="13"/>
      <c r="D61" s="260">
        <v>10800</v>
      </c>
      <c r="E61" s="13"/>
      <c r="F61" s="13"/>
      <c r="G61" s="13"/>
      <c r="H61" s="13"/>
      <c r="I61" s="540"/>
      <c r="J61" s="2"/>
      <c r="K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x14ac:dyDescent="0.2">
      <c r="A62" s="14"/>
      <c r="B62" s="19" t="s">
        <v>847</v>
      </c>
      <c r="C62" s="13"/>
      <c r="D62" s="260"/>
      <c r="E62" s="13"/>
      <c r="F62" s="13"/>
      <c r="G62" s="13"/>
      <c r="H62" s="13"/>
      <c r="I62" s="540">
        <v>-13200</v>
      </c>
      <c r="J62" s="2"/>
      <c r="K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x14ac:dyDescent="0.2">
      <c r="A63" s="14"/>
      <c r="B63" s="19" t="s">
        <v>859</v>
      </c>
      <c r="C63" s="13"/>
      <c r="D63" s="260">
        <v>3200</v>
      </c>
      <c r="E63" s="13"/>
      <c r="F63" s="13"/>
      <c r="G63" s="13"/>
      <c r="H63" s="13"/>
      <c r="I63" s="540"/>
      <c r="J63" s="2"/>
      <c r="K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x14ac:dyDescent="0.2">
      <c r="A64" s="14"/>
      <c r="B64" s="541" t="s">
        <v>848</v>
      </c>
      <c r="C64" s="13"/>
      <c r="D64" s="260">
        <v>18745</v>
      </c>
      <c r="E64" s="13"/>
      <c r="F64" s="13"/>
      <c r="G64" s="13"/>
      <c r="H64" s="13"/>
      <c r="I64" s="7"/>
      <c r="J64" s="2"/>
      <c r="K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x14ac:dyDescent="0.2">
      <c r="A65" s="14"/>
      <c r="B65" s="19" t="s">
        <v>855</v>
      </c>
      <c r="C65" s="13"/>
      <c r="D65" s="260">
        <v>3810</v>
      </c>
      <c r="E65" s="13"/>
      <c r="F65" s="13"/>
      <c r="G65" s="13"/>
      <c r="H65" s="13"/>
      <c r="I65" s="7"/>
      <c r="J65" s="2"/>
      <c r="K65" s="2"/>
      <c r="M65" s="2"/>
      <c r="N65" s="2"/>
      <c r="O65" s="2"/>
      <c r="P65" s="2">
        <v>15.6</v>
      </c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2">
      <c r="A66" s="14"/>
      <c r="B66" s="19"/>
      <c r="C66" s="13"/>
      <c r="D66" s="13"/>
      <c r="E66" s="13"/>
      <c r="F66" s="13"/>
      <c r="G66" s="13"/>
      <c r="H66" s="13"/>
      <c r="I66" s="7"/>
      <c r="J66" s="2"/>
      <c r="K66" s="2"/>
      <c r="M66" s="2"/>
      <c r="N66" s="2"/>
      <c r="O66" s="2"/>
      <c r="P66" s="2">
        <v>86.7</v>
      </c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2">
      <c r="A67" s="14"/>
      <c r="B67" s="14" t="s">
        <v>765</v>
      </c>
      <c r="C67" s="5">
        <v>78200</v>
      </c>
      <c r="D67" s="5"/>
      <c r="E67" s="5">
        <v>78200</v>
      </c>
      <c r="F67" s="5">
        <v>78200</v>
      </c>
      <c r="G67" s="5">
        <v>78200</v>
      </c>
      <c r="H67" s="13"/>
      <c r="I67" s="2"/>
      <c r="J67" s="2"/>
      <c r="K67" s="2"/>
      <c r="L67" s="2"/>
      <c r="M67" s="2"/>
      <c r="N67" s="2"/>
      <c r="O67" s="2"/>
      <c r="P67" s="7">
        <v>502.4</v>
      </c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3.5" customHeight="1" x14ac:dyDescent="0.2">
      <c r="A68" s="14"/>
      <c r="B68" s="14" t="s">
        <v>384</v>
      </c>
      <c r="C68" s="5" t="e">
        <f>SUM(C69)</f>
        <v>#REF!</v>
      </c>
      <c r="D68" s="5">
        <f>SUM(D69)</f>
        <v>1000</v>
      </c>
      <c r="E68" s="5">
        <f>SUM(E69)</f>
        <v>1000</v>
      </c>
      <c r="F68" s="5" t="e">
        <f>SUM(F69)</f>
        <v>#REF!</v>
      </c>
      <c r="G68" s="5" t="e">
        <f>SUM(G69)</f>
        <v>#REF!</v>
      </c>
      <c r="H68" s="5">
        <f>SUM(H69:H76)</f>
        <v>0</v>
      </c>
      <c r="I68" s="2"/>
      <c r="J68" s="2"/>
      <c r="K68" s="2"/>
      <c r="L68" s="2"/>
      <c r="M68" s="2"/>
      <c r="N68" s="2"/>
      <c r="O68" s="2"/>
      <c r="P68" s="2">
        <f>SUM(P65:P67)</f>
        <v>604.69999999999993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3.5" customHeight="1" x14ac:dyDescent="0.2">
      <c r="A69" s="14"/>
      <c r="B69" s="8" t="s">
        <v>826</v>
      </c>
      <c r="C69" s="13" t="e">
        <f>'9.Hivatal'!#REF!</f>
        <v>#REF!</v>
      </c>
      <c r="D69" s="260">
        <f>SUM('9.Hivatal'!J79)</f>
        <v>1000</v>
      </c>
      <c r="E69" s="13">
        <f>'9.Hivatal'!J77</f>
        <v>1000</v>
      </c>
      <c r="F69" s="13" t="e">
        <f>'9.Hivatal'!#REF!</f>
        <v>#REF!</v>
      </c>
      <c r="G69" s="13" t="e">
        <f>'9.Hivatal'!#REF!</f>
        <v>#REF!</v>
      </c>
      <c r="H69" s="1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hidden="1" x14ac:dyDescent="0.2">
      <c r="A70" s="14"/>
      <c r="B70" s="8"/>
      <c r="C70" s="13"/>
      <c r="D70" s="13"/>
      <c r="E70" s="13"/>
      <c r="F70" s="13"/>
      <c r="G70" s="13"/>
      <c r="H70" s="1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hidden="1" x14ac:dyDescent="0.2">
      <c r="A71" s="14"/>
      <c r="B71" s="8"/>
      <c r="C71" s="13"/>
      <c r="D71" s="13"/>
      <c r="E71" s="13"/>
      <c r="F71" s="13"/>
      <c r="G71" s="13"/>
      <c r="H71" s="1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idden="1" x14ac:dyDescent="0.2">
      <c r="A72" s="14"/>
      <c r="B72" s="8"/>
      <c r="C72" s="13"/>
      <c r="D72" s="13"/>
      <c r="E72" s="13"/>
      <c r="F72" s="13"/>
      <c r="G72" s="13"/>
      <c r="H72" s="1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idden="1" x14ac:dyDescent="0.2">
      <c r="A73" s="14"/>
      <c r="B73" s="8"/>
      <c r="C73" s="13"/>
      <c r="D73" s="13"/>
      <c r="E73" s="13"/>
      <c r="F73" s="13"/>
      <c r="G73" s="13"/>
      <c r="H73" s="1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idden="1" x14ac:dyDescent="0.2">
      <c r="A74" s="14"/>
      <c r="B74" s="168"/>
      <c r="C74" s="49"/>
      <c r="D74" s="49"/>
      <c r="E74" s="49"/>
      <c r="F74" s="49"/>
      <c r="G74" s="49"/>
      <c r="H74" s="49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hidden="1" x14ac:dyDescent="0.2">
      <c r="A75" s="14"/>
      <c r="B75" s="8"/>
      <c r="C75" s="49"/>
      <c r="D75" s="49"/>
      <c r="E75" s="49"/>
      <c r="F75" s="49"/>
      <c r="G75" s="49"/>
      <c r="H75" s="49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x14ac:dyDescent="0.2">
      <c r="A76" s="14"/>
      <c r="B76" s="8"/>
      <c r="C76" s="49"/>
      <c r="D76" s="49"/>
      <c r="E76" s="49"/>
      <c r="F76" s="49"/>
      <c r="G76" s="49"/>
      <c r="H76" s="49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8" customHeight="1" x14ac:dyDescent="0.25">
      <c r="A77" s="14" t="s">
        <v>356</v>
      </c>
      <c r="B77" s="23" t="s">
        <v>1</v>
      </c>
      <c r="C77" s="159">
        <f>SUM(C78+C85)</f>
        <v>512995</v>
      </c>
      <c r="D77" s="159">
        <f>SUM(D78+D85)</f>
        <v>1002842</v>
      </c>
      <c r="E77" s="159">
        <f>SUM(E78+E85)</f>
        <v>552629</v>
      </c>
      <c r="F77" s="159">
        <f>SUM(F78+F85)</f>
        <v>535599</v>
      </c>
      <c r="G77" s="159">
        <f>SUM(G78+G85)</f>
        <v>512995</v>
      </c>
      <c r="H77" s="159">
        <f>SUM(H78+H86)</f>
        <v>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ht="13.5" customHeight="1" x14ac:dyDescent="0.2">
      <c r="A78" s="14"/>
      <c r="B78" s="14" t="s">
        <v>2</v>
      </c>
      <c r="C78" s="148">
        <f t="shared" ref="C78:H78" si="13">SUM(C79:C82)</f>
        <v>511995</v>
      </c>
      <c r="D78" s="148">
        <f t="shared" si="13"/>
        <v>612402</v>
      </c>
      <c r="E78" s="148">
        <f t="shared" si="13"/>
        <v>529053</v>
      </c>
      <c r="F78" s="148">
        <f t="shared" si="13"/>
        <v>514393</v>
      </c>
      <c r="G78" s="148">
        <f t="shared" si="13"/>
        <v>511995</v>
      </c>
      <c r="H78" s="148">
        <f t="shared" si="13"/>
        <v>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ht="13.5" customHeight="1" x14ac:dyDescent="0.2">
      <c r="A79" s="14"/>
      <c r="B79" s="20" t="s">
        <v>844</v>
      </c>
      <c r="C79" s="11">
        <f>'13.2.EU projekt részletesen'!M15/1000</f>
        <v>212795</v>
      </c>
      <c r="D79" s="528">
        <v>126690</v>
      </c>
      <c r="E79" s="11">
        <f>212795</f>
        <v>212795</v>
      </c>
      <c r="F79" s="11">
        <f>212795-14660</f>
        <v>198135</v>
      </c>
      <c r="G79" s="11">
        <v>212795</v>
      </c>
      <c r="H79" s="11"/>
      <c r="I79" s="29">
        <f>SUM(D79*0.27)</f>
        <v>34206.300000000003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ht="13.5" customHeight="1" x14ac:dyDescent="0.2">
      <c r="A80" s="14"/>
      <c r="B80" s="20" t="s">
        <v>842</v>
      </c>
      <c r="C80" s="11">
        <v>0</v>
      </c>
      <c r="D80" s="528">
        <v>13431</v>
      </c>
      <c r="E80" s="11">
        <v>17058</v>
      </c>
      <c r="F80" s="11">
        <v>17058</v>
      </c>
      <c r="G80" s="11"/>
      <c r="H80" s="11"/>
      <c r="I80" s="29">
        <f>SUM(D80*0.27)</f>
        <v>3626.3700000000003</v>
      </c>
      <c r="J80" s="2"/>
      <c r="K80" s="2"/>
      <c r="L80" s="2"/>
      <c r="M80" s="2"/>
      <c r="N80" s="2"/>
      <c r="O80" s="2"/>
      <c r="P80" s="2"/>
      <c r="Q80" s="7">
        <v>180986</v>
      </c>
      <c r="R80" s="7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ht="13.5" customHeight="1" x14ac:dyDescent="0.2">
      <c r="A81" s="14"/>
      <c r="B81" s="20" t="s">
        <v>858</v>
      </c>
      <c r="C81" s="11"/>
      <c r="D81" s="528">
        <v>1100</v>
      </c>
      <c r="E81" s="11"/>
      <c r="F81" s="11"/>
      <c r="G81" s="11"/>
      <c r="H81" s="11"/>
      <c r="I81" s="29">
        <f>SUM(D81*0.27)</f>
        <v>297</v>
      </c>
      <c r="J81" s="2"/>
      <c r="K81" s="2"/>
      <c r="L81" s="2"/>
      <c r="M81" s="2"/>
      <c r="N81" s="2"/>
      <c r="O81" s="2"/>
      <c r="P81" s="2"/>
      <c r="Q81" s="7"/>
      <c r="R81" s="7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ht="13.5" customHeight="1" x14ac:dyDescent="0.2">
      <c r="A82" s="14"/>
      <c r="B82" s="8" t="s">
        <v>861</v>
      </c>
      <c r="C82" s="11">
        <f>'13.2.EU projekt részletesen'!D15/1000/2</f>
        <v>299200</v>
      </c>
      <c r="D82" s="528">
        <v>471181</v>
      </c>
      <c r="E82" s="11">
        <v>299200</v>
      </c>
      <c r="F82" s="11">
        <v>299200</v>
      </c>
      <c r="G82" s="11">
        <v>299200</v>
      </c>
      <c r="H82" s="11"/>
      <c r="I82" s="29">
        <f>SUM(D82*0.27)</f>
        <v>127218.87000000001</v>
      </c>
      <c r="J82" s="2"/>
      <c r="K82" s="2"/>
      <c r="L82" s="2"/>
      <c r="M82" s="2"/>
      <c r="N82" s="2"/>
      <c r="O82" s="2"/>
      <c r="P82" s="2"/>
      <c r="Q82" s="7">
        <v>54296</v>
      </c>
      <c r="R82" s="7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ht="13.5" customHeight="1" x14ac:dyDescent="0.2">
      <c r="A83" s="14"/>
      <c r="B83" s="8" t="s">
        <v>862</v>
      </c>
      <c r="C83" s="11"/>
      <c r="D83" s="528">
        <f>(60000/1.27)</f>
        <v>47244.094488188974</v>
      </c>
      <c r="E83" s="11"/>
      <c r="F83" s="11"/>
      <c r="G83" s="11"/>
      <c r="H83" s="11"/>
      <c r="I83" s="29">
        <f>SUM(D83*0.27)</f>
        <v>12755.905511811025</v>
      </c>
      <c r="J83" s="2"/>
      <c r="K83" s="2"/>
      <c r="L83" s="2"/>
      <c r="M83" s="2"/>
      <c r="N83" s="2"/>
      <c r="O83" s="2"/>
      <c r="P83" s="2" t="s">
        <v>863</v>
      </c>
      <c r="Q83" s="7"/>
      <c r="R83" s="7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ht="13.5" customHeight="1" x14ac:dyDescent="0.2">
      <c r="A84" s="14"/>
      <c r="B84" s="8"/>
      <c r="C84" s="11"/>
      <c r="D84" s="11"/>
      <c r="E84" s="11"/>
      <c r="F84" s="11"/>
      <c r="G84" s="11"/>
      <c r="H84" s="11"/>
      <c r="I84" s="7"/>
      <c r="J84" s="2"/>
      <c r="K84" s="2"/>
      <c r="L84" s="2"/>
      <c r="M84" s="2"/>
      <c r="N84" s="2"/>
      <c r="O84" s="2"/>
      <c r="P84" s="2"/>
      <c r="Q84" s="7">
        <f>(Q80-Q82)</f>
        <v>126690</v>
      </c>
      <c r="R84" s="7">
        <f>(Q84*0.27)</f>
        <v>34206.300000000003</v>
      </c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ht="13.5" customHeight="1" x14ac:dyDescent="0.2">
      <c r="A85" s="14"/>
      <c r="B85" s="14" t="s">
        <v>343</v>
      </c>
      <c r="C85" s="148">
        <f>SUM(C86:C92)</f>
        <v>1000</v>
      </c>
      <c r="D85" s="148">
        <f>SUM(D86:D92)</f>
        <v>390440</v>
      </c>
      <c r="E85" s="148">
        <f>SUM(E86:E92)</f>
        <v>23576</v>
      </c>
      <c r="F85" s="148">
        <f>SUM(F86:F92)</f>
        <v>21206</v>
      </c>
      <c r="G85" s="148">
        <f>SUM(G86:G87)</f>
        <v>1000</v>
      </c>
      <c r="H85" s="148">
        <f>SUM(H86:H87)</f>
        <v>0</v>
      </c>
      <c r="I85" s="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x14ac:dyDescent="0.2">
      <c r="A86" s="14"/>
      <c r="B86" s="8" t="s">
        <v>834</v>
      </c>
      <c r="C86" s="13">
        <v>1000</v>
      </c>
      <c r="D86" s="260">
        <v>1000</v>
      </c>
      <c r="E86" s="13">
        <v>1000</v>
      </c>
      <c r="F86" s="13">
        <v>1000</v>
      </c>
      <c r="G86" s="13">
        <v>1000</v>
      </c>
      <c r="H86" s="13"/>
      <c r="I86" s="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x14ac:dyDescent="0.2">
      <c r="A87" s="8"/>
      <c r="B87" s="8" t="s">
        <v>852</v>
      </c>
      <c r="C87" s="13">
        <v>0</v>
      </c>
      <c r="D87" s="260">
        <v>16140</v>
      </c>
      <c r="E87" s="13">
        <f>30000-7703</f>
        <v>22297</v>
      </c>
      <c r="F87" s="13">
        <f>30000-7703-2370</f>
        <v>19927</v>
      </c>
      <c r="G87" s="13"/>
      <c r="H87" s="13"/>
      <c r="I87" s="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x14ac:dyDescent="0.2">
      <c r="A88" s="8"/>
      <c r="B88" s="541" t="s">
        <v>849</v>
      </c>
      <c r="C88" s="13">
        <v>0</v>
      </c>
      <c r="D88" s="260">
        <v>6900</v>
      </c>
      <c r="E88" s="13">
        <v>279</v>
      </c>
      <c r="F88" s="13">
        <v>279</v>
      </c>
      <c r="G88" s="13"/>
      <c r="H88" s="1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x14ac:dyDescent="0.2">
      <c r="A89" s="8"/>
      <c r="B89" s="8" t="s">
        <v>850</v>
      </c>
      <c r="C89" s="13"/>
      <c r="D89" s="260">
        <v>3500</v>
      </c>
      <c r="E89" s="13"/>
      <c r="F89" s="13"/>
      <c r="G89" s="13"/>
      <c r="H89" s="1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2">
      <c r="A90" s="8"/>
      <c r="B90" s="541" t="s">
        <v>860</v>
      </c>
      <c r="C90" s="13"/>
      <c r="D90" s="260">
        <v>17500</v>
      </c>
      <c r="E90" s="13"/>
      <c r="F90" s="13"/>
      <c r="G90" s="13"/>
      <c r="H90" s="1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x14ac:dyDescent="0.2">
      <c r="A91" s="8"/>
      <c r="B91" s="8" t="s">
        <v>851</v>
      </c>
      <c r="C91" s="13"/>
      <c r="D91" s="260">
        <v>345400</v>
      </c>
      <c r="E91" s="13"/>
      <c r="F91" s="13"/>
      <c r="G91" s="13"/>
      <c r="H91" s="1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x14ac:dyDescent="0.2">
      <c r="A92" s="8"/>
      <c r="B92" s="168"/>
      <c r="C92" s="166"/>
      <c r="D92" s="166"/>
      <c r="E92" s="166"/>
      <c r="F92" s="166"/>
      <c r="G92" s="166"/>
      <c r="H92" s="166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ht="15" x14ac:dyDescent="0.25">
      <c r="A93" s="14" t="s">
        <v>355</v>
      </c>
      <c r="B93" s="23" t="s">
        <v>13</v>
      </c>
      <c r="C93" s="42" t="e">
        <f t="shared" ref="C93:H93" si="14">C94</f>
        <v>#REF!</v>
      </c>
      <c r="D93" s="42">
        <f t="shared" si="14"/>
        <v>0</v>
      </c>
      <c r="E93" s="42" t="e">
        <f t="shared" si="14"/>
        <v>#REF!</v>
      </c>
      <c r="F93" s="42" t="e">
        <f t="shared" si="14"/>
        <v>#REF!</v>
      </c>
      <c r="G93" s="42" t="e">
        <f t="shared" si="14"/>
        <v>#REF!</v>
      </c>
      <c r="H93" s="42" t="e">
        <f t="shared" si="14"/>
        <v>#REF!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ht="13.5" customHeight="1" x14ac:dyDescent="0.2">
      <c r="A94" s="14"/>
      <c r="B94" s="14" t="s">
        <v>766</v>
      </c>
      <c r="C94" s="5" t="e">
        <f>SUM(#REF!)</f>
        <v>#REF!</v>
      </c>
      <c r="D94" s="5"/>
      <c r="E94" s="5" t="e">
        <f>SUM(#REF!)</f>
        <v>#REF!</v>
      </c>
      <c r="F94" s="5" t="e">
        <f>SUM(#REF!)</f>
        <v>#REF!</v>
      </c>
      <c r="G94" s="5" t="e">
        <f>SUM(#REF!)</f>
        <v>#REF!</v>
      </c>
      <c r="H94" s="5" t="e">
        <f>SUM(#REF!)</f>
        <v>#REF!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x14ac:dyDescent="0.2">
      <c r="A95" s="14"/>
      <c r="B95" s="8"/>
      <c r="C95" s="13"/>
      <c r="D95" s="13"/>
      <c r="E95" s="13"/>
      <c r="F95" s="13"/>
      <c r="G95" s="13"/>
      <c r="H95" s="1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ht="15.75" x14ac:dyDescent="0.25">
      <c r="A96" s="14"/>
      <c r="B96" s="18" t="s">
        <v>406</v>
      </c>
      <c r="C96" s="42">
        <f>SUM(C97:C97)</f>
        <v>250000</v>
      </c>
      <c r="D96" s="42">
        <f>SUM(D97:D99)</f>
        <v>0</v>
      </c>
      <c r="E96" s="42">
        <f>SUM(E97:E99)</f>
        <v>252561</v>
      </c>
      <c r="F96" s="42">
        <f>SUM(F97:F99)</f>
        <v>264088</v>
      </c>
      <c r="G96" s="42">
        <f>SUM(G97:G97)</f>
        <v>250000</v>
      </c>
      <c r="H96" s="42">
        <f>SUM(H97:H97)</f>
        <v>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ht="13.5" customHeight="1" x14ac:dyDescent="0.2">
      <c r="A97" s="14"/>
      <c r="B97" s="20" t="s">
        <v>833</v>
      </c>
      <c r="C97" s="176">
        <v>250000</v>
      </c>
      <c r="D97" s="176"/>
      <c r="E97" s="176">
        <v>250000</v>
      </c>
      <c r="F97" s="176">
        <v>250000</v>
      </c>
      <c r="G97" s="176">
        <v>250000</v>
      </c>
      <c r="H97" s="176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ht="13.5" customHeight="1" x14ac:dyDescent="0.2">
      <c r="A98" s="14"/>
      <c r="B98" s="20"/>
      <c r="C98" s="176">
        <v>0</v>
      </c>
      <c r="D98" s="176"/>
      <c r="E98" s="176">
        <f>-6325-500+1144+1056+5000-573+3851-813-279</f>
        <v>2561</v>
      </c>
      <c r="F98" s="176">
        <f>-6325-500+1144+1056+5000-573+3851-813-279+12000-473</f>
        <v>14088</v>
      </c>
      <c r="G98" s="176"/>
      <c r="H98" s="176"/>
      <c r="I98" s="7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ht="13.5" hidden="1" customHeight="1" x14ac:dyDescent="0.2">
      <c r="A99" s="14"/>
      <c r="B99" s="228"/>
      <c r="C99" s="176"/>
      <c r="D99" s="176"/>
      <c r="E99" s="176"/>
      <c r="F99" s="176"/>
      <c r="G99" s="176"/>
      <c r="H99" s="176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ht="13.5" hidden="1" customHeight="1" x14ac:dyDescent="0.2">
      <c r="A100" s="14"/>
      <c r="B100" s="228"/>
      <c r="C100" s="176"/>
      <c r="D100" s="176"/>
      <c r="E100" s="176"/>
      <c r="F100" s="176"/>
      <c r="G100" s="176"/>
      <c r="H100" s="176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ht="13.5" hidden="1" customHeight="1" x14ac:dyDescent="0.2">
      <c r="A101" s="14"/>
      <c r="B101" s="228"/>
      <c r="C101" s="176"/>
      <c r="D101" s="176"/>
      <c r="E101" s="176"/>
      <c r="F101" s="176"/>
      <c r="G101" s="176"/>
      <c r="H101" s="176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ht="15.75" x14ac:dyDescent="0.2">
      <c r="A102" s="14" t="s">
        <v>206</v>
      </c>
      <c r="B102" s="187" t="s">
        <v>344</v>
      </c>
      <c r="C102" s="188">
        <v>0</v>
      </c>
      <c r="D102" s="530">
        <f>SUM(D103+D106+D107)</f>
        <v>15600</v>
      </c>
      <c r="E102" s="188">
        <v>0</v>
      </c>
      <c r="F102" s="188">
        <v>0</v>
      </c>
      <c r="G102" s="188">
        <v>0</v>
      </c>
      <c r="H102" s="188">
        <v>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ht="15" customHeight="1" x14ac:dyDescent="0.2">
      <c r="A103" s="14"/>
      <c r="B103" s="189" t="s">
        <v>379</v>
      </c>
      <c r="C103" s="188"/>
      <c r="D103" s="531">
        <f>SUM(D105)</f>
        <v>15600</v>
      </c>
      <c r="E103" s="188"/>
      <c r="F103" s="188"/>
      <c r="G103" s="188"/>
      <c r="H103" s="18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ht="13.5" hidden="1" customHeight="1" x14ac:dyDescent="0.2">
      <c r="A104" s="14"/>
      <c r="B104" s="224" t="s">
        <v>380</v>
      </c>
      <c r="C104" s="188"/>
      <c r="D104" s="188"/>
      <c r="E104" s="188"/>
      <c r="F104" s="188"/>
      <c r="G104" s="188"/>
      <c r="H104" s="18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ht="13.5" customHeight="1" x14ac:dyDescent="0.2">
      <c r="A105" s="14"/>
      <c r="B105" s="224" t="s">
        <v>857</v>
      </c>
      <c r="C105" s="188"/>
      <c r="D105" s="82">
        <f>(10400+5200)</f>
        <v>15600</v>
      </c>
      <c r="E105" s="188"/>
      <c r="F105" s="188"/>
      <c r="G105" s="188"/>
      <c r="H105" s="18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ht="15" customHeight="1" x14ac:dyDescent="0.2">
      <c r="A106" s="14"/>
      <c r="B106" s="189" t="s">
        <v>381</v>
      </c>
      <c r="C106" s="188"/>
      <c r="D106" s="188"/>
      <c r="E106" s="188"/>
      <c r="F106" s="188"/>
      <c r="G106" s="188"/>
      <c r="H106" s="18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ht="15" customHeight="1" thickBot="1" x14ac:dyDescent="0.25">
      <c r="A107" s="22"/>
      <c r="B107" s="186" t="s">
        <v>382</v>
      </c>
      <c r="C107" s="175"/>
      <c r="D107" s="175"/>
      <c r="E107" s="175"/>
      <c r="F107" s="175"/>
      <c r="G107" s="175"/>
      <c r="H107" s="175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ht="24" customHeight="1" thickBot="1" x14ac:dyDescent="0.4">
      <c r="A108" s="217"/>
      <c r="B108" s="251" t="s">
        <v>378</v>
      </c>
      <c r="C108" s="252" t="e">
        <f t="shared" ref="C108:H108" si="15">SUM(C39+C102)</f>
        <v>#REF!</v>
      </c>
      <c r="D108" s="253">
        <f t="shared" si="15"/>
        <v>1081997</v>
      </c>
      <c r="E108" s="533" t="e">
        <f t="shared" si="15"/>
        <v>#REF!</v>
      </c>
      <c r="F108" s="252" t="e">
        <f t="shared" si="15"/>
        <v>#REF!</v>
      </c>
      <c r="G108" s="252" t="e">
        <f t="shared" si="15"/>
        <v>#REF!</v>
      </c>
      <c r="H108" s="253" t="e">
        <f t="shared" si="15"/>
        <v>#REF!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ht="15.75" customHeight="1" x14ac:dyDescent="0.2">
      <c r="B109" s="2"/>
      <c r="C109" s="7" t="e">
        <f t="shared" ref="C109:H109" si="16">SUM(C38-C108)</f>
        <v>#REF!</v>
      </c>
      <c r="D109" s="7">
        <f t="shared" si="16"/>
        <v>-89150</v>
      </c>
      <c r="E109" s="7" t="e">
        <f t="shared" si="16"/>
        <v>#REF!</v>
      </c>
      <c r="F109" s="7" t="e">
        <f t="shared" si="16"/>
        <v>#REF!</v>
      </c>
      <c r="G109" s="7" t="e">
        <f t="shared" si="16"/>
        <v>#REF!</v>
      </c>
      <c r="H109" s="7" t="e">
        <f t="shared" si="16"/>
        <v>#REF!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s="170" customFormat="1" ht="13.5" customHeight="1" x14ac:dyDescent="0.2">
      <c r="A110" s="89"/>
      <c r="D110" s="16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</row>
    <row r="111" spans="1:42" s="170" customFormat="1" ht="13.5" customHeight="1" x14ac:dyDescent="0.2">
      <c r="A111" s="89"/>
      <c r="B111" s="263"/>
      <c r="C111" s="37"/>
      <c r="D111" s="37"/>
      <c r="E111" s="37"/>
      <c r="F111" s="37"/>
      <c r="G111" s="37"/>
      <c r="H111" s="37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</row>
    <row r="112" spans="1:42" s="170" customFormat="1" ht="13.5" customHeight="1" x14ac:dyDescent="0.2">
      <c r="A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</row>
    <row r="113" spans="1:42" s="170" customFormat="1" ht="13.5" customHeight="1" x14ac:dyDescent="0.2">
      <c r="A113" s="89"/>
      <c r="D113" s="16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</row>
    <row r="114" spans="1:42" s="170" customFormat="1" ht="13.5" customHeight="1" x14ac:dyDescent="0.2">
      <c r="A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</row>
    <row r="115" spans="1:42" s="170" customFormat="1" ht="13.5" customHeight="1" x14ac:dyDescent="0.2">
      <c r="A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</row>
    <row r="116" spans="1:42" s="170" customFormat="1" ht="13.5" customHeight="1" x14ac:dyDescent="0.2">
      <c r="A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</row>
    <row r="117" spans="1:42" s="170" customFormat="1" ht="13.5" customHeight="1" x14ac:dyDescent="0.2">
      <c r="A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</row>
    <row r="118" spans="1:42" s="170" customFormat="1" ht="13.5" customHeight="1" x14ac:dyDescent="0.2">
      <c r="A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</row>
    <row r="119" spans="1:42" s="170" customFormat="1" ht="13.5" customHeight="1" x14ac:dyDescent="0.2">
      <c r="A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</row>
    <row r="120" spans="1:42" s="170" customFormat="1" ht="13.5" customHeight="1" x14ac:dyDescent="0.2">
      <c r="A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</row>
    <row r="121" spans="1:42" s="170" customFormat="1" ht="13.5" customHeight="1" x14ac:dyDescent="0.2">
      <c r="A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</row>
    <row r="122" spans="1:42" s="170" customFormat="1" ht="13.5" customHeight="1" x14ac:dyDescent="0.2">
      <c r="A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</row>
    <row r="123" spans="1:42" s="170" customFormat="1" ht="13.5" customHeight="1" x14ac:dyDescent="0.2">
      <c r="A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</row>
    <row r="124" spans="1:42" s="170" customFormat="1" ht="13.5" customHeight="1" x14ac:dyDescent="0.2">
      <c r="A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</row>
    <row r="125" spans="1:42" s="170" customFormat="1" ht="13.5" customHeight="1" x14ac:dyDescent="0.2">
      <c r="A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</row>
    <row r="126" spans="1:42" ht="15.75" customHeight="1" x14ac:dyDescent="0.2">
      <c r="B126" s="2"/>
      <c r="C126" s="192"/>
      <c r="D126" s="192"/>
      <c r="E126" s="192"/>
      <c r="F126" s="192"/>
      <c r="G126" s="192"/>
      <c r="H126" s="19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ht="15.75" customHeight="1" x14ac:dyDescent="0.2">
      <c r="B127" s="2"/>
      <c r="C127" s="7"/>
      <c r="D127" s="7"/>
      <c r="E127" s="7"/>
      <c r="F127" s="7"/>
      <c r="G127" s="7"/>
      <c r="H127" s="7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ht="15.75" customHeight="1" x14ac:dyDescent="0.2">
      <c r="B128" s="2"/>
      <c r="C128" s="7"/>
      <c r="D128" s="7"/>
      <c r="E128" s="7"/>
      <c r="F128" s="7"/>
      <c r="G128" s="7"/>
      <c r="H128" s="7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ht="15.7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ht="15.7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ht="15.7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ht="15.7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ht="15.7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ht="15.7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ht="15.75" customHeight="1" x14ac:dyDescent="0.2">
      <c r="A13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ht="15.75" customHeight="1" x14ac:dyDescent="0.2">
      <c r="A136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ht="15.75" customHeight="1" x14ac:dyDescent="0.2">
      <c r="A13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ht="15.75" customHeight="1" x14ac:dyDescent="0.2">
      <c r="A13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ht="15.75" customHeight="1" x14ac:dyDescent="0.2">
      <c r="A139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ht="15.75" customHeight="1" x14ac:dyDescent="0.2">
      <c r="A14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ht="15.75" customHeight="1" x14ac:dyDescent="0.2">
      <c r="A14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ht="15.75" customHeight="1" x14ac:dyDescent="0.2">
      <c r="A14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ht="15.75" customHeight="1" x14ac:dyDescent="0.2">
      <c r="A14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ht="15.75" customHeight="1" x14ac:dyDescent="0.2">
      <c r="A144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ht="15.75" customHeight="1" x14ac:dyDescent="0.2">
      <c r="A14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ht="15.75" customHeight="1" x14ac:dyDescent="0.2">
      <c r="A146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ht="15.75" customHeight="1" x14ac:dyDescent="0.2">
      <c r="A14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ht="15.75" customHeight="1" x14ac:dyDescent="0.2">
      <c r="A148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ht="15.75" customHeight="1" x14ac:dyDescent="0.2">
      <c r="A149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ht="15.75" customHeight="1" x14ac:dyDescent="0.2">
      <c r="A15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ht="15.75" customHeight="1" x14ac:dyDescent="0.2">
      <c r="A15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ht="15.75" customHeight="1" x14ac:dyDescent="0.2">
      <c r="A15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ht="15.75" customHeight="1" x14ac:dyDescent="0.2">
      <c r="A15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ht="15.75" customHeight="1" x14ac:dyDescent="0.2">
      <c r="A154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ht="15.75" customHeight="1" x14ac:dyDescent="0.2">
      <c r="A15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ht="15.75" customHeight="1" x14ac:dyDescent="0.2">
      <c r="A156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ht="15.75" customHeight="1" x14ac:dyDescent="0.2">
      <c r="A157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ht="15.75" customHeight="1" x14ac:dyDescent="0.2">
      <c r="A158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ht="15.75" customHeight="1" x14ac:dyDescent="0.2">
      <c r="A159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ht="15.75" customHeight="1" x14ac:dyDescent="0.2">
      <c r="A16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ht="15.75" customHeight="1" x14ac:dyDescent="0.2">
      <c r="A16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ht="15.75" customHeight="1" x14ac:dyDescent="0.2">
      <c r="A16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ht="15.75" customHeight="1" x14ac:dyDescent="0.2">
      <c r="A16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ht="15.75" customHeight="1" x14ac:dyDescent="0.2">
      <c r="A164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ht="15.75" customHeight="1" x14ac:dyDescent="0.2">
      <c r="A16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ht="15.75" customHeight="1" x14ac:dyDescent="0.2">
      <c r="A166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ht="15.75" customHeight="1" x14ac:dyDescent="0.2">
      <c r="A167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ht="15.75" customHeight="1" x14ac:dyDescent="0.2">
      <c r="A168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ht="15.75" customHeight="1" x14ac:dyDescent="0.2">
      <c r="A169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ht="15.75" customHeight="1" x14ac:dyDescent="0.2">
      <c r="A170"/>
      <c r="B170" s="2"/>
      <c r="C170" s="29"/>
      <c r="D170" s="29"/>
      <c r="E170" s="29"/>
      <c r="F170" s="29"/>
      <c r="G170" s="29"/>
      <c r="H170" s="29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ht="15.75" customHeight="1" x14ac:dyDescent="0.2">
      <c r="A171"/>
      <c r="B171" s="2"/>
      <c r="C171" s="29"/>
      <c r="D171" s="29"/>
      <c r="E171" s="29"/>
      <c r="F171" s="29"/>
      <c r="G171" s="29"/>
      <c r="H171" s="29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ht="15.75" customHeight="1" x14ac:dyDescent="0.2">
      <c r="A172"/>
      <c r="B172" s="2"/>
      <c r="C172" s="29"/>
      <c r="D172" s="29"/>
      <c r="E172" s="29"/>
      <c r="F172" s="29"/>
      <c r="G172" s="29"/>
      <c r="H172" s="29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ht="15.75" customHeight="1" x14ac:dyDescent="0.2">
      <c r="A173"/>
      <c r="B173" s="2"/>
      <c r="C173" s="29"/>
      <c r="D173" s="29"/>
      <c r="E173" s="29"/>
      <c r="F173" s="29"/>
      <c r="G173" s="29"/>
      <c r="H173" s="29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ht="15.75" customHeight="1" x14ac:dyDescent="0.2">
      <c r="A174"/>
      <c r="B174" s="2"/>
      <c r="C174" s="29"/>
      <c r="D174" s="29"/>
      <c r="E174" s="29"/>
      <c r="F174" s="29"/>
      <c r="G174" s="29"/>
      <c r="H174" s="29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ht="15.75" customHeight="1" x14ac:dyDescent="0.2">
      <c r="A175"/>
      <c r="B175" s="2"/>
      <c r="C175" s="29"/>
      <c r="D175" s="29"/>
      <c r="E175" s="29"/>
      <c r="F175" s="29"/>
      <c r="G175" s="29"/>
      <c r="H175" s="29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ht="15.75" customHeight="1" x14ac:dyDescent="0.2">
      <c r="A176"/>
      <c r="B176" s="2"/>
      <c r="C176" s="29"/>
      <c r="D176" s="29"/>
      <c r="E176" s="29"/>
      <c r="F176" s="29"/>
      <c r="G176" s="29"/>
      <c r="H176" s="29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ht="15.75" customHeight="1" x14ac:dyDescent="0.2">
      <c r="A177"/>
      <c r="B177" s="2"/>
      <c r="C177" s="29"/>
      <c r="D177" s="29"/>
      <c r="E177" s="29"/>
      <c r="F177" s="29"/>
      <c r="G177" s="29"/>
      <c r="H177" s="29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ht="15.75" customHeight="1" x14ac:dyDescent="0.2">
      <c r="A178"/>
      <c r="B178" s="2"/>
      <c r="C178" s="29"/>
      <c r="D178" s="29"/>
      <c r="E178" s="29"/>
      <c r="F178" s="29"/>
      <c r="G178" s="29"/>
      <c r="H178" s="29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ht="15.75" customHeight="1" x14ac:dyDescent="0.2">
      <c r="A179"/>
      <c r="B179" s="2"/>
      <c r="C179" s="29"/>
      <c r="D179" s="29"/>
      <c r="E179" s="29"/>
      <c r="F179" s="29"/>
      <c r="G179" s="29"/>
      <c r="H179" s="29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ht="15.75" customHeight="1" x14ac:dyDescent="0.2">
      <c r="A180"/>
      <c r="B180" s="2"/>
      <c r="C180" s="29"/>
      <c r="D180" s="29"/>
      <c r="E180" s="29"/>
      <c r="F180" s="29"/>
      <c r="G180" s="29"/>
      <c r="H180" s="29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ht="15.75" customHeight="1" x14ac:dyDescent="0.2">
      <c r="A181"/>
      <c r="B181" s="2"/>
      <c r="C181" s="29"/>
      <c r="D181" s="29"/>
      <c r="E181" s="29"/>
      <c r="F181" s="29"/>
      <c r="G181" s="29"/>
      <c r="H181" s="29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ht="15.75" customHeight="1" x14ac:dyDescent="0.2">
      <c r="A182"/>
      <c r="B182" s="2"/>
      <c r="C182" s="29"/>
      <c r="D182" s="29"/>
      <c r="E182" s="29"/>
      <c r="F182" s="29"/>
      <c r="G182" s="29"/>
      <c r="H182" s="29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ht="15.75" customHeight="1" x14ac:dyDescent="0.2">
      <c r="A183"/>
      <c r="B183" s="2"/>
      <c r="C183" s="29"/>
      <c r="D183" s="29"/>
      <c r="E183" s="29"/>
      <c r="F183" s="29"/>
      <c r="G183" s="29"/>
      <c r="H183" s="29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ht="15.75" customHeight="1" x14ac:dyDescent="0.2">
      <c r="A184"/>
      <c r="B184" s="2"/>
      <c r="C184" s="29"/>
      <c r="D184" s="29"/>
      <c r="E184" s="29"/>
      <c r="F184" s="29"/>
      <c r="G184" s="29"/>
      <c r="H184" s="29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ht="15.75" customHeight="1" x14ac:dyDescent="0.2">
      <c r="A185"/>
      <c r="B185" s="2"/>
      <c r="C185" s="29"/>
      <c r="D185" s="29"/>
      <c r="E185" s="29"/>
      <c r="F185" s="29"/>
      <c r="G185" s="29"/>
      <c r="H185" s="29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ht="15.75" customHeight="1" x14ac:dyDescent="0.2">
      <c r="A186"/>
      <c r="B186" s="2"/>
      <c r="C186" s="29"/>
      <c r="D186" s="29"/>
      <c r="E186" s="29"/>
      <c r="F186" s="29"/>
      <c r="G186" s="29"/>
      <c r="H186" s="29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ht="15.75" customHeight="1" x14ac:dyDescent="0.2">
      <c r="A187"/>
      <c r="B187" s="2"/>
      <c r="C187" s="29"/>
      <c r="D187" s="29"/>
      <c r="E187" s="29"/>
      <c r="F187" s="29"/>
      <c r="G187" s="29"/>
      <c r="H187" s="29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ht="15.75" customHeight="1" x14ac:dyDescent="0.2">
      <c r="A188"/>
      <c r="B188" s="2"/>
      <c r="C188" s="29"/>
      <c r="D188" s="29"/>
      <c r="E188" s="29"/>
      <c r="F188" s="29"/>
      <c r="G188" s="29"/>
      <c r="H188" s="29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ht="15.75" customHeight="1" x14ac:dyDescent="0.2">
      <c r="A189"/>
      <c r="B189" s="2"/>
      <c r="C189" s="29"/>
      <c r="D189" s="29"/>
      <c r="E189" s="29"/>
      <c r="F189" s="29"/>
      <c r="G189" s="29"/>
      <c r="H189" s="29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ht="15.75" customHeight="1" x14ac:dyDescent="0.2">
      <c r="A190"/>
      <c r="B190" s="2"/>
      <c r="C190" s="29"/>
      <c r="D190" s="29"/>
      <c r="E190" s="29"/>
      <c r="F190" s="29"/>
      <c r="G190" s="29"/>
      <c r="H190" s="29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ht="15.75" customHeight="1" x14ac:dyDescent="0.2">
      <c r="A191"/>
      <c r="B191" s="2"/>
      <c r="C191" s="29"/>
      <c r="D191" s="29"/>
      <c r="E191" s="29"/>
      <c r="F191" s="29"/>
      <c r="G191" s="29"/>
      <c r="H191" s="29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ht="15.75" customHeight="1" x14ac:dyDescent="0.2">
      <c r="A192"/>
      <c r="B192" s="2"/>
      <c r="C192" s="29"/>
      <c r="D192" s="29"/>
      <c r="E192" s="29"/>
      <c r="F192" s="29"/>
      <c r="G192" s="29"/>
      <c r="H192" s="29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ht="15.75" customHeight="1" x14ac:dyDescent="0.2">
      <c r="A193"/>
      <c r="B193" s="2"/>
      <c r="C193" s="29"/>
      <c r="D193" s="29"/>
      <c r="E193" s="29"/>
      <c r="F193" s="29"/>
      <c r="G193" s="29"/>
      <c r="H193" s="29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ht="15.75" customHeight="1" x14ac:dyDescent="0.2">
      <c r="A194"/>
      <c r="B194" s="2"/>
      <c r="C194" s="29"/>
      <c r="D194" s="29"/>
      <c r="E194" s="29"/>
      <c r="F194" s="29"/>
      <c r="G194" s="29"/>
      <c r="H194" s="29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ht="15.75" customHeight="1" x14ac:dyDescent="0.2">
      <c r="A195"/>
      <c r="B195" s="2"/>
      <c r="C195" s="29"/>
      <c r="D195" s="29"/>
      <c r="E195" s="29"/>
      <c r="F195" s="29"/>
      <c r="G195" s="29"/>
      <c r="H195" s="29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ht="15.75" customHeight="1" x14ac:dyDescent="0.2">
      <c r="A196"/>
      <c r="B196" s="2"/>
      <c r="C196" s="29"/>
      <c r="D196" s="29"/>
      <c r="E196" s="29"/>
      <c r="F196" s="29"/>
      <c r="G196" s="29"/>
      <c r="H196" s="29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ht="15.75" customHeight="1" x14ac:dyDescent="0.2">
      <c r="A197"/>
      <c r="B197" s="2"/>
      <c r="C197" s="29"/>
      <c r="D197" s="29"/>
      <c r="E197" s="29"/>
      <c r="F197" s="29"/>
      <c r="G197" s="29"/>
      <c r="H197" s="29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ht="15.75" customHeight="1" x14ac:dyDescent="0.2">
      <c r="A198"/>
      <c r="B198" s="2"/>
      <c r="C198" s="29"/>
      <c r="D198" s="29"/>
      <c r="E198" s="29"/>
      <c r="F198" s="29"/>
      <c r="G198" s="29"/>
      <c r="H198" s="29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ht="15.75" customHeight="1" x14ac:dyDescent="0.2">
      <c r="A199"/>
      <c r="B199" s="2"/>
      <c r="C199" s="29"/>
      <c r="D199" s="29"/>
      <c r="E199" s="29"/>
      <c r="F199" s="29"/>
      <c r="G199" s="29"/>
      <c r="H199" s="29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ht="15.75" customHeight="1" x14ac:dyDescent="0.2">
      <c r="A200"/>
      <c r="B200" s="2"/>
      <c r="C200" s="29"/>
      <c r="D200" s="29"/>
      <c r="E200" s="29"/>
      <c r="F200" s="29"/>
      <c r="G200" s="29"/>
      <c r="H200" s="29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ht="15.75" customHeight="1" x14ac:dyDescent="0.2">
      <c r="A201"/>
      <c r="B201" s="2"/>
      <c r="C201" s="29"/>
      <c r="D201" s="29"/>
      <c r="E201" s="29"/>
      <c r="F201" s="29"/>
      <c r="G201" s="29"/>
      <c r="H201" s="29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ht="15.75" customHeight="1" x14ac:dyDescent="0.2">
      <c r="A202"/>
      <c r="B202" s="2"/>
      <c r="C202" s="29"/>
      <c r="D202" s="29"/>
      <c r="E202" s="29"/>
      <c r="F202" s="29"/>
      <c r="G202" s="29"/>
      <c r="H202" s="29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ht="15.75" customHeight="1" x14ac:dyDescent="0.2">
      <c r="A203"/>
      <c r="B203" s="2"/>
      <c r="C203" s="29"/>
      <c r="D203" s="29"/>
      <c r="E203" s="29"/>
      <c r="F203" s="29"/>
      <c r="G203" s="29"/>
      <c r="H203" s="29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ht="15.75" customHeight="1" x14ac:dyDescent="0.2">
      <c r="A204"/>
      <c r="B204" s="2"/>
      <c r="C204" s="29"/>
      <c r="D204" s="29"/>
      <c r="E204" s="29"/>
      <c r="F204" s="29"/>
      <c r="G204" s="29"/>
      <c r="H204" s="29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ht="15.75" customHeight="1" x14ac:dyDescent="0.2">
      <c r="A205"/>
      <c r="B205" s="2"/>
      <c r="C205" s="29"/>
      <c r="D205" s="29"/>
      <c r="E205" s="29"/>
      <c r="F205" s="29"/>
      <c r="G205" s="29"/>
      <c r="H205" s="29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ht="15.75" customHeight="1" x14ac:dyDescent="0.2">
      <c r="A206"/>
      <c r="B206" s="2"/>
      <c r="C206" s="29"/>
      <c r="D206" s="29"/>
      <c r="E206" s="29"/>
      <c r="F206" s="29"/>
      <c r="G206" s="29"/>
      <c r="H206" s="29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ht="15.75" customHeight="1" x14ac:dyDescent="0.2">
      <c r="A207"/>
      <c r="B207" s="2"/>
      <c r="C207" s="29"/>
      <c r="D207" s="29"/>
      <c r="E207" s="29"/>
      <c r="F207" s="29"/>
      <c r="G207" s="29"/>
      <c r="H207" s="29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ht="15.75" customHeight="1" x14ac:dyDescent="0.2">
      <c r="A208"/>
      <c r="B208" s="2"/>
      <c r="C208" s="29"/>
      <c r="D208" s="29"/>
      <c r="E208" s="29"/>
      <c r="F208" s="29"/>
      <c r="G208" s="29"/>
      <c r="H208" s="29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ht="15.75" customHeight="1" x14ac:dyDescent="0.2">
      <c r="A209"/>
      <c r="B209" s="2"/>
      <c r="C209" s="29"/>
      <c r="D209" s="29"/>
      <c r="E209" s="29"/>
      <c r="F209" s="29"/>
      <c r="G209" s="29"/>
      <c r="H209" s="2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ht="15.75" customHeight="1" x14ac:dyDescent="0.2">
      <c r="A210"/>
      <c r="B210" s="2"/>
      <c r="C210" s="29"/>
      <c r="D210" s="29"/>
      <c r="E210" s="29"/>
      <c r="F210" s="29"/>
      <c r="G210" s="29"/>
      <c r="H210" s="29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ht="15.75" customHeight="1" x14ac:dyDescent="0.2">
      <c r="A211"/>
      <c r="B211" s="2"/>
      <c r="C211" s="29"/>
      <c r="D211" s="29"/>
      <c r="E211" s="29"/>
      <c r="F211" s="29"/>
      <c r="G211" s="29"/>
      <c r="H211" s="29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ht="15.75" customHeight="1" x14ac:dyDescent="0.2">
      <c r="A212"/>
      <c r="B212" s="2"/>
      <c r="C212" s="29"/>
      <c r="D212" s="29"/>
      <c r="E212" s="29"/>
      <c r="F212" s="29"/>
      <c r="G212" s="29"/>
      <c r="H212" s="29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ht="15.75" customHeight="1" x14ac:dyDescent="0.2">
      <c r="A213"/>
      <c r="B213" s="2"/>
      <c r="C213" s="29"/>
      <c r="D213" s="29"/>
      <c r="E213" s="29"/>
      <c r="F213" s="29"/>
      <c r="G213" s="29"/>
      <c r="H213" s="29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ht="15.75" customHeight="1" x14ac:dyDescent="0.2">
      <c r="A214"/>
      <c r="B214" s="2"/>
      <c r="C214" s="29"/>
      <c r="D214" s="29"/>
      <c r="E214" s="29"/>
      <c r="F214" s="29"/>
      <c r="G214" s="29"/>
      <c r="H214" s="29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ht="15.75" customHeight="1" x14ac:dyDescent="0.2">
      <c r="A215"/>
      <c r="B215" s="2"/>
      <c r="C215" s="29"/>
      <c r="D215" s="29"/>
      <c r="E215" s="29"/>
      <c r="F215" s="29"/>
      <c r="G215" s="29"/>
      <c r="H215" s="29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ht="15.75" customHeight="1" x14ac:dyDescent="0.2">
      <c r="A216"/>
      <c r="B216" s="2"/>
      <c r="C216" s="29"/>
      <c r="D216" s="29"/>
      <c r="E216" s="29"/>
      <c r="F216" s="29"/>
      <c r="G216" s="29"/>
      <c r="H216" s="29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ht="15.75" customHeight="1" x14ac:dyDescent="0.2">
      <c r="A217"/>
      <c r="B217" s="2"/>
      <c r="C217" s="29"/>
      <c r="D217" s="29"/>
      <c r="E217" s="29"/>
      <c r="F217" s="29"/>
      <c r="G217" s="29"/>
      <c r="H217" s="29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ht="15.75" customHeight="1" x14ac:dyDescent="0.2">
      <c r="A218"/>
      <c r="B218" s="2"/>
      <c r="C218" s="29"/>
      <c r="D218" s="29"/>
      <c r="E218" s="29"/>
      <c r="F218" s="29"/>
      <c r="G218" s="29"/>
      <c r="H218" s="29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ht="15.75" customHeight="1" x14ac:dyDescent="0.2">
      <c r="A219"/>
      <c r="B219" s="2"/>
      <c r="C219" s="29"/>
      <c r="D219" s="29"/>
      <c r="E219" s="29"/>
      <c r="F219" s="29"/>
      <c r="G219" s="29"/>
      <c r="H219" s="29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ht="15.75" customHeight="1" x14ac:dyDescent="0.2">
      <c r="A220"/>
      <c r="B220" s="2"/>
      <c r="C220" s="29"/>
      <c r="D220" s="29"/>
      <c r="E220" s="29"/>
      <c r="F220" s="29"/>
      <c r="G220" s="29"/>
      <c r="H220" s="29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 ht="15.75" customHeight="1" x14ac:dyDescent="0.2">
      <c r="A221"/>
      <c r="B221" s="2"/>
      <c r="C221" s="29"/>
      <c r="D221" s="29"/>
      <c r="E221" s="29"/>
      <c r="F221" s="29"/>
      <c r="G221" s="29"/>
      <c r="H221" s="29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ht="15.75" customHeight="1" x14ac:dyDescent="0.2">
      <c r="A222"/>
      <c r="B222" s="2"/>
      <c r="C222" s="29"/>
      <c r="D222" s="29"/>
      <c r="E222" s="29"/>
      <c r="F222" s="29"/>
      <c r="G222" s="29"/>
      <c r="H222" s="29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 ht="15.75" customHeight="1" x14ac:dyDescent="0.2">
      <c r="A223"/>
      <c r="B223" s="2"/>
      <c r="C223" s="29"/>
      <c r="D223" s="29"/>
      <c r="E223" s="29"/>
      <c r="F223" s="29"/>
      <c r="G223" s="29"/>
      <c r="H223" s="29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 ht="15.75" customHeight="1" x14ac:dyDescent="0.2">
      <c r="A224"/>
      <c r="B224" s="2"/>
      <c r="C224" s="29"/>
      <c r="D224" s="29"/>
      <c r="E224" s="29"/>
      <c r="F224" s="29"/>
      <c r="G224" s="29"/>
      <c r="H224" s="29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42" ht="15.75" customHeight="1" x14ac:dyDescent="0.2">
      <c r="A225"/>
      <c r="B225" s="2"/>
      <c r="C225" s="29"/>
      <c r="D225" s="29"/>
      <c r="E225" s="29"/>
      <c r="F225" s="29"/>
      <c r="G225" s="29"/>
      <c r="H225" s="29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42" ht="15.75" customHeight="1" x14ac:dyDescent="0.2">
      <c r="A226"/>
      <c r="B226" s="2"/>
      <c r="C226" s="29"/>
      <c r="D226" s="29"/>
      <c r="E226" s="29"/>
      <c r="F226" s="29"/>
      <c r="G226" s="29"/>
      <c r="H226" s="29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42" ht="15.75" customHeight="1" x14ac:dyDescent="0.2">
      <c r="A227"/>
      <c r="B227" s="2"/>
      <c r="C227" s="29"/>
      <c r="D227" s="29"/>
      <c r="E227" s="29"/>
      <c r="F227" s="29"/>
      <c r="G227" s="29"/>
      <c r="H227" s="29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42" ht="15.75" customHeight="1" x14ac:dyDescent="0.2">
      <c r="A228"/>
      <c r="B228" s="2"/>
      <c r="C228" s="29"/>
      <c r="D228" s="29"/>
      <c r="E228" s="29"/>
      <c r="F228" s="29"/>
      <c r="G228" s="29"/>
      <c r="H228" s="29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42" ht="15.75" customHeight="1" x14ac:dyDescent="0.2">
      <c r="A229"/>
      <c r="B229" s="2"/>
      <c r="C229" s="29"/>
      <c r="D229" s="29"/>
      <c r="E229" s="29"/>
      <c r="F229" s="29"/>
      <c r="G229" s="29"/>
      <c r="H229" s="29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42" ht="15.75" customHeight="1" x14ac:dyDescent="0.2">
      <c r="A230"/>
      <c r="B230" s="2"/>
      <c r="C230" s="29"/>
      <c r="D230" s="29"/>
      <c r="E230" s="29"/>
      <c r="F230" s="29"/>
      <c r="G230" s="29"/>
      <c r="H230" s="29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1:42" ht="15.75" customHeight="1" x14ac:dyDescent="0.2">
      <c r="A231"/>
      <c r="B231" s="2"/>
      <c r="C231" s="29"/>
      <c r="D231" s="29"/>
      <c r="E231" s="29"/>
      <c r="F231" s="29"/>
      <c r="G231" s="29"/>
      <c r="H231" s="29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42" ht="15.75" customHeight="1" x14ac:dyDescent="0.2">
      <c r="A232"/>
      <c r="B232" s="2"/>
      <c r="C232" s="29"/>
      <c r="D232" s="29"/>
      <c r="E232" s="29"/>
      <c r="F232" s="29"/>
      <c r="G232" s="29"/>
      <c r="H232" s="29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1:42" ht="15.75" customHeight="1" x14ac:dyDescent="0.2">
      <c r="A233"/>
      <c r="B233" s="2"/>
      <c r="C233" s="29"/>
      <c r="D233" s="29"/>
      <c r="E233" s="29"/>
      <c r="F233" s="29"/>
      <c r="G233" s="29"/>
      <c r="H233" s="29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1:42" ht="15.75" customHeight="1" x14ac:dyDescent="0.2">
      <c r="A234"/>
      <c r="B234" s="2"/>
      <c r="C234" s="29"/>
      <c r="D234" s="29"/>
      <c r="E234" s="29"/>
      <c r="F234" s="29"/>
      <c r="G234" s="29"/>
      <c r="H234" s="29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1:42" ht="15.75" customHeight="1" x14ac:dyDescent="0.2">
      <c r="A235"/>
      <c r="B235" s="2"/>
      <c r="C235" s="29"/>
      <c r="D235" s="29"/>
      <c r="E235" s="29"/>
      <c r="F235" s="29"/>
      <c r="G235" s="29"/>
      <c r="H235" s="29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1:42" ht="15.75" customHeight="1" x14ac:dyDescent="0.2">
      <c r="A236"/>
      <c r="B236" s="2"/>
      <c r="C236" s="29"/>
      <c r="D236" s="29"/>
      <c r="E236" s="29"/>
      <c r="F236" s="29"/>
      <c r="G236" s="29"/>
      <c r="H236" s="29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1:42" ht="15.75" customHeight="1" x14ac:dyDescent="0.2">
      <c r="A237"/>
      <c r="B237" s="2"/>
      <c r="C237" s="29"/>
      <c r="D237" s="29"/>
      <c r="E237" s="29"/>
      <c r="F237" s="29"/>
      <c r="G237" s="29"/>
      <c r="H237" s="29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1:42" ht="15.75" customHeight="1" x14ac:dyDescent="0.2">
      <c r="A238"/>
      <c r="B238" s="2"/>
      <c r="C238" s="29"/>
      <c r="D238" s="29"/>
      <c r="E238" s="29"/>
      <c r="F238" s="29"/>
      <c r="G238" s="29"/>
      <c r="H238" s="29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1:42" ht="15.75" customHeight="1" x14ac:dyDescent="0.2">
      <c r="A239"/>
      <c r="B239" s="2"/>
      <c r="C239" s="29"/>
      <c r="D239" s="29"/>
      <c r="E239" s="29"/>
      <c r="F239" s="29"/>
      <c r="G239" s="29"/>
      <c r="H239" s="29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1:42" ht="15.75" customHeight="1" x14ac:dyDescent="0.2">
      <c r="A240"/>
      <c r="B240" s="2"/>
      <c r="C240" s="29"/>
      <c r="D240" s="29"/>
      <c r="E240" s="29"/>
      <c r="F240" s="29"/>
      <c r="G240" s="29"/>
      <c r="H240" s="29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1:42" ht="15.75" customHeight="1" x14ac:dyDescent="0.2">
      <c r="A241"/>
      <c r="B241" s="2"/>
      <c r="C241" s="29"/>
      <c r="D241" s="29"/>
      <c r="E241" s="29"/>
      <c r="F241" s="29"/>
      <c r="G241" s="29"/>
      <c r="H241" s="29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1:42" ht="15.75" customHeight="1" x14ac:dyDescent="0.2">
      <c r="A242"/>
      <c r="B242" s="2"/>
      <c r="C242" s="29"/>
      <c r="D242" s="29"/>
      <c r="E242" s="29"/>
      <c r="F242" s="29"/>
      <c r="G242" s="29"/>
      <c r="H242" s="29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1:42" ht="15.75" customHeight="1" x14ac:dyDescent="0.2">
      <c r="A243"/>
      <c r="B243" s="2"/>
      <c r="C243" s="29"/>
      <c r="D243" s="29"/>
      <c r="E243" s="29"/>
      <c r="F243" s="29"/>
      <c r="G243" s="29"/>
      <c r="H243" s="29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1:42" ht="15.75" customHeight="1" x14ac:dyDescent="0.2">
      <c r="A244"/>
      <c r="B244" s="2"/>
      <c r="C244" s="29"/>
      <c r="D244" s="29"/>
      <c r="E244" s="29"/>
      <c r="F244" s="29"/>
      <c r="G244" s="29"/>
      <c r="H244" s="29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1:42" ht="15.75" customHeight="1" x14ac:dyDescent="0.2">
      <c r="A245"/>
      <c r="B245" s="2"/>
      <c r="C245" s="29"/>
      <c r="D245" s="29"/>
      <c r="E245" s="29"/>
      <c r="F245" s="29"/>
      <c r="G245" s="29"/>
      <c r="H245" s="29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1:42" ht="15.75" customHeight="1" x14ac:dyDescent="0.2">
      <c r="A246"/>
      <c r="B246" s="2"/>
      <c r="C246" s="29"/>
      <c r="D246" s="29"/>
      <c r="E246" s="29"/>
      <c r="F246" s="29"/>
      <c r="G246" s="29"/>
      <c r="H246" s="29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1:42" ht="15.75" customHeight="1" x14ac:dyDescent="0.2">
      <c r="A247"/>
      <c r="B247" s="2"/>
      <c r="C247" s="29"/>
      <c r="D247" s="29"/>
      <c r="E247" s="29"/>
      <c r="F247" s="29"/>
      <c r="G247" s="29"/>
      <c r="H247" s="29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1:42" ht="15.75" customHeight="1" x14ac:dyDescent="0.2">
      <c r="A248"/>
      <c r="B248" s="2"/>
      <c r="C248" s="29"/>
      <c r="D248" s="29"/>
      <c r="E248" s="29"/>
      <c r="F248" s="29"/>
      <c r="G248" s="29"/>
      <c r="H248" s="29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1:42" ht="15.75" customHeight="1" x14ac:dyDescent="0.2">
      <c r="A249"/>
      <c r="B249" s="2"/>
      <c r="C249" s="29"/>
      <c r="D249" s="29"/>
      <c r="E249" s="29"/>
      <c r="F249" s="29"/>
      <c r="G249" s="29"/>
      <c r="H249" s="29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1:42" ht="15.75" customHeight="1" x14ac:dyDescent="0.2">
      <c r="A250"/>
      <c r="B250" s="2"/>
      <c r="C250" s="29"/>
      <c r="D250" s="29"/>
      <c r="E250" s="29"/>
      <c r="F250" s="29"/>
      <c r="G250" s="29"/>
      <c r="H250" s="29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1:42" ht="15.75" customHeight="1" x14ac:dyDescent="0.2">
      <c r="A251"/>
      <c r="B251" s="2"/>
      <c r="C251" s="29"/>
      <c r="D251" s="29"/>
      <c r="E251" s="29"/>
      <c r="F251" s="29"/>
      <c r="G251" s="29"/>
      <c r="H251" s="29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1:42" ht="15.75" customHeight="1" x14ac:dyDescent="0.2">
      <c r="A252"/>
      <c r="B252" s="2"/>
      <c r="C252" s="29"/>
      <c r="D252" s="29"/>
      <c r="E252" s="29"/>
      <c r="F252" s="29"/>
      <c r="G252" s="29"/>
      <c r="H252" s="29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1:42" ht="15.75" customHeight="1" x14ac:dyDescent="0.2">
      <c r="A253"/>
      <c r="B253" s="2"/>
      <c r="C253" s="29"/>
      <c r="D253" s="29"/>
      <c r="E253" s="29"/>
      <c r="F253" s="29"/>
      <c r="G253" s="29"/>
      <c r="H253" s="29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1:42" ht="15.75" customHeight="1" x14ac:dyDescent="0.2">
      <c r="A254"/>
      <c r="B254" s="2"/>
      <c r="C254" s="29"/>
      <c r="D254" s="29"/>
      <c r="E254" s="29"/>
      <c r="F254" s="29"/>
      <c r="G254" s="29"/>
      <c r="H254" s="29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1:42" ht="15.75" customHeight="1" x14ac:dyDescent="0.2">
      <c r="A255"/>
      <c r="B255" s="2"/>
      <c r="C255" s="29"/>
      <c r="D255" s="29"/>
      <c r="E255" s="29"/>
      <c r="F255" s="29"/>
      <c r="G255" s="29"/>
      <c r="H255" s="29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1:42" ht="15.75" customHeight="1" x14ac:dyDescent="0.2">
      <c r="A256"/>
      <c r="B256" s="2"/>
      <c r="C256" s="29"/>
      <c r="D256" s="29"/>
      <c r="E256" s="29"/>
      <c r="F256" s="29"/>
      <c r="G256" s="29"/>
      <c r="H256" s="29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1:42" ht="15.75" customHeight="1" x14ac:dyDescent="0.2">
      <c r="A257"/>
      <c r="B257" s="2"/>
      <c r="C257" s="29"/>
      <c r="D257" s="29"/>
      <c r="E257" s="29"/>
      <c r="F257" s="29"/>
      <c r="G257" s="29"/>
      <c r="H257" s="29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1:42" ht="15.75" customHeight="1" x14ac:dyDescent="0.2">
      <c r="A258"/>
      <c r="B258" s="2"/>
      <c r="C258" s="29"/>
      <c r="D258" s="29"/>
      <c r="E258" s="29"/>
      <c r="F258" s="29"/>
      <c r="G258" s="29"/>
      <c r="H258" s="29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1:42" ht="15.75" customHeight="1" x14ac:dyDescent="0.2">
      <c r="A259"/>
      <c r="B259" s="2"/>
      <c r="C259" s="29"/>
      <c r="D259" s="29"/>
      <c r="E259" s="29"/>
      <c r="F259" s="29"/>
      <c r="G259" s="29"/>
      <c r="H259" s="29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1:42" ht="15.75" customHeight="1" x14ac:dyDescent="0.2">
      <c r="A260"/>
      <c r="B260" s="2"/>
      <c r="C260" s="29"/>
      <c r="D260" s="29"/>
      <c r="E260" s="29"/>
      <c r="F260" s="29"/>
      <c r="G260" s="29"/>
      <c r="H260" s="29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1:42" ht="15.75" customHeight="1" x14ac:dyDescent="0.2">
      <c r="A261"/>
      <c r="B261" s="2"/>
      <c r="C261" s="29"/>
      <c r="D261" s="29"/>
      <c r="E261" s="29"/>
      <c r="F261" s="29"/>
      <c r="G261" s="29"/>
      <c r="H261" s="29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1:42" ht="15.75" customHeight="1" x14ac:dyDescent="0.2">
      <c r="A262"/>
      <c r="B262" s="2"/>
      <c r="C262" s="29"/>
      <c r="D262" s="29"/>
      <c r="E262" s="29"/>
      <c r="F262" s="29"/>
      <c r="G262" s="29"/>
      <c r="H262" s="29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1:42" ht="15.75" customHeight="1" x14ac:dyDescent="0.2">
      <c r="A263"/>
      <c r="B263" s="2"/>
      <c r="C263" s="29"/>
      <c r="D263" s="29"/>
      <c r="E263" s="29"/>
      <c r="F263" s="29"/>
      <c r="G263" s="29"/>
      <c r="H263" s="29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1:42" ht="15.75" customHeight="1" x14ac:dyDescent="0.2">
      <c r="A264"/>
      <c r="B264" s="2"/>
      <c r="C264" s="29"/>
      <c r="D264" s="29"/>
      <c r="E264" s="29"/>
      <c r="F264" s="29"/>
      <c r="G264" s="29"/>
      <c r="H264" s="29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1:42" ht="15.75" customHeight="1" x14ac:dyDescent="0.2">
      <c r="A265"/>
      <c r="B265" s="2"/>
      <c r="C265" s="29"/>
      <c r="D265" s="29"/>
      <c r="E265" s="29"/>
      <c r="F265" s="29"/>
      <c r="G265" s="29"/>
      <c r="H265" s="29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1:42" ht="15.75" customHeight="1" x14ac:dyDescent="0.2">
      <c r="A266"/>
      <c r="B266" s="2"/>
      <c r="C266" s="29"/>
      <c r="D266" s="29"/>
      <c r="E266" s="29"/>
      <c r="F266" s="29"/>
      <c r="G266" s="29"/>
      <c r="H266" s="29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1:42" ht="15.75" customHeight="1" x14ac:dyDescent="0.2">
      <c r="A267"/>
      <c r="B267" s="2"/>
      <c r="C267" s="29"/>
      <c r="D267" s="29"/>
      <c r="E267" s="29"/>
      <c r="F267" s="29"/>
      <c r="G267" s="29"/>
      <c r="H267" s="29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1:42" ht="15.75" customHeight="1" x14ac:dyDescent="0.2">
      <c r="A268"/>
      <c r="B268" s="2"/>
      <c r="C268" s="29"/>
      <c r="D268" s="29"/>
      <c r="E268" s="29"/>
      <c r="F268" s="29"/>
      <c r="G268" s="29"/>
      <c r="H268" s="29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1:42" ht="15.75" customHeight="1" x14ac:dyDescent="0.2">
      <c r="A269"/>
      <c r="B269" s="2"/>
      <c r="C269" s="29"/>
      <c r="D269" s="29"/>
      <c r="E269" s="29"/>
      <c r="F269" s="29"/>
      <c r="G269" s="29"/>
      <c r="H269" s="29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1:42" ht="15.75" customHeight="1" x14ac:dyDescent="0.2">
      <c r="A270"/>
      <c r="B270" s="2"/>
      <c r="C270" s="29"/>
      <c r="D270" s="29"/>
      <c r="E270" s="29"/>
      <c r="F270" s="29"/>
      <c r="G270" s="29"/>
      <c r="H270" s="29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1:42" ht="15.75" customHeight="1" x14ac:dyDescent="0.2">
      <c r="A271"/>
      <c r="B271" s="2"/>
      <c r="C271" s="29"/>
      <c r="D271" s="29"/>
      <c r="E271" s="29"/>
      <c r="F271" s="29"/>
      <c r="G271" s="29"/>
      <c r="H271" s="29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1:42" ht="15.75" customHeight="1" x14ac:dyDescent="0.2">
      <c r="A272"/>
      <c r="B272" s="2"/>
      <c r="C272" s="29"/>
      <c r="D272" s="29"/>
      <c r="E272" s="29"/>
      <c r="F272" s="29"/>
      <c r="G272" s="29"/>
      <c r="H272" s="29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1:42" ht="15.75" customHeight="1" x14ac:dyDescent="0.2">
      <c r="A273"/>
      <c r="B273" s="2"/>
      <c r="C273" s="29"/>
      <c r="D273" s="29"/>
      <c r="E273" s="29"/>
      <c r="F273" s="29"/>
      <c r="G273" s="29"/>
      <c r="H273" s="29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1:42" ht="15.75" customHeight="1" x14ac:dyDescent="0.2">
      <c r="A274"/>
      <c r="B274" s="2"/>
      <c r="C274" s="29"/>
      <c r="D274" s="29"/>
      <c r="E274" s="29"/>
      <c r="F274" s="29"/>
      <c r="G274" s="29"/>
      <c r="H274" s="29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1:42" ht="15.75" customHeight="1" x14ac:dyDescent="0.2">
      <c r="A275"/>
      <c r="B275" s="2"/>
      <c r="C275" s="29"/>
      <c r="D275" s="29"/>
      <c r="E275" s="29"/>
      <c r="F275" s="29"/>
      <c r="G275" s="29"/>
      <c r="H275" s="29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1:42" ht="15.75" customHeight="1" x14ac:dyDescent="0.2">
      <c r="A276"/>
      <c r="B276" s="2"/>
      <c r="C276" s="29"/>
      <c r="D276" s="29"/>
      <c r="E276" s="29"/>
      <c r="F276" s="29"/>
      <c r="G276" s="29"/>
      <c r="H276" s="29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1:42" ht="15.75" customHeight="1" x14ac:dyDescent="0.2">
      <c r="A277"/>
      <c r="B277" s="2"/>
      <c r="C277" s="29"/>
      <c r="D277" s="29"/>
      <c r="E277" s="29"/>
      <c r="F277" s="29"/>
      <c r="G277" s="29"/>
      <c r="H277" s="29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1:42" ht="15.75" customHeight="1" x14ac:dyDescent="0.2">
      <c r="A278"/>
      <c r="B278" s="2"/>
      <c r="C278" s="29"/>
      <c r="D278" s="29"/>
      <c r="E278" s="29"/>
      <c r="F278" s="29"/>
      <c r="G278" s="29"/>
      <c r="H278" s="29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1:42" ht="15.75" customHeight="1" x14ac:dyDescent="0.2">
      <c r="A279"/>
      <c r="B279" s="2"/>
      <c r="C279" s="29"/>
      <c r="D279" s="29"/>
      <c r="E279" s="29"/>
      <c r="F279" s="29"/>
      <c r="G279" s="29"/>
      <c r="H279" s="29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1:42" ht="15.75" customHeight="1" x14ac:dyDescent="0.2">
      <c r="A280"/>
      <c r="B280" s="2"/>
      <c r="C280" s="29"/>
      <c r="D280" s="29"/>
      <c r="E280" s="29"/>
      <c r="F280" s="29"/>
      <c r="G280" s="29"/>
      <c r="H280" s="29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1:42" ht="15.75" customHeight="1" x14ac:dyDescent="0.2">
      <c r="A281"/>
      <c r="B281" s="2"/>
      <c r="C281" s="29"/>
      <c r="D281" s="29"/>
      <c r="E281" s="29"/>
      <c r="F281" s="29"/>
      <c r="G281" s="29"/>
      <c r="H281" s="29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1:42" ht="15.75" customHeight="1" x14ac:dyDescent="0.2">
      <c r="A282"/>
      <c r="B282" s="2"/>
      <c r="C282" s="29"/>
      <c r="D282" s="29"/>
      <c r="E282" s="29"/>
      <c r="F282" s="29"/>
      <c r="G282" s="29"/>
      <c r="H282" s="29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1:42" ht="15.75" customHeight="1" x14ac:dyDescent="0.2">
      <c r="A283"/>
      <c r="B283" s="2"/>
      <c r="C283" s="29"/>
      <c r="D283" s="29"/>
      <c r="E283" s="29"/>
      <c r="F283" s="29"/>
      <c r="G283" s="29"/>
      <c r="H283" s="29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1:42" ht="15.75" customHeight="1" x14ac:dyDescent="0.2">
      <c r="A284"/>
      <c r="B284" s="2"/>
      <c r="C284" s="29"/>
      <c r="D284" s="29"/>
      <c r="E284" s="29"/>
      <c r="F284" s="29"/>
      <c r="G284" s="29"/>
      <c r="H284" s="29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1:42" ht="15.75" customHeight="1" x14ac:dyDescent="0.2">
      <c r="A285"/>
      <c r="B285" s="2"/>
      <c r="C285" s="29"/>
      <c r="D285" s="29"/>
      <c r="E285" s="29"/>
      <c r="F285" s="29"/>
      <c r="G285" s="29"/>
      <c r="H285" s="29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1:42" ht="15.75" customHeight="1" x14ac:dyDescent="0.2">
      <c r="A286"/>
      <c r="B286" s="2"/>
      <c r="C286" s="29"/>
      <c r="D286" s="29"/>
      <c r="E286" s="29"/>
      <c r="F286" s="29"/>
      <c r="G286" s="29"/>
      <c r="H286" s="29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1:42" ht="15.75" customHeight="1" x14ac:dyDescent="0.2">
      <c r="A287"/>
      <c r="B287" s="2"/>
      <c r="C287" s="29"/>
      <c r="D287" s="29"/>
      <c r="E287" s="29"/>
      <c r="F287" s="29"/>
      <c r="G287" s="29"/>
      <c r="H287" s="29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1:42" ht="15.75" customHeight="1" x14ac:dyDescent="0.2">
      <c r="A288"/>
      <c r="B288" s="2"/>
      <c r="C288" s="29"/>
      <c r="D288" s="29"/>
      <c r="E288" s="29"/>
      <c r="F288" s="29"/>
      <c r="G288" s="29"/>
      <c r="H288" s="29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1:42" ht="15.75" customHeight="1" x14ac:dyDescent="0.2">
      <c r="A289"/>
      <c r="B289" s="2"/>
      <c r="C289" s="29"/>
      <c r="D289" s="29"/>
      <c r="E289" s="29"/>
      <c r="F289" s="29"/>
      <c r="G289" s="29"/>
      <c r="H289" s="29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1:42" ht="15.75" customHeight="1" x14ac:dyDescent="0.2">
      <c r="A290"/>
      <c r="B290" s="2"/>
      <c r="C290" s="29"/>
      <c r="D290" s="29"/>
      <c r="E290" s="29"/>
      <c r="F290" s="29"/>
      <c r="G290" s="29"/>
      <c r="H290" s="29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1:42" ht="15.75" customHeight="1" x14ac:dyDescent="0.2">
      <c r="A291"/>
      <c r="B291" s="2"/>
      <c r="C291" s="29"/>
      <c r="D291" s="29"/>
      <c r="E291" s="29"/>
      <c r="F291" s="29"/>
      <c r="G291" s="29"/>
      <c r="H291" s="29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1:42" ht="15.75" customHeight="1" x14ac:dyDescent="0.2">
      <c r="A292"/>
      <c r="B292" s="2"/>
      <c r="C292" s="29"/>
      <c r="D292" s="29"/>
      <c r="E292" s="29"/>
      <c r="F292" s="29"/>
      <c r="G292" s="29"/>
      <c r="H292" s="29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1:42" ht="15.75" customHeight="1" x14ac:dyDescent="0.2">
      <c r="A293"/>
      <c r="B293" s="2"/>
      <c r="C293" s="29"/>
      <c r="D293" s="29"/>
      <c r="E293" s="29"/>
      <c r="F293" s="29"/>
      <c r="G293" s="29"/>
      <c r="H293" s="29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1:42" ht="15.75" customHeight="1" x14ac:dyDescent="0.2">
      <c r="A294"/>
      <c r="B294" s="2"/>
      <c r="C294" s="29"/>
      <c r="D294" s="29"/>
      <c r="E294" s="29"/>
      <c r="F294" s="29"/>
      <c r="G294" s="29"/>
      <c r="H294" s="29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1:42" ht="15.75" customHeight="1" x14ac:dyDescent="0.2">
      <c r="A295"/>
      <c r="B295" s="2"/>
      <c r="C295" s="29"/>
      <c r="D295" s="29"/>
      <c r="E295" s="29"/>
      <c r="F295" s="29"/>
      <c r="G295" s="29"/>
      <c r="H295" s="29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1:42" ht="15.75" customHeight="1" x14ac:dyDescent="0.2">
      <c r="A296"/>
      <c r="B296" s="2"/>
      <c r="C296" s="29"/>
      <c r="D296" s="29"/>
      <c r="E296" s="29"/>
      <c r="F296" s="29"/>
      <c r="G296" s="29"/>
      <c r="H296" s="29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1:42" ht="15.75" customHeight="1" x14ac:dyDescent="0.2">
      <c r="A297"/>
      <c r="B297" s="2"/>
      <c r="C297" s="29"/>
      <c r="D297" s="29"/>
      <c r="E297" s="29"/>
      <c r="F297" s="29"/>
      <c r="G297" s="29"/>
      <c r="H297" s="29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1:42" ht="15.75" customHeight="1" x14ac:dyDescent="0.2">
      <c r="A298"/>
      <c r="B298" s="2"/>
      <c r="C298" s="29"/>
      <c r="D298" s="29"/>
      <c r="E298" s="29"/>
      <c r="F298" s="29"/>
      <c r="G298" s="29"/>
      <c r="H298" s="29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1:42" ht="15.75" customHeight="1" x14ac:dyDescent="0.2">
      <c r="A299"/>
      <c r="B299" s="2"/>
      <c r="C299" s="29"/>
      <c r="D299" s="29"/>
      <c r="E299" s="29"/>
      <c r="F299" s="29"/>
      <c r="G299" s="29"/>
      <c r="H299" s="29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1:42" ht="15.75" customHeight="1" x14ac:dyDescent="0.2">
      <c r="A300"/>
      <c r="B300" s="2"/>
      <c r="C300" s="29"/>
      <c r="D300" s="29"/>
      <c r="E300" s="29"/>
      <c r="F300" s="29"/>
      <c r="G300" s="29"/>
      <c r="H300" s="29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1:42" ht="15.75" customHeight="1" x14ac:dyDescent="0.2">
      <c r="A301"/>
      <c r="B301" s="2"/>
      <c r="C301" s="29"/>
      <c r="D301" s="29"/>
      <c r="E301" s="29"/>
      <c r="F301" s="29"/>
      <c r="G301" s="29"/>
      <c r="H301" s="29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1:42" ht="15.75" customHeight="1" x14ac:dyDescent="0.2">
      <c r="A302"/>
      <c r="B302" s="2"/>
      <c r="C302" s="29"/>
      <c r="D302" s="29"/>
      <c r="E302" s="29"/>
      <c r="F302" s="29"/>
      <c r="G302" s="29"/>
      <c r="H302" s="29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1:42" ht="15.75" customHeight="1" x14ac:dyDescent="0.2">
      <c r="A303"/>
      <c r="B303" s="2"/>
      <c r="C303" s="29"/>
      <c r="D303" s="29"/>
      <c r="E303" s="29"/>
      <c r="F303" s="29"/>
      <c r="G303" s="29"/>
      <c r="H303" s="29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1:42" ht="15.75" customHeight="1" x14ac:dyDescent="0.2">
      <c r="A304"/>
      <c r="B304" s="2"/>
      <c r="C304" s="29"/>
      <c r="D304" s="29"/>
      <c r="E304" s="29"/>
      <c r="F304" s="29"/>
      <c r="G304" s="29"/>
      <c r="H304" s="29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1:42" ht="15.75" customHeight="1" x14ac:dyDescent="0.2">
      <c r="A305"/>
      <c r="B305" s="2"/>
      <c r="C305" s="29"/>
      <c r="D305" s="29"/>
      <c r="E305" s="29"/>
      <c r="F305" s="29"/>
      <c r="G305" s="29"/>
      <c r="H305" s="29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1:42" ht="15.75" customHeight="1" x14ac:dyDescent="0.2">
      <c r="A306"/>
      <c r="B306" s="2"/>
      <c r="C306" s="29"/>
      <c r="D306" s="29"/>
      <c r="E306" s="29"/>
      <c r="F306" s="29"/>
      <c r="G306" s="29"/>
      <c r="H306" s="29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1:42" ht="15.75" customHeight="1" x14ac:dyDescent="0.2">
      <c r="A307"/>
      <c r="B307" s="2"/>
      <c r="C307" s="29"/>
      <c r="D307" s="29"/>
      <c r="E307" s="29"/>
      <c r="F307" s="29"/>
      <c r="G307" s="29"/>
      <c r="H307" s="29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1:42" ht="15.75" customHeight="1" x14ac:dyDescent="0.2">
      <c r="A308"/>
      <c r="B308" s="2"/>
      <c r="C308" s="29"/>
      <c r="D308" s="29"/>
      <c r="E308" s="29"/>
      <c r="F308" s="29"/>
      <c r="G308" s="29"/>
      <c r="H308" s="29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1:42" ht="15.75" customHeight="1" x14ac:dyDescent="0.2">
      <c r="A309"/>
      <c r="B309" s="2"/>
      <c r="C309" s="29"/>
      <c r="D309" s="29"/>
      <c r="E309" s="29"/>
      <c r="F309" s="29"/>
      <c r="G309" s="29"/>
      <c r="H309" s="29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1:42" ht="15.75" customHeight="1" x14ac:dyDescent="0.2">
      <c r="A310"/>
      <c r="B310" s="2"/>
      <c r="C310" s="29"/>
      <c r="D310" s="29"/>
      <c r="E310" s="29"/>
      <c r="F310" s="29"/>
      <c r="G310" s="29"/>
      <c r="H310" s="29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1:42" ht="15.75" customHeight="1" x14ac:dyDescent="0.2">
      <c r="A311"/>
      <c r="B311" s="2"/>
      <c r="C311" s="29"/>
      <c r="D311" s="29"/>
      <c r="E311" s="29"/>
      <c r="F311" s="29"/>
      <c r="G311" s="29"/>
      <c r="H311" s="29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1:42" ht="15.75" customHeight="1" x14ac:dyDescent="0.2">
      <c r="A312"/>
      <c r="B312" s="2"/>
      <c r="C312" s="29"/>
      <c r="D312" s="29"/>
      <c r="E312" s="29"/>
      <c r="F312" s="29"/>
      <c r="G312" s="29"/>
      <c r="H312" s="29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1:42" ht="15.75" customHeight="1" x14ac:dyDescent="0.2">
      <c r="A313"/>
      <c r="B313" s="2"/>
      <c r="C313" s="29"/>
      <c r="D313" s="29"/>
      <c r="E313" s="29"/>
      <c r="F313" s="29"/>
      <c r="G313" s="29"/>
      <c r="H313" s="29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1:42" ht="15.75" customHeight="1" x14ac:dyDescent="0.2">
      <c r="A314"/>
      <c r="B314" s="2"/>
      <c r="C314" s="29"/>
      <c r="D314" s="29"/>
      <c r="E314" s="29"/>
      <c r="F314" s="29"/>
      <c r="G314" s="29"/>
      <c r="H314" s="29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1:42" ht="15.75" customHeight="1" x14ac:dyDescent="0.2">
      <c r="A315"/>
      <c r="B315" s="2"/>
      <c r="C315" s="29"/>
      <c r="D315" s="29"/>
      <c r="E315" s="29"/>
      <c r="F315" s="29"/>
      <c r="G315" s="29"/>
      <c r="H315" s="29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1:42" ht="15.75" customHeight="1" x14ac:dyDescent="0.2">
      <c r="A316"/>
      <c r="B316" s="2"/>
      <c r="C316" s="29"/>
      <c r="D316" s="29"/>
      <c r="E316" s="29"/>
      <c r="F316" s="29"/>
      <c r="G316" s="29"/>
      <c r="H316" s="29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1:42" ht="15.75" customHeight="1" x14ac:dyDescent="0.2">
      <c r="A317"/>
      <c r="B317" s="2"/>
      <c r="C317" s="29"/>
      <c r="D317" s="29"/>
      <c r="E317" s="29"/>
      <c r="F317" s="29"/>
      <c r="G317" s="29"/>
      <c r="H317" s="29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1:42" ht="15.75" customHeight="1" x14ac:dyDescent="0.2">
      <c r="A318"/>
      <c r="B318" s="2"/>
      <c r="C318" s="29"/>
      <c r="D318" s="29"/>
      <c r="E318" s="29"/>
      <c r="F318" s="29"/>
      <c r="G318" s="29"/>
      <c r="H318" s="29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1:42" ht="15.75" customHeight="1" x14ac:dyDescent="0.2">
      <c r="A319"/>
      <c r="B319" s="2"/>
      <c r="C319" s="29"/>
      <c r="D319" s="29"/>
      <c r="E319" s="29"/>
      <c r="F319" s="29"/>
      <c r="G319" s="29"/>
      <c r="H319" s="29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1:42" ht="15.75" customHeight="1" x14ac:dyDescent="0.2">
      <c r="A320"/>
      <c r="B320" s="2"/>
      <c r="C320" s="29"/>
      <c r="D320" s="29"/>
      <c r="E320" s="29"/>
      <c r="F320" s="29"/>
      <c r="G320" s="29"/>
      <c r="H320" s="29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1:42" ht="15.75" customHeight="1" x14ac:dyDescent="0.2">
      <c r="A321"/>
      <c r="B321" s="2"/>
      <c r="C321" s="29"/>
      <c r="D321" s="29"/>
      <c r="E321" s="29"/>
      <c r="F321" s="29"/>
      <c r="G321" s="29"/>
      <c r="H321" s="29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1:42" ht="15.75" customHeight="1" x14ac:dyDescent="0.2">
      <c r="A322"/>
      <c r="B322" s="2"/>
      <c r="C322" s="29"/>
      <c r="D322" s="29"/>
      <c r="E322" s="29"/>
      <c r="F322" s="29"/>
      <c r="G322" s="29"/>
      <c r="H322" s="29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1:42" ht="15.75" customHeight="1" x14ac:dyDescent="0.2">
      <c r="A323"/>
      <c r="B323" s="2"/>
      <c r="C323" s="29"/>
      <c r="D323" s="29"/>
      <c r="E323" s="29"/>
      <c r="F323" s="29"/>
      <c r="G323" s="29"/>
      <c r="H323" s="29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1:42" ht="15.75" customHeight="1" x14ac:dyDescent="0.2">
      <c r="A324"/>
      <c r="B324" s="2"/>
      <c r="C324" s="29"/>
      <c r="D324" s="29"/>
      <c r="E324" s="29"/>
      <c r="F324" s="29"/>
      <c r="G324" s="29"/>
      <c r="H324" s="29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1:42" ht="15.75" customHeight="1" x14ac:dyDescent="0.2">
      <c r="A325"/>
      <c r="B325" s="2"/>
      <c r="C325" s="29"/>
      <c r="D325" s="29"/>
      <c r="E325" s="29"/>
      <c r="F325" s="29"/>
      <c r="G325" s="29"/>
      <c r="H325" s="29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1:42" ht="15.75" customHeight="1" x14ac:dyDescent="0.2">
      <c r="A326"/>
      <c r="B326" s="2"/>
      <c r="C326" s="29"/>
      <c r="D326" s="29"/>
      <c r="E326" s="29"/>
      <c r="F326" s="29"/>
      <c r="G326" s="29"/>
      <c r="H326" s="29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1:42" ht="15.75" customHeight="1" x14ac:dyDescent="0.2">
      <c r="A327"/>
      <c r="B327" s="2"/>
      <c r="C327" s="29"/>
      <c r="D327" s="29"/>
      <c r="E327" s="29"/>
      <c r="F327" s="29"/>
      <c r="G327" s="29"/>
      <c r="H327" s="29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1:42" ht="15.75" customHeight="1" x14ac:dyDescent="0.2">
      <c r="A328"/>
      <c r="B328" s="2"/>
      <c r="C328" s="29"/>
      <c r="D328" s="29"/>
      <c r="E328" s="29"/>
      <c r="F328" s="29"/>
      <c r="G328" s="29"/>
      <c r="H328" s="29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1:42" ht="15.75" customHeight="1" x14ac:dyDescent="0.2">
      <c r="A329"/>
      <c r="B329" s="2"/>
      <c r="C329" s="29"/>
      <c r="D329" s="29"/>
      <c r="E329" s="29"/>
      <c r="F329" s="29"/>
      <c r="G329" s="29"/>
      <c r="H329" s="29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1:42" ht="15.75" customHeight="1" x14ac:dyDescent="0.2">
      <c r="A330"/>
      <c r="B330" s="2"/>
      <c r="C330" s="29"/>
      <c r="D330" s="29"/>
      <c r="E330" s="29"/>
      <c r="F330" s="29"/>
      <c r="G330" s="29"/>
      <c r="H330" s="29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1:42" ht="15.75" customHeight="1" x14ac:dyDescent="0.2">
      <c r="A331"/>
      <c r="B331" s="2"/>
      <c r="C331" s="29"/>
      <c r="D331" s="29"/>
      <c r="E331" s="29"/>
      <c r="F331" s="29"/>
      <c r="G331" s="29"/>
      <c r="H331" s="29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1:42" ht="15.75" customHeight="1" x14ac:dyDescent="0.2">
      <c r="A332"/>
      <c r="B332" s="2"/>
      <c r="C332" s="29"/>
      <c r="D332" s="29"/>
      <c r="E332" s="29"/>
      <c r="F332" s="29"/>
      <c r="G332" s="29"/>
      <c r="H332" s="29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1:42" ht="15.75" customHeight="1" x14ac:dyDescent="0.2">
      <c r="A333"/>
      <c r="B333" s="2"/>
      <c r="C333" s="29"/>
      <c r="D333" s="29"/>
      <c r="E333" s="29"/>
      <c r="F333" s="29"/>
      <c r="G333" s="29"/>
      <c r="H333" s="29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1:42" ht="15.75" customHeight="1" x14ac:dyDescent="0.2">
      <c r="A334"/>
      <c r="B334" s="2"/>
      <c r="C334" s="29"/>
      <c r="D334" s="29"/>
      <c r="E334" s="29"/>
      <c r="F334" s="29"/>
      <c r="G334" s="29"/>
      <c r="H334" s="29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1:42" ht="15.75" customHeight="1" x14ac:dyDescent="0.2">
      <c r="A335"/>
      <c r="B335" s="2"/>
      <c r="C335" s="29"/>
      <c r="D335" s="29"/>
      <c r="E335" s="29"/>
      <c r="F335" s="29"/>
      <c r="G335" s="29"/>
      <c r="H335" s="29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1:42" ht="15.75" customHeight="1" x14ac:dyDescent="0.2">
      <c r="A336"/>
      <c r="B336" s="2"/>
      <c r="C336" s="29"/>
      <c r="D336" s="29"/>
      <c r="E336" s="29"/>
      <c r="F336" s="29"/>
      <c r="G336" s="29"/>
      <c r="H336" s="29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1:42" ht="15.75" customHeight="1" x14ac:dyDescent="0.2">
      <c r="A337"/>
      <c r="B337" s="2"/>
      <c r="C337" s="29"/>
      <c r="D337" s="29"/>
      <c r="E337" s="29"/>
      <c r="F337" s="29"/>
      <c r="G337" s="29"/>
      <c r="H337" s="29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1:42" ht="15.75" customHeight="1" x14ac:dyDescent="0.2">
      <c r="A338"/>
      <c r="B338" s="2"/>
      <c r="C338" s="29"/>
      <c r="D338" s="29"/>
      <c r="E338" s="29"/>
      <c r="F338" s="29"/>
      <c r="G338" s="29"/>
      <c r="H338" s="29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1:42" ht="15.75" customHeight="1" x14ac:dyDescent="0.2">
      <c r="A339"/>
      <c r="B339" s="2"/>
      <c r="C339" s="29"/>
      <c r="D339" s="29"/>
      <c r="E339" s="29"/>
      <c r="F339" s="29"/>
      <c r="G339" s="29"/>
      <c r="H339" s="29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1:42" ht="15.75" customHeight="1" x14ac:dyDescent="0.2">
      <c r="A340"/>
      <c r="B340" s="2"/>
      <c r="C340" s="29"/>
      <c r="D340" s="29"/>
      <c r="E340" s="29"/>
      <c r="F340" s="29"/>
      <c r="G340" s="29"/>
      <c r="H340" s="29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1:42" ht="15.75" customHeight="1" x14ac:dyDescent="0.2">
      <c r="A341"/>
      <c r="B341" s="2"/>
      <c r="C341" s="29"/>
      <c r="D341" s="29"/>
      <c r="E341" s="29"/>
      <c r="F341" s="29"/>
      <c r="G341" s="29"/>
      <c r="H341" s="29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1:42" ht="15.75" customHeight="1" x14ac:dyDescent="0.2">
      <c r="A342"/>
      <c r="B342" s="2"/>
      <c r="C342" s="29"/>
      <c r="D342" s="29"/>
      <c r="E342" s="29"/>
      <c r="F342" s="29"/>
      <c r="G342" s="29"/>
      <c r="H342" s="29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1:42" ht="15.75" customHeight="1" x14ac:dyDescent="0.2">
      <c r="A343"/>
      <c r="B343" s="2"/>
      <c r="C343" s="29"/>
      <c r="D343" s="29"/>
      <c r="E343" s="29"/>
      <c r="F343" s="29"/>
      <c r="G343" s="29"/>
      <c r="H343" s="29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1:42" ht="15.75" customHeight="1" x14ac:dyDescent="0.2">
      <c r="A344"/>
      <c r="B344" s="2"/>
      <c r="C344" s="29"/>
      <c r="D344" s="29"/>
      <c r="E344" s="29"/>
      <c r="F344" s="29"/>
      <c r="G344" s="29"/>
      <c r="H344" s="29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1:42" ht="15.75" customHeight="1" x14ac:dyDescent="0.2">
      <c r="A345"/>
      <c r="B345" s="2"/>
      <c r="C345" s="29"/>
      <c r="D345" s="29"/>
      <c r="E345" s="29"/>
      <c r="F345" s="29"/>
      <c r="G345" s="29"/>
      <c r="H345" s="29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1:42" ht="15.75" customHeight="1" x14ac:dyDescent="0.2">
      <c r="A346"/>
      <c r="B346" s="2"/>
      <c r="C346" s="29"/>
      <c r="D346" s="29"/>
      <c r="E346" s="29"/>
      <c r="F346" s="29"/>
      <c r="G346" s="29"/>
      <c r="H346" s="29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1:42" ht="15.75" customHeight="1" x14ac:dyDescent="0.2">
      <c r="A347"/>
      <c r="B347" s="2"/>
      <c r="C347" s="29"/>
      <c r="D347" s="29"/>
      <c r="E347" s="29"/>
      <c r="F347" s="29"/>
      <c r="G347" s="29"/>
      <c r="H347" s="29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1:42" ht="15.75" customHeight="1" x14ac:dyDescent="0.2">
      <c r="A348"/>
      <c r="B348" s="2"/>
      <c r="C348" s="29"/>
      <c r="D348" s="29"/>
      <c r="E348" s="29"/>
      <c r="F348" s="29"/>
      <c r="G348" s="29"/>
      <c r="H348" s="29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1:42" ht="15.75" customHeight="1" x14ac:dyDescent="0.2">
      <c r="A349"/>
      <c r="B349" s="2"/>
      <c r="C349" s="29"/>
      <c r="D349" s="29"/>
      <c r="E349" s="29"/>
      <c r="F349" s="29"/>
      <c r="G349" s="29"/>
      <c r="H349" s="29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1:42" ht="15.75" customHeight="1" x14ac:dyDescent="0.2">
      <c r="A350"/>
      <c r="B350" s="2"/>
      <c r="C350" s="29"/>
      <c r="D350" s="29"/>
      <c r="E350" s="29"/>
      <c r="F350" s="29"/>
      <c r="G350" s="29"/>
      <c r="H350" s="29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1:42" ht="15.75" customHeight="1" x14ac:dyDescent="0.2">
      <c r="A351"/>
      <c r="B351" s="2"/>
      <c r="C351" s="29"/>
      <c r="D351" s="29"/>
      <c r="E351" s="29"/>
      <c r="F351" s="29"/>
      <c r="G351" s="29"/>
      <c r="H351" s="29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1:42" ht="15.75" customHeight="1" x14ac:dyDescent="0.2">
      <c r="A352"/>
      <c r="B352" s="2"/>
      <c r="C352" s="29"/>
      <c r="D352" s="29"/>
      <c r="E352" s="29"/>
      <c r="F352" s="29"/>
      <c r="G352" s="29"/>
      <c r="H352" s="29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1:42" ht="15.75" customHeight="1" x14ac:dyDescent="0.2">
      <c r="A353"/>
      <c r="B353" s="2"/>
      <c r="C353" s="29"/>
      <c r="D353" s="29"/>
      <c r="E353" s="29"/>
      <c r="F353" s="29"/>
      <c r="G353" s="29"/>
      <c r="H353" s="29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1:42" ht="15.75" customHeight="1" x14ac:dyDescent="0.2">
      <c r="A354"/>
      <c r="B354" s="2"/>
      <c r="C354" s="29"/>
      <c r="D354" s="29"/>
      <c r="E354" s="29"/>
      <c r="F354" s="29"/>
      <c r="G354" s="29"/>
      <c r="H354" s="29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1:42" ht="15.75" customHeight="1" x14ac:dyDescent="0.2">
      <c r="A355"/>
      <c r="B355" s="2"/>
      <c r="C355" s="29"/>
      <c r="D355" s="29"/>
      <c r="E355" s="29"/>
      <c r="F355" s="29"/>
      <c r="G355" s="29"/>
      <c r="H355" s="29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1:42" ht="15.75" customHeight="1" x14ac:dyDescent="0.2">
      <c r="A356"/>
      <c r="B356" s="2"/>
      <c r="C356" s="29"/>
      <c r="D356" s="29"/>
      <c r="E356" s="29"/>
      <c r="F356" s="29"/>
      <c r="G356" s="29"/>
      <c r="H356" s="29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1:42" ht="15.75" customHeight="1" x14ac:dyDescent="0.2">
      <c r="A357"/>
      <c r="B357" s="2"/>
      <c r="C357" s="29"/>
      <c r="D357" s="29"/>
      <c r="E357" s="29"/>
      <c r="F357" s="29"/>
      <c r="G357" s="29"/>
      <c r="H357" s="29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1:42" ht="15.75" customHeight="1" x14ac:dyDescent="0.2">
      <c r="A358"/>
      <c r="B358" s="2"/>
      <c r="C358" s="29"/>
      <c r="D358" s="29"/>
      <c r="E358" s="29"/>
      <c r="F358" s="29"/>
      <c r="G358" s="29"/>
      <c r="H358" s="29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1:42" ht="15.75" customHeight="1" x14ac:dyDescent="0.2">
      <c r="A359"/>
      <c r="B359" s="2"/>
      <c r="C359" s="29"/>
      <c r="D359" s="29"/>
      <c r="E359" s="29"/>
      <c r="F359" s="29"/>
      <c r="G359" s="29"/>
      <c r="H359" s="29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1:42" ht="15.75" customHeight="1" x14ac:dyDescent="0.2">
      <c r="A360"/>
      <c r="B360" s="2"/>
      <c r="C360" s="29"/>
      <c r="D360" s="29"/>
      <c r="E360" s="29"/>
      <c r="F360" s="29"/>
      <c r="G360" s="29"/>
      <c r="H360" s="29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1:42" ht="15.75" customHeight="1" x14ac:dyDescent="0.2">
      <c r="A361"/>
      <c r="B361" s="2"/>
      <c r="C361" s="29"/>
      <c r="D361" s="29"/>
      <c r="E361" s="29"/>
      <c r="F361" s="29"/>
      <c r="G361" s="29"/>
      <c r="H361" s="29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1:42" ht="15.75" customHeight="1" x14ac:dyDescent="0.2">
      <c r="A362"/>
      <c r="B362" s="2"/>
      <c r="C362" s="29"/>
      <c r="D362" s="29"/>
      <c r="E362" s="29"/>
      <c r="F362" s="29"/>
      <c r="G362" s="29"/>
      <c r="H362" s="29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1:42" ht="15.75" customHeight="1" x14ac:dyDescent="0.2">
      <c r="A363"/>
      <c r="B363" s="2"/>
      <c r="C363" s="29"/>
      <c r="D363" s="29"/>
      <c r="E363" s="29"/>
      <c r="F363" s="29"/>
      <c r="G363" s="29"/>
      <c r="H363" s="29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1:42" ht="15.75" customHeight="1" x14ac:dyDescent="0.2">
      <c r="A364"/>
      <c r="B364" s="2"/>
      <c r="C364" s="29"/>
      <c r="D364" s="29"/>
      <c r="E364" s="29"/>
      <c r="F364" s="29"/>
      <c r="G364" s="29"/>
      <c r="H364" s="29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1:42" ht="15.75" customHeight="1" x14ac:dyDescent="0.2">
      <c r="A365"/>
      <c r="B365" s="2"/>
      <c r="C365" s="29"/>
      <c r="D365" s="29"/>
      <c r="E365" s="29"/>
      <c r="F365" s="29"/>
      <c r="G365" s="29"/>
      <c r="H365" s="29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1:42" ht="15.75" customHeight="1" x14ac:dyDescent="0.2">
      <c r="A366"/>
      <c r="B366" s="2"/>
      <c r="C366" s="29"/>
      <c r="D366" s="29"/>
      <c r="E366" s="29"/>
      <c r="F366" s="29"/>
      <c r="G366" s="29"/>
      <c r="H366" s="29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1:42" ht="15.75" customHeight="1" x14ac:dyDescent="0.2">
      <c r="A367"/>
      <c r="B367" s="2"/>
      <c r="C367" s="29"/>
      <c r="D367" s="29"/>
      <c r="E367" s="29"/>
      <c r="F367" s="29"/>
      <c r="G367" s="29"/>
      <c r="H367" s="29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1:42" ht="15.75" customHeight="1" x14ac:dyDescent="0.2">
      <c r="A368"/>
      <c r="B368" s="2"/>
      <c r="C368" s="29"/>
      <c r="D368" s="29"/>
      <c r="E368" s="29"/>
      <c r="F368" s="29"/>
      <c r="G368" s="29"/>
      <c r="H368" s="29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1:42" ht="15.75" customHeight="1" x14ac:dyDescent="0.2">
      <c r="A369"/>
      <c r="B369" s="2"/>
      <c r="C369" s="29"/>
      <c r="D369" s="29"/>
      <c r="E369" s="29"/>
      <c r="F369" s="29"/>
      <c r="G369" s="29"/>
      <c r="H369" s="29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1:42" ht="15.75" customHeight="1" x14ac:dyDescent="0.2">
      <c r="A370"/>
      <c r="B370" s="2"/>
      <c r="C370" s="29"/>
      <c r="D370" s="29"/>
      <c r="E370" s="29"/>
      <c r="F370" s="29"/>
      <c r="G370" s="29"/>
      <c r="H370" s="29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1:42" ht="15.75" customHeight="1" x14ac:dyDescent="0.2">
      <c r="A371"/>
      <c r="B371" s="2"/>
      <c r="C371" s="29"/>
      <c r="D371" s="29"/>
      <c r="E371" s="29"/>
      <c r="F371" s="29"/>
      <c r="G371" s="29"/>
      <c r="H371" s="29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1:42" ht="15.75" customHeight="1" x14ac:dyDescent="0.2">
      <c r="A372"/>
      <c r="B372" s="2"/>
      <c r="C372" s="29"/>
      <c r="D372" s="29"/>
      <c r="E372" s="29"/>
      <c r="F372" s="29"/>
      <c r="G372" s="29"/>
      <c r="H372" s="29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1:42" ht="15.75" customHeight="1" x14ac:dyDescent="0.2">
      <c r="A373"/>
      <c r="B373" s="2"/>
      <c r="C373" s="29"/>
      <c r="D373" s="29"/>
      <c r="E373" s="29"/>
      <c r="F373" s="29"/>
      <c r="G373" s="29"/>
      <c r="H373" s="29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1:42" ht="15.75" customHeight="1" x14ac:dyDescent="0.2">
      <c r="A374"/>
      <c r="B374" s="2"/>
      <c r="C374" s="29"/>
      <c r="D374" s="29"/>
      <c r="E374" s="29"/>
      <c r="F374" s="29"/>
      <c r="G374" s="29"/>
      <c r="H374" s="29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1:42" ht="15.75" customHeight="1" x14ac:dyDescent="0.2">
      <c r="A375"/>
      <c r="B375" s="2"/>
      <c r="C375" s="29"/>
      <c r="D375" s="29"/>
      <c r="E375" s="29"/>
      <c r="F375" s="29"/>
      <c r="G375" s="29"/>
      <c r="H375" s="29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1:42" ht="15.75" customHeight="1" x14ac:dyDescent="0.2">
      <c r="A376"/>
      <c r="B376" s="2"/>
      <c r="C376" s="29"/>
      <c r="D376" s="29"/>
      <c r="E376" s="29"/>
      <c r="F376" s="29"/>
      <c r="G376" s="29"/>
      <c r="H376" s="29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1:42" ht="15.75" customHeight="1" x14ac:dyDescent="0.2">
      <c r="A377"/>
      <c r="B377" s="2"/>
      <c r="C377" s="29"/>
      <c r="D377" s="29"/>
      <c r="E377" s="29"/>
      <c r="F377" s="29"/>
      <c r="G377" s="29"/>
      <c r="H377" s="29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1:42" ht="15.75" customHeight="1" x14ac:dyDescent="0.2">
      <c r="A378"/>
      <c r="B378" s="2"/>
      <c r="C378" s="29"/>
      <c r="D378" s="29"/>
      <c r="E378" s="29"/>
      <c r="F378" s="29"/>
      <c r="G378" s="29"/>
      <c r="H378" s="29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1:42" ht="15.75" customHeight="1" x14ac:dyDescent="0.2">
      <c r="A379"/>
      <c r="B379" s="2"/>
      <c r="C379" s="29"/>
      <c r="D379" s="29"/>
      <c r="E379" s="29"/>
      <c r="F379" s="29"/>
      <c r="G379" s="29"/>
      <c r="H379" s="29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1:42" ht="15.75" customHeight="1" x14ac:dyDescent="0.2">
      <c r="A380"/>
      <c r="B380" s="2"/>
      <c r="C380" s="29"/>
      <c r="D380" s="29"/>
      <c r="E380" s="29"/>
      <c r="F380" s="29"/>
      <c r="G380" s="29"/>
      <c r="H380" s="29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1:42" ht="15.75" customHeight="1" x14ac:dyDescent="0.2">
      <c r="A381"/>
      <c r="B381" s="2"/>
      <c r="C381" s="29"/>
      <c r="D381" s="29"/>
      <c r="E381" s="29"/>
      <c r="F381" s="29"/>
      <c r="G381" s="29"/>
      <c r="H381" s="29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1:42" ht="15.75" customHeight="1" x14ac:dyDescent="0.2">
      <c r="A382"/>
      <c r="B382" s="2"/>
      <c r="C382" s="29"/>
      <c r="D382" s="29"/>
      <c r="E382" s="29"/>
      <c r="F382" s="29"/>
      <c r="G382" s="29"/>
      <c r="H382" s="29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1:42" ht="15.75" customHeight="1" x14ac:dyDescent="0.2">
      <c r="A383"/>
      <c r="B383" s="2"/>
      <c r="C383" s="29"/>
      <c r="D383" s="29"/>
      <c r="E383" s="29"/>
      <c r="F383" s="29"/>
      <c r="G383" s="29"/>
      <c r="H383" s="29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1:42" ht="15.75" customHeight="1" x14ac:dyDescent="0.2">
      <c r="A384"/>
      <c r="B384" s="2"/>
      <c r="C384" s="29"/>
      <c r="D384" s="29"/>
      <c r="E384" s="29"/>
      <c r="F384" s="29"/>
      <c r="G384" s="29"/>
      <c r="H384" s="29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1:42" ht="15.75" customHeight="1" x14ac:dyDescent="0.2">
      <c r="A385"/>
      <c r="B385" s="2"/>
      <c r="C385" s="29"/>
      <c r="D385" s="29"/>
      <c r="E385" s="29"/>
      <c r="F385" s="29"/>
      <c r="G385" s="29"/>
      <c r="H385" s="29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1:42" ht="15.75" customHeight="1" x14ac:dyDescent="0.2">
      <c r="A386"/>
      <c r="B386" s="2"/>
      <c r="C386" s="29"/>
      <c r="D386" s="29"/>
      <c r="E386" s="29"/>
      <c r="F386" s="29"/>
      <c r="G386" s="29"/>
      <c r="H386" s="29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1:42" ht="15.75" customHeight="1" x14ac:dyDescent="0.2">
      <c r="A387"/>
      <c r="B387" s="2"/>
      <c r="C387" s="29"/>
      <c r="D387" s="29"/>
      <c r="E387" s="29"/>
      <c r="F387" s="29"/>
      <c r="G387" s="29"/>
      <c r="H387" s="29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1:42" ht="15.75" customHeight="1" x14ac:dyDescent="0.2">
      <c r="A388"/>
      <c r="B388" s="2"/>
      <c r="C388" s="29"/>
      <c r="D388" s="29"/>
      <c r="E388" s="29"/>
      <c r="F388" s="29"/>
      <c r="G388" s="29"/>
      <c r="H388" s="29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1:42" ht="15.75" customHeight="1" x14ac:dyDescent="0.2">
      <c r="A389"/>
      <c r="B389" s="2"/>
      <c r="C389" s="29"/>
      <c r="D389" s="29"/>
      <c r="E389" s="29"/>
      <c r="F389" s="29"/>
      <c r="G389" s="29"/>
      <c r="H389" s="29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1:42" ht="15.75" customHeight="1" x14ac:dyDescent="0.2">
      <c r="A390"/>
      <c r="B390" s="2"/>
      <c r="C390" s="29"/>
      <c r="D390" s="29"/>
      <c r="E390" s="29"/>
      <c r="F390" s="29"/>
      <c r="G390" s="29"/>
      <c r="H390" s="29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1:42" ht="15.75" customHeight="1" x14ac:dyDescent="0.2">
      <c r="A391"/>
      <c r="B391" s="2"/>
      <c r="C391" s="29"/>
      <c r="D391" s="29"/>
      <c r="E391" s="29"/>
      <c r="F391" s="29"/>
      <c r="G391" s="29"/>
      <c r="H391" s="29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1:42" ht="15.75" customHeight="1" x14ac:dyDescent="0.2">
      <c r="A392"/>
      <c r="B392" s="2"/>
      <c r="C392" s="29"/>
      <c r="D392" s="29"/>
      <c r="E392" s="29"/>
      <c r="F392" s="29"/>
      <c r="G392" s="29"/>
      <c r="H392" s="29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1:42" ht="15.75" customHeight="1" x14ac:dyDescent="0.2">
      <c r="A393"/>
      <c r="B393" s="2"/>
      <c r="C393" s="29"/>
      <c r="D393" s="29"/>
      <c r="E393" s="29"/>
      <c r="F393" s="29"/>
      <c r="G393" s="29"/>
      <c r="H393" s="29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1:42" ht="15.75" customHeight="1" x14ac:dyDescent="0.2">
      <c r="A394"/>
      <c r="B394" s="2"/>
      <c r="C394" s="29"/>
      <c r="D394" s="29"/>
      <c r="E394" s="29"/>
      <c r="F394" s="29"/>
      <c r="G394" s="29"/>
      <c r="H394" s="29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1:42" ht="15.75" customHeight="1" x14ac:dyDescent="0.2">
      <c r="A395"/>
      <c r="B395" s="2"/>
      <c r="C395" s="29"/>
      <c r="D395" s="29"/>
      <c r="E395" s="29"/>
      <c r="F395" s="29"/>
      <c r="G395" s="29"/>
      <c r="H395" s="29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1:42" ht="15.75" customHeight="1" x14ac:dyDescent="0.2">
      <c r="A396"/>
      <c r="B396" s="2"/>
      <c r="C396" s="29"/>
      <c r="D396" s="29"/>
      <c r="E396" s="29"/>
      <c r="F396" s="29"/>
      <c r="G396" s="29"/>
      <c r="H396" s="29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1:42" ht="15.75" customHeight="1" x14ac:dyDescent="0.2">
      <c r="A397"/>
      <c r="B397" s="2"/>
      <c r="C397" s="29"/>
      <c r="D397" s="29"/>
      <c r="E397" s="29"/>
      <c r="F397" s="29"/>
      <c r="G397" s="29"/>
      <c r="H397" s="29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1:42" ht="15.75" customHeight="1" x14ac:dyDescent="0.2">
      <c r="A398"/>
      <c r="B398" s="2"/>
      <c r="C398" s="29"/>
      <c r="D398" s="29"/>
      <c r="E398" s="29"/>
      <c r="F398" s="29"/>
      <c r="G398" s="29"/>
      <c r="H398" s="29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1:42" ht="15.75" customHeight="1" x14ac:dyDescent="0.2">
      <c r="A399"/>
      <c r="B399" s="2"/>
      <c r="C399" s="29"/>
      <c r="D399" s="29"/>
      <c r="E399" s="29"/>
      <c r="F399" s="29"/>
      <c r="G399" s="29"/>
      <c r="H399" s="29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1:42" ht="15.75" customHeight="1" x14ac:dyDescent="0.2">
      <c r="A400"/>
      <c r="B400" s="2"/>
      <c r="C400" s="29"/>
      <c r="D400" s="29"/>
      <c r="E400" s="29"/>
      <c r="F400" s="29"/>
      <c r="G400" s="29"/>
      <c r="H400" s="29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1:42" ht="15.75" customHeight="1" x14ac:dyDescent="0.2">
      <c r="A401"/>
      <c r="B401" s="2"/>
      <c r="C401" s="29"/>
      <c r="D401" s="29"/>
      <c r="E401" s="29"/>
      <c r="F401" s="29"/>
      <c r="G401" s="29"/>
      <c r="H401" s="29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1:42" ht="15.75" customHeight="1" x14ac:dyDescent="0.2">
      <c r="A402"/>
      <c r="B402" s="2"/>
      <c r="C402" s="29"/>
      <c r="D402" s="29"/>
      <c r="E402" s="29"/>
      <c r="F402" s="29"/>
      <c r="G402" s="29"/>
      <c r="H402" s="29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1:42" ht="15.75" customHeight="1" x14ac:dyDescent="0.2">
      <c r="A403"/>
      <c r="B403" s="2"/>
      <c r="C403" s="29"/>
      <c r="D403" s="29"/>
      <c r="E403" s="29"/>
      <c r="F403" s="29"/>
      <c r="G403" s="29"/>
      <c r="H403" s="29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1:42" ht="15.75" customHeight="1" x14ac:dyDescent="0.2">
      <c r="A404"/>
      <c r="B404" s="2"/>
      <c r="C404" s="29"/>
      <c r="D404" s="29"/>
      <c r="E404" s="29"/>
      <c r="F404" s="29"/>
      <c r="G404" s="29"/>
      <c r="H404" s="29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1:42" ht="15.75" customHeight="1" x14ac:dyDescent="0.2">
      <c r="A405"/>
      <c r="B405" s="2"/>
      <c r="C405" s="29"/>
      <c r="D405" s="29"/>
      <c r="E405" s="29"/>
      <c r="F405" s="29"/>
      <c r="G405" s="29"/>
      <c r="H405" s="29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1:42" ht="15.75" customHeight="1" x14ac:dyDescent="0.2">
      <c r="A406"/>
      <c r="B406" s="2"/>
      <c r="C406" s="29"/>
      <c r="D406" s="29"/>
      <c r="E406" s="29"/>
      <c r="F406" s="29"/>
      <c r="G406" s="29"/>
      <c r="H406" s="29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1:42" ht="15.75" customHeight="1" x14ac:dyDescent="0.2">
      <c r="A407"/>
      <c r="B407" s="2"/>
      <c r="C407" s="29"/>
      <c r="D407" s="29"/>
      <c r="E407" s="29"/>
      <c r="F407" s="29"/>
      <c r="G407" s="29"/>
      <c r="H407" s="29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1:42" ht="15.75" customHeight="1" x14ac:dyDescent="0.2">
      <c r="A408"/>
      <c r="B408" s="2"/>
      <c r="C408" s="29"/>
      <c r="D408" s="29"/>
      <c r="E408" s="29"/>
      <c r="F408" s="29"/>
      <c r="G408" s="29"/>
      <c r="H408" s="29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1:42" ht="15.75" customHeight="1" x14ac:dyDescent="0.2">
      <c r="A409"/>
      <c r="B409" s="2"/>
      <c r="C409" s="29"/>
      <c r="D409" s="29"/>
      <c r="E409" s="29"/>
      <c r="F409" s="29"/>
      <c r="G409" s="29"/>
      <c r="H409" s="29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1:42" ht="15.75" customHeight="1" x14ac:dyDescent="0.2">
      <c r="A410"/>
      <c r="B410" s="2"/>
      <c r="C410" s="29"/>
      <c r="D410" s="29"/>
      <c r="E410" s="29"/>
      <c r="F410" s="29"/>
      <c r="G410" s="29"/>
      <c r="H410" s="29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spans="1:42" ht="15.75" customHeight="1" x14ac:dyDescent="0.2">
      <c r="A411"/>
      <c r="B411" s="2"/>
      <c r="C411" s="29"/>
      <c r="D411" s="29"/>
      <c r="E411" s="29"/>
      <c r="F411" s="29"/>
      <c r="G411" s="29"/>
      <c r="H411" s="29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1:42" ht="15.75" customHeight="1" x14ac:dyDescent="0.2">
      <c r="A412"/>
      <c r="B412" s="2"/>
      <c r="C412" s="29"/>
      <c r="D412" s="29"/>
      <c r="E412" s="29"/>
      <c r="F412" s="29"/>
      <c r="G412" s="29"/>
      <c r="H412" s="29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1:42" ht="15.75" customHeight="1" x14ac:dyDescent="0.2">
      <c r="A413"/>
      <c r="B413" s="2"/>
      <c r="C413" s="29"/>
      <c r="D413" s="29"/>
      <c r="E413" s="29"/>
      <c r="F413" s="29"/>
      <c r="G413" s="29"/>
      <c r="H413" s="29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1:42" ht="15.75" customHeight="1" x14ac:dyDescent="0.2">
      <c r="A414"/>
      <c r="B414" s="2"/>
      <c r="C414" s="29"/>
      <c r="D414" s="29"/>
      <c r="E414" s="29"/>
      <c r="F414" s="29"/>
      <c r="G414" s="29"/>
      <c r="H414" s="29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1:42" ht="15.75" customHeight="1" x14ac:dyDescent="0.2">
      <c r="A415"/>
      <c r="B415" s="2"/>
      <c r="C415" s="29"/>
      <c r="D415" s="29"/>
      <c r="E415" s="29"/>
      <c r="F415" s="29"/>
      <c r="G415" s="29"/>
      <c r="H415" s="29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1:42" ht="15.75" customHeight="1" x14ac:dyDescent="0.2">
      <c r="A416"/>
      <c r="B416" s="2"/>
      <c r="C416" s="29"/>
      <c r="D416" s="29"/>
      <c r="E416" s="29"/>
      <c r="F416" s="29"/>
      <c r="G416" s="29"/>
      <c r="H416" s="29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spans="1:42" ht="15.75" customHeight="1" x14ac:dyDescent="0.2">
      <c r="A417"/>
      <c r="B417" s="2"/>
      <c r="C417" s="29"/>
      <c r="D417" s="29"/>
      <c r="E417" s="29"/>
      <c r="F417" s="29"/>
      <c r="G417" s="29"/>
      <c r="H417" s="29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1:42" ht="15.75" customHeight="1" x14ac:dyDescent="0.2">
      <c r="A418"/>
      <c r="B418" s="2"/>
      <c r="C418" s="29"/>
      <c r="D418" s="29"/>
      <c r="E418" s="29"/>
      <c r="F418" s="29"/>
      <c r="G418" s="29"/>
      <c r="H418" s="29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1:42" ht="15.75" customHeight="1" x14ac:dyDescent="0.2">
      <c r="A419"/>
      <c r="B419" s="2"/>
      <c r="C419" s="29"/>
      <c r="D419" s="29"/>
      <c r="E419" s="29"/>
      <c r="F419" s="29"/>
      <c r="G419" s="29"/>
      <c r="H419" s="29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1:42" ht="15.75" customHeight="1" x14ac:dyDescent="0.2">
      <c r="A420"/>
      <c r="B420" s="2"/>
      <c r="C420" s="29"/>
      <c r="D420" s="29"/>
      <c r="E420" s="29"/>
      <c r="F420" s="29"/>
      <c r="G420" s="29"/>
      <c r="H420" s="29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1:42" ht="15.75" customHeight="1" x14ac:dyDescent="0.2">
      <c r="A421"/>
      <c r="B421" s="2"/>
      <c r="C421" s="29"/>
      <c r="D421" s="29"/>
      <c r="E421" s="29"/>
      <c r="F421" s="29"/>
      <c r="G421" s="29"/>
      <c r="H421" s="29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1:42" ht="15.75" customHeight="1" x14ac:dyDescent="0.2">
      <c r="A422"/>
      <c r="B422" s="2"/>
      <c r="C422" s="29"/>
      <c r="D422" s="29"/>
      <c r="E422" s="29"/>
      <c r="F422" s="29"/>
      <c r="G422" s="29"/>
      <c r="H422" s="29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1:42" ht="15.75" customHeight="1" x14ac:dyDescent="0.2">
      <c r="A423"/>
      <c r="B423" s="2"/>
      <c r="C423" s="29"/>
      <c r="D423" s="29"/>
      <c r="E423" s="29"/>
      <c r="F423" s="29"/>
      <c r="G423" s="29"/>
      <c r="H423" s="29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1:42" ht="15.75" customHeight="1" x14ac:dyDescent="0.2">
      <c r="A424"/>
      <c r="B424" s="2"/>
      <c r="C424" s="29"/>
      <c r="D424" s="29"/>
      <c r="E424" s="29"/>
      <c r="F424" s="29"/>
      <c r="G424" s="29"/>
      <c r="H424" s="29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1:42" ht="15.75" customHeight="1" x14ac:dyDescent="0.2">
      <c r="A425"/>
      <c r="B425" s="2"/>
      <c r="C425" s="29"/>
      <c r="D425" s="29"/>
      <c r="E425" s="29"/>
      <c r="F425" s="29"/>
      <c r="G425" s="29"/>
      <c r="H425" s="29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1:42" ht="15.75" customHeight="1" x14ac:dyDescent="0.2">
      <c r="A426"/>
      <c r="B426" s="2"/>
      <c r="C426" s="29"/>
      <c r="D426" s="29"/>
      <c r="E426" s="29"/>
      <c r="F426" s="29"/>
      <c r="G426" s="29"/>
      <c r="H426" s="29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1:42" ht="15.75" customHeight="1" x14ac:dyDescent="0.2">
      <c r="A427"/>
      <c r="B427" s="2"/>
      <c r="C427" s="29"/>
      <c r="D427" s="29"/>
      <c r="E427" s="29"/>
      <c r="F427" s="29"/>
      <c r="G427" s="29"/>
      <c r="H427" s="29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1:42" ht="15.75" customHeight="1" x14ac:dyDescent="0.2">
      <c r="A428"/>
      <c r="B428" s="2"/>
      <c r="C428" s="29"/>
      <c r="D428" s="29"/>
      <c r="E428" s="29"/>
      <c r="F428" s="29"/>
      <c r="G428" s="29"/>
      <c r="H428" s="29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1:42" ht="15.75" customHeight="1" x14ac:dyDescent="0.2">
      <c r="A429"/>
      <c r="B429" s="2"/>
      <c r="C429" s="29"/>
      <c r="D429" s="29"/>
      <c r="E429" s="29"/>
      <c r="F429" s="29"/>
      <c r="G429" s="29"/>
      <c r="H429" s="29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1:42" ht="15.75" customHeight="1" x14ac:dyDescent="0.2">
      <c r="A430"/>
      <c r="B430" s="2"/>
      <c r="C430" s="29"/>
      <c r="D430" s="29"/>
      <c r="E430" s="29"/>
      <c r="F430" s="29"/>
      <c r="G430" s="29"/>
      <c r="H430" s="29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1:42" ht="15.75" customHeight="1" x14ac:dyDescent="0.2">
      <c r="A431"/>
      <c r="B431" s="2"/>
      <c r="C431" s="29"/>
      <c r="D431" s="29"/>
      <c r="E431" s="29"/>
      <c r="F431" s="29"/>
      <c r="G431" s="29"/>
      <c r="H431" s="29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1:42" ht="15.75" customHeight="1" x14ac:dyDescent="0.2">
      <c r="A432"/>
      <c r="B432" s="2"/>
      <c r="C432" s="29"/>
      <c r="D432" s="29"/>
      <c r="E432" s="29"/>
      <c r="F432" s="29"/>
      <c r="G432" s="29"/>
      <c r="H432" s="29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1:42" ht="15.75" customHeight="1" x14ac:dyDescent="0.2">
      <c r="A433"/>
      <c r="B433" s="2"/>
      <c r="C433" s="29"/>
      <c r="D433" s="29"/>
      <c r="E433" s="29"/>
      <c r="F433" s="29"/>
      <c r="G433" s="29"/>
      <c r="H433" s="29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1:42" ht="15.75" customHeight="1" x14ac:dyDescent="0.2">
      <c r="A434"/>
      <c r="B434" s="2"/>
      <c r="C434" s="29"/>
      <c r="D434" s="29"/>
      <c r="E434" s="29"/>
      <c r="F434" s="29"/>
      <c r="G434" s="29"/>
      <c r="H434" s="29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1:42" ht="15.75" customHeight="1" x14ac:dyDescent="0.2">
      <c r="A435"/>
      <c r="B435" s="2"/>
      <c r="C435" s="29"/>
      <c r="D435" s="29"/>
      <c r="E435" s="29"/>
      <c r="F435" s="29"/>
      <c r="G435" s="29"/>
      <c r="H435" s="29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1:42" ht="15.75" customHeight="1" x14ac:dyDescent="0.2">
      <c r="A436"/>
      <c r="B436" s="2"/>
      <c r="C436" s="29"/>
      <c r="D436" s="29"/>
      <c r="E436" s="29"/>
      <c r="F436" s="29"/>
      <c r="G436" s="29"/>
      <c r="H436" s="29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1:42" ht="15.75" customHeight="1" x14ac:dyDescent="0.2">
      <c r="A437"/>
      <c r="B437" s="2"/>
      <c r="C437" s="29"/>
      <c r="D437" s="29"/>
      <c r="E437" s="29"/>
      <c r="F437" s="29"/>
      <c r="G437" s="29"/>
      <c r="H437" s="29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spans="1:42" ht="15.75" customHeight="1" x14ac:dyDescent="0.2">
      <c r="A438"/>
      <c r="B438" s="2"/>
      <c r="C438" s="29"/>
      <c r="D438" s="29"/>
      <c r="E438" s="29"/>
      <c r="F438" s="29"/>
      <c r="G438" s="29"/>
      <c r="H438" s="29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1:42" ht="15.75" customHeight="1" x14ac:dyDescent="0.2">
      <c r="A439"/>
      <c r="B439" s="2"/>
      <c r="C439" s="29"/>
      <c r="D439" s="29"/>
      <c r="E439" s="29"/>
      <c r="F439" s="29"/>
      <c r="G439" s="29"/>
      <c r="H439" s="29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1:42" ht="15.75" customHeight="1" x14ac:dyDescent="0.2">
      <c r="A440"/>
      <c r="B440" s="2"/>
      <c r="C440" s="29"/>
      <c r="D440" s="29"/>
      <c r="E440" s="29"/>
      <c r="F440" s="29"/>
      <c r="G440" s="29"/>
      <c r="H440" s="29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1:42" ht="15.75" customHeight="1" x14ac:dyDescent="0.2">
      <c r="A441"/>
      <c r="B441" s="2"/>
      <c r="C441" s="29"/>
      <c r="D441" s="29"/>
      <c r="E441" s="29"/>
      <c r="F441" s="29"/>
      <c r="G441" s="29"/>
      <c r="H441" s="29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1:42" ht="15.75" customHeight="1" x14ac:dyDescent="0.2">
      <c r="A442"/>
      <c r="B442" s="2"/>
      <c r="C442" s="29"/>
      <c r="D442" s="29"/>
      <c r="E442" s="29"/>
      <c r="F442" s="29"/>
      <c r="G442" s="29"/>
      <c r="H442" s="29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1:42" ht="15.75" customHeight="1" x14ac:dyDescent="0.2">
      <c r="A443"/>
      <c r="B443" s="2"/>
      <c r="C443" s="29"/>
      <c r="D443" s="29"/>
      <c r="E443" s="29"/>
      <c r="F443" s="29"/>
      <c r="G443" s="29"/>
      <c r="H443" s="29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1:42" ht="15.75" customHeight="1" x14ac:dyDescent="0.2">
      <c r="A444"/>
      <c r="B444" s="2"/>
      <c r="C444" s="29"/>
      <c r="D444" s="29"/>
      <c r="E444" s="29"/>
      <c r="F444" s="29"/>
      <c r="G444" s="29"/>
      <c r="H444" s="29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1:42" ht="15.75" customHeight="1" x14ac:dyDescent="0.2">
      <c r="A445"/>
      <c r="B445" s="2"/>
      <c r="C445" s="29"/>
      <c r="D445" s="29"/>
      <c r="E445" s="29"/>
      <c r="F445" s="29"/>
      <c r="G445" s="29"/>
      <c r="H445" s="29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1:42" ht="15.75" customHeight="1" x14ac:dyDescent="0.2">
      <c r="A446"/>
      <c r="B446" s="2"/>
      <c r="C446" s="29"/>
      <c r="D446" s="29"/>
      <c r="E446" s="29"/>
      <c r="F446" s="29"/>
      <c r="G446" s="29"/>
      <c r="H446" s="29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1:42" ht="15.75" customHeight="1" x14ac:dyDescent="0.2">
      <c r="A447"/>
      <c r="B447" s="2"/>
      <c r="C447" s="29"/>
      <c r="D447" s="29"/>
      <c r="E447" s="29"/>
      <c r="F447" s="29"/>
      <c r="G447" s="29"/>
      <c r="H447" s="29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1:42" ht="15.75" customHeight="1" x14ac:dyDescent="0.2">
      <c r="A448"/>
      <c r="B448" s="2"/>
      <c r="C448" s="29"/>
      <c r="D448" s="29"/>
      <c r="E448" s="29"/>
      <c r="F448" s="29"/>
      <c r="G448" s="29"/>
      <c r="H448" s="29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1:42" ht="15.75" customHeight="1" x14ac:dyDescent="0.2">
      <c r="A449"/>
      <c r="B449" s="2"/>
      <c r="C449" s="29"/>
      <c r="D449" s="29"/>
      <c r="E449" s="29"/>
      <c r="F449" s="29"/>
      <c r="G449" s="29"/>
      <c r="H449" s="29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1:42" ht="15.75" customHeight="1" x14ac:dyDescent="0.2">
      <c r="A450"/>
      <c r="B450" s="2"/>
      <c r="C450" s="29"/>
      <c r="D450" s="29"/>
      <c r="E450" s="29"/>
      <c r="F450" s="29"/>
      <c r="G450" s="29"/>
      <c r="H450" s="29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1:42" ht="15.75" customHeight="1" x14ac:dyDescent="0.2">
      <c r="A451"/>
      <c r="B451" s="2"/>
      <c r="C451" s="29"/>
      <c r="D451" s="29"/>
      <c r="E451" s="29"/>
      <c r="F451" s="29"/>
      <c r="G451" s="29"/>
      <c r="H451" s="29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1:42" ht="15.75" customHeight="1" x14ac:dyDescent="0.2">
      <c r="A452"/>
      <c r="B452" s="2"/>
      <c r="C452" s="29"/>
      <c r="D452" s="29"/>
      <c r="E452" s="29"/>
      <c r="F452" s="29"/>
      <c r="G452" s="29"/>
      <c r="H452" s="29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1:42" ht="15.75" customHeight="1" x14ac:dyDescent="0.2">
      <c r="A453"/>
      <c r="B453" s="2"/>
      <c r="C453" s="29"/>
      <c r="D453" s="29"/>
      <c r="E453" s="29"/>
      <c r="F453" s="29"/>
      <c r="G453" s="29"/>
      <c r="H453" s="29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1:42" ht="15.75" customHeight="1" x14ac:dyDescent="0.2">
      <c r="A454"/>
      <c r="B454" s="2"/>
      <c r="C454" s="29"/>
      <c r="D454" s="29"/>
      <c r="E454" s="29"/>
      <c r="F454" s="29"/>
      <c r="G454" s="29"/>
      <c r="H454" s="29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spans="1:42" ht="15.75" customHeight="1" x14ac:dyDescent="0.2">
      <c r="A455"/>
      <c r="B455" s="2"/>
      <c r="C455" s="29"/>
      <c r="D455" s="29"/>
      <c r="E455" s="29"/>
      <c r="F455" s="29"/>
      <c r="G455" s="29"/>
      <c r="H455" s="29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spans="1:42" ht="15.75" customHeight="1" x14ac:dyDescent="0.2">
      <c r="A456"/>
      <c r="B456" s="2"/>
      <c r="C456" s="29"/>
      <c r="D456" s="29"/>
      <c r="E456" s="29"/>
      <c r="F456" s="29"/>
      <c r="G456" s="29"/>
      <c r="H456" s="29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spans="1:42" ht="15.75" customHeight="1" x14ac:dyDescent="0.2">
      <c r="A457"/>
      <c r="B457" s="2"/>
      <c r="C457" s="29"/>
      <c r="D457" s="29"/>
      <c r="E457" s="29"/>
      <c r="F457" s="29"/>
      <c r="G457" s="29"/>
      <c r="H457" s="29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1:42" ht="15.75" customHeight="1" x14ac:dyDescent="0.2">
      <c r="A458"/>
      <c r="B458" s="2"/>
      <c r="C458" s="29"/>
      <c r="D458" s="29"/>
      <c r="E458" s="29"/>
      <c r="F458" s="29"/>
      <c r="G458" s="29"/>
      <c r="H458" s="29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spans="1:42" ht="15.75" customHeight="1" x14ac:dyDescent="0.2">
      <c r="A459"/>
      <c r="B459" s="2"/>
      <c r="C459" s="29"/>
      <c r="D459" s="29"/>
      <c r="E459" s="29"/>
      <c r="F459" s="29"/>
      <c r="G459" s="29"/>
      <c r="H459" s="29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1:42" ht="15.75" customHeight="1" x14ac:dyDescent="0.2">
      <c r="A460"/>
      <c r="B460" s="2"/>
      <c r="C460" s="29"/>
      <c r="D460" s="29"/>
      <c r="E460" s="29"/>
      <c r="F460" s="29"/>
      <c r="G460" s="29"/>
      <c r="H460" s="29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1:42" ht="15.75" customHeight="1" x14ac:dyDescent="0.2">
      <c r="A461"/>
      <c r="B461" s="2"/>
      <c r="C461" s="29"/>
      <c r="D461" s="29"/>
      <c r="E461" s="29"/>
      <c r="F461" s="29"/>
      <c r="G461" s="29"/>
      <c r="H461" s="29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spans="1:42" ht="15.75" customHeight="1" x14ac:dyDescent="0.2">
      <c r="A462"/>
      <c r="B462" s="2"/>
      <c r="C462" s="29"/>
      <c r="D462" s="29"/>
      <c r="E462" s="29"/>
      <c r="F462" s="29"/>
      <c r="G462" s="29"/>
      <c r="H462" s="29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1:42" ht="15.75" customHeight="1" x14ac:dyDescent="0.2">
      <c r="A463"/>
      <c r="B463" s="2"/>
      <c r="C463" s="29"/>
      <c r="D463" s="29"/>
      <c r="E463" s="29"/>
      <c r="F463" s="29"/>
      <c r="G463" s="29"/>
      <c r="H463" s="29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1:42" ht="15.75" customHeight="1" x14ac:dyDescent="0.2">
      <c r="A464"/>
      <c r="B464" s="2"/>
      <c r="C464" s="29"/>
      <c r="D464" s="29"/>
      <c r="E464" s="29"/>
      <c r="F464" s="29"/>
      <c r="G464" s="29"/>
      <c r="H464" s="29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1:42" ht="15.75" customHeight="1" x14ac:dyDescent="0.2">
      <c r="A465"/>
      <c r="B465" s="2"/>
      <c r="C465" s="29"/>
      <c r="D465" s="29"/>
      <c r="E465" s="29"/>
      <c r="F465" s="29"/>
      <c r="G465" s="29"/>
      <c r="H465" s="29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1:42" ht="15.75" customHeight="1" x14ac:dyDescent="0.2">
      <c r="A466"/>
      <c r="B466" s="2"/>
      <c r="C466" s="29"/>
      <c r="D466" s="29"/>
      <c r="E466" s="29"/>
      <c r="F466" s="29"/>
      <c r="G466" s="29"/>
      <c r="H466" s="29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1:42" ht="15.75" customHeight="1" x14ac:dyDescent="0.2">
      <c r="A467"/>
      <c r="B467" s="2"/>
      <c r="C467" s="29"/>
      <c r="D467" s="29"/>
      <c r="E467" s="29"/>
      <c r="F467" s="29"/>
      <c r="G467" s="29"/>
      <c r="H467" s="29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1:42" ht="15.75" customHeight="1" x14ac:dyDescent="0.2">
      <c r="A468"/>
      <c r="B468" s="2"/>
      <c r="C468" s="29"/>
      <c r="D468" s="29"/>
      <c r="E468" s="29"/>
      <c r="F468" s="29"/>
      <c r="G468" s="29"/>
      <c r="H468" s="29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1:42" ht="15.75" customHeight="1" x14ac:dyDescent="0.2">
      <c r="A469"/>
      <c r="B469" s="2"/>
      <c r="C469" s="29"/>
      <c r="D469" s="29"/>
      <c r="E469" s="29"/>
      <c r="F469" s="29"/>
      <c r="G469" s="29"/>
      <c r="H469" s="29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1:42" ht="15.75" customHeight="1" x14ac:dyDescent="0.2">
      <c r="A470"/>
      <c r="B470" s="2"/>
      <c r="C470" s="29"/>
      <c r="D470" s="29"/>
      <c r="E470" s="29"/>
      <c r="F470" s="29"/>
      <c r="G470" s="29"/>
      <c r="H470" s="29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1:42" ht="15.75" customHeight="1" x14ac:dyDescent="0.2">
      <c r="A471"/>
      <c r="B471" s="2"/>
      <c r="C471" s="29"/>
      <c r="D471" s="29"/>
      <c r="E471" s="29"/>
      <c r="F471" s="29"/>
      <c r="G471" s="29"/>
      <c r="H471" s="29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1:42" ht="15.75" customHeight="1" x14ac:dyDescent="0.2">
      <c r="A472"/>
      <c r="B472" s="2"/>
      <c r="C472" s="29"/>
      <c r="D472" s="29"/>
      <c r="E472" s="29"/>
      <c r="F472" s="29"/>
      <c r="G472" s="29"/>
      <c r="H472" s="29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1:42" ht="15.75" customHeight="1" x14ac:dyDescent="0.2">
      <c r="A473"/>
      <c r="B473" s="2"/>
      <c r="C473" s="29"/>
      <c r="D473" s="29"/>
      <c r="E473" s="29"/>
      <c r="F473" s="29"/>
      <c r="G473" s="29"/>
      <c r="H473" s="29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1:42" ht="15.75" customHeight="1" x14ac:dyDescent="0.2">
      <c r="A474"/>
      <c r="B474" s="2"/>
      <c r="C474" s="29"/>
      <c r="D474" s="29"/>
      <c r="E474" s="29"/>
      <c r="F474" s="29"/>
      <c r="G474" s="29"/>
      <c r="H474" s="29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1:42" ht="15.75" customHeight="1" x14ac:dyDescent="0.2">
      <c r="A475"/>
      <c r="B475" s="2"/>
      <c r="C475" s="29"/>
      <c r="D475" s="29"/>
      <c r="E475" s="29"/>
      <c r="F475" s="29"/>
      <c r="G475" s="29"/>
      <c r="H475" s="29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spans="1:42" ht="15.75" customHeight="1" x14ac:dyDescent="0.2">
      <c r="A476"/>
      <c r="B476" s="2"/>
      <c r="C476" s="29"/>
      <c r="D476" s="29"/>
      <c r="E476" s="29"/>
      <c r="F476" s="29"/>
      <c r="G476" s="29"/>
      <c r="H476" s="29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spans="1:42" ht="15.75" customHeight="1" x14ac:dyDescent="0.2">
      <c r="A477"/>
      <c r="B477" s="2"/>
      <c r="C477" s="29"/>
      <c r="D477" s="29"/>
      <c r="E477" s="29"/>
      <c r="F477" s="29"/>
      <c r="G477" s="29"/>
      <c r="H477" s="29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1:42" ht="15.75" customHeight="1" x14ac:dyDescent="0.2">
      <c r="A478"/>
      <c r="B478" s="2"/>
      <c r="C478" s="29"/>
      <c r="D478" s="29"/>
      <c r="E478" s="29"/>
      <c r="F478" s="29"/>
      <c r="G478" s="29"/>
      <c r="H478" s="29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1:42" ht="15.75" customHeight="1" x14ac:dyDescent="0.2">
      <c r="A479"/>
      <c r="B479" s="2"/>
      <c r="C479" s="29"/>
      <c r="D479" s="29"/>
      <c r="E479" s="29"/>
      <c r="F479" s="29"/>
      <c r="G479" s="29"/>
      <c r="H479" s="29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1:42" ht="15.75" customHeight="1" x14ac:dyDescent="0.2">
      <c r="A480"/>
      <c r="B480" s="2"/>
      <c r="C480" s="29"/>
      <c r="D480" s="29"/>
      <c r="E480" s="29"/>
      <c r="F480" s="29"/>
      <c r="G480" s="29"/>
      <c r="H480" s="29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1:42" ht="15.75" customHeight="1" x14ac:dyDescent="0.2">
      <c r="A481"/>
      <c r="B481" s="2"/>
      <c r="C481" s="29"/>
      <c r="D481" s="29"/>
      <c r="E481" s="29"/>
      <c r="F481" s="29"/>
      <c r="G481" s="29"/>
      <c r="H481" s="29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spans="1:42" ht="15.75" customHeight="1" x14ac:dyDescent="0.2">
      <c r="A482"/>
      <c r="B482" s="2"/>
      <c r="C482" s="29"/>
      <c r="D482" s="29"/>
      <c r="E482" s="29"/>
      <c r="F482" s="29"/>
      <c r="G482" s="29"/>
      <c r="H482" s="29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spans="1:42" ht="15.75" customHeight="1" x14ac:dyDescent="0.2">
      <c r="A483"/>
      <c r="B483" s="2"/>
      <c r="C483" s="29"/>
      <c r="D483" s="29"/>
      <c r="E483" s="29"/>
      <c r="F483" s="29"/>
      <c r="G483" s="29"/>
      <c r="H483" s="29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1:42" ht="15.75" customHeight="1" x14ac:dyDescent="0.2">
      <c r="A484"/>
      <c r="B484" s="2"/>
      <c r="C484" s="29"/>
      <c r="D484" s="29"/>
      <c r="E484" s="29"/>
      <c r="F484" s="29"/>
      <c r="G484" s="29"/>
      <c r="H484" s="29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spans="1:42" ht="15.75" customHeight="1" x14ac:dyDescent="0.2">
      <c r="A485"/>
      <c r="B485" s="2"/>
      <c r="C485" s="29"/>
      <c r="D485" s="29"/>
      <c r="E485" s="29"/>
      <c r="F485" s="29"/>
      <c r="G485" s="29"/>
      <c r="H485" s="29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 ht="15.75" customHeight="1" x14ac:dyDescent="0.2">
      <c r="A486"/>
      <c r="B486" s="2"/>
      <c r="C486" s="29"/>
      <c r="D486" s="29"/>
      <c r="E486" s="29"/>
      <c r="F486" s="29"/>
      <c r="G486" s="29"/>
      <c r="H486" s="29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1:42" ht="15.75" customHeight="1" x14ac:dyDescent="0.2">
      <c r="A487"/>
      <c r="B487" s="2"/>
      <c r="C487" s="29"/>
      <c r="D487" s="29"/>
      <c r="E487" s="29"/>
      <c r="F487" s="29"/>
      <c r="G487" s="29"/>
      <c r="H487" s="29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1:42" ht="15.75" customHeight="1" x14ac:dyDescent="0.2">
      <c r="A488"/>
      <c r="B488" s="2"/>
      <c r="C488" s="29"/>
      <c r="D488" s="29"/>
      <c r="E488" s="29"/>
      <c r="F488" s="29"/>
      <c r="G488" s="29"/>
      <c r="H488" s="29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1:42" ht="15.75" customHeight="1" x14ac:dyDescent="0.2">
      <c r="A489"/>
      <c r="B489" s="2"/>
      <c r="C489" s="29"/>
      <c r="D489" s="29"/>
      <c r="E489" s="29"/>
      <c r="F489" s="29"/>
      <c r="G489" s="29"/>
      <c r="H489" s="29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1:42" ht="15.75" customHeight="1" x14ac:dyDescent="0.2">
      <c r="A490"/>
      <c r="B490" s="2"/>
      <c r="C490" s="29"/>
      <c r="D490" s="29"/>
      <c r="E490" s="29"/>
      <c r="F490" s="29"/>
      <c r="G490" s="29"/>
      <c r="H490" s="29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1:42" ht="15.75" customHeight="1" x14ac:dyDescent="0.2">
      <c r="A491"/>
      <c r="B491" s="2"/>
      <c r="C491" s="29"/>
      <c r="D491" s="29"/>
      <c r="E491" s="29"/>
      <c r="F491" s="29"/>
      <c r="G491" s="29"/>
      <c r="H491" s="29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1:42" ht="15.75" customHeight="1" x14ac:dyDescent="0.2">
      <c r="A492"/>
      <c r="B492" s="2"/>
      <c r="C492" s="29"/>
      <c r="D492" s="29"/>
      <c r="E492" s="29"/>
      <c r="F492" s="29"/>
      <c r="G492" s="29"/>
      <c r="H492" s="29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1:42" ht="15.75" customHeight="1" x14ac:dyDescent="0.2">
      <c r="A493"/>
      <c r="B493" s="2"/>
      <c r="C493" s="29"/>
      <c r="D493" s="29"/>
      <c r="E493" s="29"/>
      <c r="F493" s="29"/>
      <c r="G493" s="29"/>
      <c r="H493" s="29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1:42" ht="15.75" customHeight="1" x14ac:dyDescent="0.2">
      <c r="A494"/>
      <c r="B494" s="2"/>
      <c r="C494" s="29"/>
      <c r="D494" s="29"/>
      <c r="E494" s="29"/>
      <c r="F494" s="29"/>
      <c r="G494" s="29"/>
      <c r="H494" s="29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1:42" ht="15.75" customHeight="1" x14ac:dyDescent="0.2">
      <c r="A495"/>
      <c r="B495" s="2"/>
      <c r="C495" s="29"/>
      <c r="D495" s="29"/>
      <c r="E495" s="29"/>
      <c r="F495" s="29"/>
      <c r="G495" s="29"/>
      <c r="H495" s="29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 ht="15.75" customHeight="1" x14ac:dyDescent="0.2">
      <c r="A496"/>
      <c r="B496" s="2"/>
      <c r="C496" s="29"/>
      <c r="D496" s="29"/>
      <c r="E496" s="29"/>
      <c r="F496" s="29"/>
      <c r="G496" s="29"/>
      <c r="H496" s="29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1:42" ht="15.75" customHeight="1" x14ac:dyDescent="0.2">
      <c r="A497"/>
      <c r="B497" s="2"/>
      <c r="C497" s="29"/>
      <c r="D497" s="29"/>
      <c r="E497" s="29"/>
      <c r="F497" s="29"/>
      <c r="G497" s="29"/>
      <c r="H497" s="29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1:42" ht="15.75" customHeight="1" x14ac:dyDescent="0.2">
      <c r="A498"/>
      <c r="B498" s="2"/>
      <c r="C498" s="29"/>
      <c r="D498" s="29"/>
      <c r="E498" s="29"/>
      <c r="F498" s="29"/>
      <c r="G498" s="29"/>
      <c r="H498" s="29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1:42" ht="15.75" customHeight="1" x14ac:dyDescent="0.2">
      <c r="A499"/>
      <c r="B499" s="2"/>
      <c r="C499" s="29"/>
      <c r="D499" s="29"/>
      <c r="E499" s="29"/>
      <c r="F499" s="29"/>
      <c r="G499" s="29"/>
      <c r="H499" s="29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ht="15.75" customHeight="1" x14ac:dyDescent="0.2">
      <c r="A500"/>
      <c r="B500" s="2"/>
      <c r="C500" s="29"/>
      <c r="D500" s="29"/>
      <c r="E500" s="29"/>
      <c r="F500" s="29"/>
      <c r="G500" s="29"/>
      <c r="H500" s="29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 ht="15.75" customHeight="1" x14ac:dyDescent="0.2">
      <c r="A501"/>
      <c r="B501" s="2"/>
      <c r="C501" s="29"/>
      <c r="D501" s="29"/>
      <c r="E501" s="29"/>
      <c r="F501" s="29"/>
      <c r="G501" s="29"/>
      <c r="H501" s="29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1:42" ht="15.75" customHeight="1" x14ac:dyDescent="0.2">
      <c r="A502"/>
      <c r="B502" s="2"/>
      <c r="C502" s="29"/>
      <c r="D502" s="29"/>
      <c r="E502" s="29"/>
      <c r="F502" s="29"/>
      <c r="G502" s="29"/>
      <c r="H502" s="29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 ht="15.75" customHeight="1" x14ac:dyDescent="0.2">
      <c r="A503"/>
      <c r="B503" s="2"/>
      <c r="C503" s="29"/>
      <c r="D503" s="29"/>
      <c r="E503" s="29"/>
      <c r="F503" s="29"/>
      <c r="G503" s="29"/>
      <c r="H503" s="29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1:42" ht="15.75" customHeight="1" x14ac:dyDescent="0.2">
      <c r="A504"/>
      <c r="B504" s="2"/>
      <c r="C504" s="29"/>
      <c r="D504" s="29"/>
      <c r="E504" s="29"/>
      <c r="F504" s="29"/>
      <c r="G504" s="29"/>
      <c r="H504" s="29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1:42" ht="15.75" customHeight="1" x14ac:dyDescent="0.2">
      <c r="A505"/>
      <c r="B505" s="2"/>
      <c r="C505" s="29"/>
      <c r="D505" s="29"/>
      <c r="E505" s="29"/>
      <c r="F505" s="29"/>
      <c r="G505" s="29"/>
      <c r="H505" s="29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 ht="15.75" customHeight="1" x14ac:dyDescent="0.2">
      <c r="A506"/>
      <c r="B506" s="2"/>
      <c r="C506" s="29"/>
      <c r="D506" s="29"/>
      <c r="E506" s="29"/>
      <c r="F506" s="29"/>
      <c r="G506" s="29"/>
      <c r="H506" s="29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1:42" ht="15.75" customHeight="1" x14ac:dyDescent="0.2">
      <c r="A507"/>
      <c r="B507" s="2"/>
      <c r="C507" s="29"/>
      <c r="D507" s="29"/>
      <c r="E507" s="29"/>
      <c r="F507" s="29"/>
      <c r="G507" s="29"/>
      <c r="H507" s="29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1:42" ht="15.75" customHeight="1" x14ac:dyDescent="0.2">
      <c r="A508"/>
      <c r="B508" s="2"/>
      <c r="C508" s="29"/>
      <c r="D508" s="29"/>
      <c r="E508" s="29"/>
      <c r="F508" s="29"/>
      <c r="G508" s="29"/>
      <c r="H508" s="29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1:42" ht="15.75" customHeight="1" x14ac:dyDescent="0.2">
      <c r="A509"/>
      <c r="B509" s="2"/>
      <c r="C509" s="29"/>
      <c r="D509" s="29"/>
      <c r="E509" s="29"/>
      <c r="F509" s="29"/>
      <c r="G509" s="29"/>
      <c r="H509" s="29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1:42" ht="15.75" customHeight="1" x14ac:dyDescent="0.2">
      <c r="A510"/>
      <c r="B510" s="2"/>
      <c r="C510" s="29"/>
      <c r="D510" s="29"/>
      <c r="E510" s="29"/>
      <c r="F510" s="29"/>
      <c r="G510" s="29"/>
      <c r="H510" s="29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1:42" ht="15.75" customHeight="1" x14ac:dyDescent="0.2">
      <c r="A511"/>
      <c r="B511" s="2"/>
      <c r="C511" s="29"/>
      <c r="D511" s="29"/>
      <c r="E511" s="29"/>
      <c r="F511" s="29"/>
      <c r="G511" s="29"/>
      <c r="H511" s="29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1:42" ht="15.75" customHeight="1" x14ac:dyDescent="0.2">
      <c r="A512"/>
      <c r="B512" s="2"/>
      <c r="C512" s="29"/>
      <c r="D512" s="29"/>
      <c r="E512" s="29"/>
      <c r="F512" s="29"/>
      <c r="G512" s="29"/>
      <c r="H512" s="29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1:42" ht="15.75" customHeight="1" x14ac:dyDescent="0.2">
      <c r="A513"/>
      <c r="B513" s="2"/>
      <c r="C513" s="29"/>
      <c r="D513" s="29"/>
      <c r="E513" s="29"/>
      <c r="F513" s="29"/>
      <c r="G513" s="29"/>
      <c r="H513" s="29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1:42" ht="15.75" customHeight="1" x14ac:dyDescent="0.2">
      <c r="A514"/>
      <c r="B514" s="2"/>
      <c r="C514" s="29"/>
      <c r="D514" s="29"/>
      <c r="E514" s="29"/>
      <c r="F514" s="29"/>
      <c r="G514" s="29"/>
      <c r="H514" s="29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42" ht="15.75" customHeight="1" x14ac:dyDescent="0.2">
      <c r="A515"/>
      <c r="B515" s="2"/>
      <c r="C515" s="29"/>
      <c r="D515" s="29"/>
      <c r="E515" s="29"/>
      <c r="F515" s="29"/>
      <c r="G515" s="29"/>
      <c r="H515" s="29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42" ht="15.75" customHeight="1" x14ac:dyDescent="0.2">
      <c r="A516"/>
      <c r="B516" s="2"/>
      <c r="C516" s="29"/>
      <c r="D516" s="29"/>
      <c r="E516" s="29"/>
      <c r="F516" s="29"/>
      <c r="G516" s="29"/>
      <c r="H516" s="29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42" ht="15.75" customHeight="1" x14ac:dyDescent="0.2">
      <c r="A517"/>
      <c r="B517" s="2"/>
      <c r="C517" s="29"/>
      <c r="D517" s="29"/>
      <c r="E517" s="29"/>
      <c r="F517" s="29"/>
      <c r="G517" s="29"/>
      <c r="H517" s="29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42" ht="15.75" customHeight="1" x14ac:dyDescent="0.2">
      <c r="A518"/>
      <c r="B518" s="2"/>
      <c r="C518" s="29"/>
      <c r="D518" s="29"/>
      <c r="E518" s="29"/>
      <c r="F518" s="29"/>
      <c r="G518" s="29"/>
      <c r="H518" s="29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1:42" ht="15.75" customHeight="1" x14ac:dyDescent="0.2">
      <c r="A519"/>
      <c r="B519" s="2"/>
      <c r="C519" s="29"/>
      <c r="D519" s="29"/>
      <c r="E519" s="29"/>
      <c r="F519" s="29"/>
      <c r="G519" s="29"/>
      <c r="H519" s="29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42" ht="15.75" customHeight="1" x14ac:dyDescent="0.2">
      <c r="A520"/>
      <c r="B520" s="2"/>
      <c r="C520" s="29"/>
      <c r="D520" s="29"/>
      <c r="E520" s="29"/>
      <c r="F520" s="29"/>
      <c r="G520" s="29"/>
      <c r="H520" s="29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42" ht="15.75" customHeight="1" x14ac:dyDescent="0.2">
      <c r="A521"/>
      <c r="B521" s="2"/>
      <c r="C521" s="29"/>
      <c r="D521" s="29"/>
      <c r="E521" s="29"/>
      <c r="F521" s="29"/>
      <c r="G521" s="29"/>
      <c r="H521" s="29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42" ht="15.75" customHeight="1" x14ac:dyDescent="0.2">
      <c r="A522"/>
      <c r="B522" s="2"/>
      <c r="C522" s="29"/>
      <c r="D522" s="29"/>
      <c r="E522" s="29"/>
      <c r="F522" s="29"/>
      <c r="G522" s="29"/>
      <c r="H522" s="29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42" ht="15.75" customHeight="1" x14ac:dyDescent="0.2">
      <c r="A523"/>
      <c r="B523" s="2"/>
      <c r="C523" s="29"/>
      <c r="D523" s="29"/>
      <c r="E523" s="29"/>
      <c r="F523" s="29"/>
      <c r="G523" s="29"/>
      <c r="H523" s="29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42" ht="15.75" customHeight="1" x14ac:dyDescent="0.2">
      <c r="A524"/>
      <c r="B524" s="2"/>
      <c r="C524" s="29"/>
      <c r="D524" s="29"/>
      <c r="E524" s="29"/>
      <c r="F524" s="29"/>
      <c r="G524" s="29"/>
      <c r="H524" s="29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42" ht="15.75" customHeight="1" x14ac:dyDescent="0.2">
      <c r="A525"/>
      <c r="B525" s="2"/>
      <c r="C525" s="29"/>
      <c r="D525" s="29"/>
      <c r="E525" s="29"/>
      <c r="F525" s="29"/>
      <c r="G525" s="29"/>
      <c r="H525" s="29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42" ht="15.75" customHeight="1" x14ac:dyDescent="0.2">
      <c r="A526"/>
      <c r="B526" s="2"/>
      <c r="C526" s="29"/>
      <c r="D526" s="29"/>
      <c r="E526" s="29"/>
      <c r="F526" s="29"/>
      <c r="G526" s="29"/>
      <c r="H526" s="29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42" ht="15.75" customHeight="1" x14ac:dyDescent="0.2">
      <c r="A527"/>
      <c r="B527" s="2"/>
      <c r="C527" s="29"/>
      <c r="D527" s="29"/>
      <c r="E527" s="29"/>
      <c r="F527" s="29"/>
      <c r="G527" s="29"/>
      <c r="H527" s="29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42" ht="15.75" customHeight="1" x14ac:dyDescent="0.2">
      <c r="A528"/>
      <c r="B528" s="2"/>
      <c r="C528" s="29"/>
      <c r="D528" s="29"/>
      <c r="E528" s="29"/>
      <c r="F528" s="29"/>
      <c r="G528" s="29"/>
      <c r="H528" s="29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ht="15.75" customHeight="1" x14ac:dyDescent="0.2">
      <c r="A529"/>
      <c r="B529" s="2"/>
      <c r="C529" s="29"/>
      <c r="D529" s="29"/>
      <c r="E529" s="29"/>
      <c r="F529" s="29"/>
      <c r="G529" s="29"/>
      <c r="H529" s="29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ht="15.75" customHeight="1" x14ac:dyDescent="0.2">
      <c r="A530"/>
      <c r="B530" s="2"/>
      <c r="C530" s="29"/>
      <c r="D530" s="29"/>
      <c r="E530" s="29"/>
      <c r="F530" s="29"/>
      <c r="G530" s="29"/>
      <c r="H530" s="29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ht="15.75" customHeight="1" x14ac:dyDescent="0.2">
      <c r="A531"/>
      <c r="B531" s="2"/>
      <c r="C531" s="29"/>
      <c r="D531" s="29"/>
      <c r="E531" s="29"/>
      <c r="F531" s="29"/>
      <c r="G531" s="29"/>
      <c r="H531" s="29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ht="15.75" customHeight="1" x14ac:dyDescent="0.2">
      <c r="A532"/>
      <c r="B532" s="2"/>
      <c r="C532" s="29"/>
      <c r="D532" s="29"/>
      <c r="E532" s="29"/>
      <c r="F532" s="29"/>
      <c r="G532" s="29"/>
      <c r="H532" s="29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ht="15.75" customHeight="1" x14ac:dyDescent="0.2">
      <c r="A533"/>
      <c r="B533" s="2"/>
      <c r="C533" s="29"/>
      <c r="D533" s="29"/>
      <c r="E533" s="29"/>
      <c r="F533" s="29"/>
      <c r="G533" s="29"/>
      <c r="H533" s="29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ht="15.75" customHeight="1" x14ac:dyDescent="0.2">
      <c r="A534"/>
      <c r="B534" s="2"/>
      <c r="C534" s="29"/>
      <c r="D534" s="29"/>
      <c r="E534" s="29"/>
      <c r="F534" s="29"/>
      <c r="G534" s="29"/>
      <c r="H534" s="29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ht="15.75" customHeight="1" x14ac:dyDescent="0.2">
      <c r="A535"/>
      <c r="B535" s="2"/>
      <c r="C535" s="29"/>
      <c r="D535" s="29"/>
      <c r="E535" s="29"/>
      <c r="F535" s="29"/>
      <c r="G535" s="29"/>
      <c r="H535" s="29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ht="15.75" customHeight="1" x14ac:dyDescent="0.2">
      <c r="A536"/>
      <c r="B536" s="2"/>
      <c r="C536" s="29"/>
      <c r="D536" s="29"/>
      <c r="E536" s="29"/>
      <c r="F536" s="29"/>
      <c r="G536" s="29"/>
      <c r="H536" s="29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ht="15.75" customHeight="1" x14ac:dyDescent="0.2">
      <c r="A537"/>
      <c r="B537" s="2"/>
      <c r="C537" s="29"/>
      <c r="D537" s="29"/>
      <c r="E537" s="29"/>
      <c r="F537" s="29"/>
      <c r="G537" s="29"/>
      <c r="H537" s="29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ht="15.75" customHeight="1" x14ac:dyDescent="0.2">
      <c r="A538"/>
      <c r="B538" s="2"/>
      <c r="C538" s="29"/>
      <c r="D538" s="29"/>
      <c r="E538" s="29"/>
      <c r="F538" s="29"/>
      <c r="G538" s="29"/>
      <c r="H538" s="29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ht="15.75" customHeight="1" x14ac:dyDescent="0.2">
      <c r="A539"/>
      <c r="B539" s="2"/>
      <c r="C539" s="29"/>
      <c r="D539" s="29"/>
      <c r="E539" s="29"/>
      <c r="F539" s="29"/>
      <c r="G539" s="29"/>
      <c r="H539" s="29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ht="15.75" customHeight="1" x14ac:dyDescent="0.2">
      <c r="A540"/>
      <c r="B540" s="2"/>
      <c r="C540" s="29"/>
      <c r="D540" s="29"/>
      <c r="E540" s="29"/>
      <c r="F540" s="29"/>
      <c r="G540" s="29"/>
      <c r="H540" s="29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ht="15.75" customHeight="1" x14ac:dyDescent="0.2">
      <c r="A541"/>
      <c r="B541" s="2"/>
      <c r="C541" s="29"/>
      <c r="D541" s="29"/>
      <c r="E541" s="29"/>
      <c r="F541" s="29"/>
      <c r="G541" s="29"/>
      <c r="H541" s="29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ht="15.75" customHeight="1" x14ac:dyDescent="0.2">
      <c r="A542"/>
      <c r="B542" s="2"/>
      <c r="C542" s="29"/>
      <c r="D542" s="29"/>
      <c r="E542" s="29"/>
      <c r="F542" s="29"/>
      <c r="G542" s="29"/>
      <c r="H542" s="29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ht="15.75" customHeight="1" x14ac:dyDescent="0.2">
      <c r="A543"/>
      <c r="B543" s="2"/>
      <c r="C543" s="29"/>
      <c r="D543" s="29"/>
      <c r="E543" s="29"/>
      <c r="F543" s="29"/>
      <c r="G543" s="29"/>
      <c r="H543" s="29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ht="15.75" customHeight="1" x14ac:dyDescent="0.2">
      <c r="A544"/>
      <c r="B544" s="2"/>
      <c r="C544" s="29"/>
      <c r="D544" s="29"/>
      <c r="E544" s="29"/>
      <c r="F544" s="29"/>
      <c r="G544" s="29"/>
      <c r="H544" s="29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ht="15.75" customHeight="1" x14ac:dyDescent="0.2">
      <c r="A545"/>
      <c r="B545" s="2"/>
      <c r="C545" s="29"/>
      <c r="D545" s="29"/>
      <c r="E545" s="29"/>
      <c r="F545" s="29"/>
      <c r="G545" s="29"/>
      <c r="H545" s="29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ht="15.75" customHeight="1" x14ac:dyDescent="0.2">
      <c r="A546"/>
      <c r="B546" s="2"/>
      <c r="C546" s="29"/>
      <c r="D546" s="29"/>
      <c r="E546" s="29"/>
      <c r="F546" s="29"/>
      <c r="G546" s="29"/>
      <c r="H546" s="29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ht="15.75" customHeight="1" x14ac:dyDescent="0.2">
      <c r="A547"/>
      <c r="B547" s="2"/>
      <c r="C547" s="29"/>
      <c r="D547" s="29"/>
      <c r="E547" s="29"/>
      <c r="F547" s="29"/>
      <c r="G547" s="29"/>
      <c r="H547" s="29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ht="15.75" customHeight="1" x14ac:dyDescent="0.2">
      <c r="A548"/>
      <c r="B548" s="2"/>
      <c r="C548" s="29"/>
      <c r="D548" s="29"/>
      <c r="E548" s="29"/>
      <c r="F548" s="29"/>
      <c r="G548" s="29"/>
      <c r="H548" s="29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ht="15.75" customHeight="1" x14ac:dyDescent="0.2">
      <c r="A549"/>
      <c r="B549" s="2"/>
      <c r="C549" s="29"/>
      <c r="D549" s="29"/>
      <c r="E549" s="29"/>
      <c r="F549" s="29"/>
      <c r="G549" s="29"/>
      <c r="H549" s="29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ht="15.75" customHeight="1" x14ac:dyDescent="0.2">
      <c r="A550"/>
      <c r="B550" s="2"/>
      <c r="C550" s="29"/>
      <c r="D550" s="29"/>
      <c r="E550" s="29"/>
      <c r="F550" s="29"/>
      <c r="G550" s="29"/>
      <c r="H550" s="29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ht="15.75" customHeight="1" x14ac:dyDescent="0.2">
      <c r="A551"/>
      <c r="B551" s="2"/>
      <c r="C551" s="29"/>
      <c r="D551" s="29"/>
      <c r="E551" s="29"/>
      <c r="F551" s="29"/>
      <c r="G551" s="29"/>
      <c r="H551" s="29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ht="15.75" customHeight="1" x14ac:dyDescent="0.2">
      <c r="A552"/>
      <c r="B552" s="2"/>
      <c r="C552" s="29"/>
      <c r="D552" s="29"/>
      <c r="E552" s="29"/>
      <c r="F552" s="29"/>
      <c r="G552" s="29"/>
      <c r="H552" s="29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ht="15.75" customHeight="1" x14ac:dyDescent="0.2">
      <c r="A553"/>
      <c r="B553" s="2"/>
      <c r="C553" s="29"/>
      <c r="D553" s="29"/>
      <c r="E553" s="29"/>
      <c r="F553" s="29"/>
      <c r="G553" s="29"/>
      <c r="H553" s="29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ht="15.75" customHeight="1" x14ac:dyDescent="0.2">
      <c r="A554"/>
      <c r="B554" s="2"/>
      <c r="C554" s="29"/>
      <c r="D554" s="29"/>
      <c r="E554" s="29"/>
      <c r="F554" s="29"/>
      <c r="G554" s="29"/>
      <c r="H554" s="29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ht="15.75" customHeight="1" x14ac:dyDescent="0.2">
      <c r="A555"/>
      <c r="B555" s="2"/>
      <c r="C555" s="29"/>
      <c r="D555" s="29"/>
      <c r="E555" s="29"/>
      <c r="F555" s="29"/>
      <c r="G555" s="29"/>
      <c r="H555" s="29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ht="15.75" customHeight="1" x14ac:dyDescent="0.2">
      <c r="A556"/>
      <c r="B556" s="2"/>
      <c r="C556" s="29"/>
      <c r="D556" s="29"/>
      <c r="E556" s="29"/>
      <c r="F556" s="29"/>
      <c r="G556" s="29"/>
      <c r="H556" s="29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ht="15.75" customHeight="1" x14ac:dyDescent="0.2">
      <c r="A557"/>
      <c r="B557" s="2"/>
      <c r="C557" s="29"/>
      <c r="D557" s="29"/>
      <c r="E557" s="29"/>
      <c r="F557" s="29"/>
      <c r="G557" s="29"/>
      <c r="H557" s="29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ht="15.75" customHeight="1" x14ac:dyDescent="0.2">
      <c r="A558"/>
      <c r="B558" s="2"/>
      <c r="C558" s="29"/>
      <c r="D558" s="29"/>
      <c r="E558" s="29"/>
      <c r="F558" s="29"/>
      <c r="G558" s="29"/>
      <c r="H558" s="29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ht="15.75" customHeight="1" x14ac:dyDescent="0.2">
      <c r="A559"/>
      <c r="B559" s="2"/>
      <c r="C559" s="29"/>
      <c r="D559" s="29"/>
      <c r="E559" s="29"/>
      <c r="F559" s="29"/>
      <c r="G559" s="29"/>
      <c r="H559" s="29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ht="15.75" customHeight="1" x14ac:dyDescent="0.2">
      <c r="A560"/>
      <c r="B560" s="2"/>
      <c r="C560" s="29"/>
      <c r="D560" s="29"/>
      <c r="E560" s="29"/>
      <c r="F560" s="29"/>
      <c r="G560" s="29"/>
      <c r="H560" s="29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ht="15.75" customHeight="1" x14ac:dyDescent="0.2">
      <c r="A561"/>
      <c r="B561" s="2"/>
      <c r="C561" s="29"/>
      <c r="D561" s="29"/>
      <c r="E561" s="29"/>
      <c r="F561" s="29"/>
      <c r="G561" s="29"/>
      <c r="H561" s="29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ht="15.75" customHeight="1" x14ac:dyDescent="0.2">
      <c r="A562"/>
      <c r="B562" s="2"/>
      <c r="C562" s="29"/>
      <c r="D562" s="29"/>
      <c r="E562" s="29"/>
      <c r="F562" s="29"/>
      <c r="G562" s="29"/>
      <c r="H562" s="29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ht="15.75" customHeight="1" x14ac:dyDescent="0.2">
      <c r="A563"/>
      <c r="B563" s="2"/>
      <c r="C563" s="29"/>
      <c r="D563" s="29"/>
      <c r="E563" s="29"/>
      <c r="F563" s="29"/>
      <c r="G563" s="29"/>
      <c r="H563" s="29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ht="15.75" customHeight="1" x14ac:dyDescent="0.2">
      <c r="A564"/>
      <c r="B564" s="2"/>
      <c r="C564" s="29"/>
      <c r="D564" s="29"/>
      <c r="E564" s="29"/>
      <c r="F564" s="29"/>
      <c r="G564" s="29"/>
      <c r="H564" s="29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ht="15.75" customHeight="1" x14ac:dyDescent="0.2">
      <c r="A565"/>
      <c r="B565" s="2"/>
      <c r="C565" s="29"/>
      <c r="D565" s="29"/>
      <c r="E565" s="29"/>
      <c r="F565" s="29"/>
      <c r="G565" s="29"/>
      <c r="H565" s="29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ht="15.75" customHeight="1" x14ac:dyDescent="0.2">
      <c r="A566"/>
      <c r="B566" s="2"/>
      <c r="C566" s="29"/>
      <c r="D566" s="29"/>
      <c r="E566" s="29"/>
      <c r="F566" s="29"/>
      <c r="G566" s="29"/>
      <c r="H566" s="29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ht="15.75" customHeight="1" x14ac:dyDescent="0.2">
      <c r="A567"/>
      <c r="B567" s="2"/>
      <c r="C567" s="29"/>
      <c r="D567" s="29"/>
      <c r="E567" s="29"/>
      <c r="F567" s="29"/>
      <c r="G567" s="29"/>
      <c r="H567" s="29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ht="15.75" customHeight="1" x14ac:dyDescent="0.2">
      <c r="A568"/>
      <c r="B568" s="2"/>
      <c r="C568" s="29"/>
      <c r="D568" s="29"/>
      <c r="E568" s="29"/>
      <c r="F568" s="29"/>
      <c r="G568" s="29"/>
      <c r="H568" s="29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ht="15.75" customHeight="1" x14ac:dyDescent="0.2">
      <c r="A569"/>
      <c r="B569" s="2"/>
      <c r="C569" s="29"/>
      <c r="D569" s="29"/>
      <c r="E569" s="29"/>
      <c r="F569" s="29"/>
      <c r="G569" s="29"/>
      <c r="H569" s="29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ht="15.75" customHeight="1" x14ac:dyDescent="0.2">
      <c r="A570"/>
      <c r="B570" s="2"/>
      <c r="C570" s="29"/>
      <c r="D570" s="29"/>
      <c r="E570" s="29"/>
      <c r="F570" s="29"/>
      <c r="G570" s="29"/>
      <c r="H570" s="29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ht="15.75" customHeight="1" x14ac:dyDescent="0.2">
      <c r="A571"/>
      <c r="B571" s="2"/>
      <c r="C571" s="29"/>
      <c r="D571" s="29"/>
      <c r="E571" s="29"/>
      <c r="F571" s="29"/>
      <c r="G571" s="29"/>
      <c r="H571" s="29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ht="15.75" customHeight="1" x14ac:dyDescent="0.2">
      <c r="A572"/>
      <c r="B572" s="2"/>
      <c r="C572" s="29"/>
      <c r="D572" s="29"/>
      <c r="E572" s="29"/>
      <c r="F572" s="29"/>
      <c r="G572" s="29"/>
      <c r="H572" s="29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ht="15.75" customHeight="1" x14ac:dyDescent="0.2">
      <c r="A573"/>
      <c r="B573" s="2"/>
      <c r="C573" s="29"/>
      <c r="D573" s="29"/>
      <c r="E573" s="29"/>
      <c r="F573" s="29"/>
      <c r="G573" s="29"/>
      <c r="H573" s="29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ht="15.75" customHeight="1" x14ac:dyDescent="0.2">
      <c r="A574"/>
      <c r="B574" s="2"/>
      <c r="C574" s="29"/>
      <c r="D574" s="29"/>
      <c r="E574" s="29"/>
      <c r="F574" s="29"/>
      <c r="G574" s="29"/>
      <c r="H574" s="29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ht="15.75" customHeight="1" x14ac:dyDescent="0.2">
      <c r="A575"/>
      <c r="B575" s="2"/>
      <c r="C575" s="29"/>
      <c r="D575" s="29"/>
      <c r="E575" s="29"/>
      <c r="F575" s="29"/>
      <c r="G575" s="29"/>
      <c r="H575" s="29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ht="15.75" customHeight="1" x14ac:dyDescent="0.2">
      <c r="A576"/>
      <c r="B576" s="2"/>
      <c r="C576" s="29"/>
      <c r="D576" s="29"/>
      <c r="E576" s="29"/>
      <c r="F576" s="29"/>
      <c r="G576" s="29"/>
      <c r="H576" s="29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ht="15.75" customHeight="1" x14ac:dyDescent="0.2">
      <c r="A577"/>
      <c r="B577" s="2"/>
      <c r="C577" s="29"/>
      <c r="D577" s="29"/>
      <c r="E577" s="29"/>
      <c r="F577" s="29"/>
      <c r="G577" s="29"/>
      <c r="H577" s="29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ht="15.75" customHeight="1" x14ac:dyDescent="0.2">
      <c r="A578"/>
      <c r="B578" s="2"/>
      <c r="C578" s="29"/>
      <c r="D578" s="29"/>
      <c r="E578" s="29"/>
      <c r="F578" s="29"/>
      <c r="G578" s="29"/>
      <c r="H578" s="29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ht="15.75" customHeight="1" x14ac:dyDescent="0.2">
      <c r="A579"/>
      <c r="B579" s="2"/>
      <c r="C579" s="29"/>
      <c r="D579" s="29"/>
      <c r="E579" s="29"/>
      <c r="F579" s="29"/>
      <c r="G579" s="29"/>
      <c r="H579" s="29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ht="15.75" customHeight="1" x14ac:dyDescent="0.2">
      <c r="A580"/>
      <c r="B580" s="2"/>
      <c r="C580" s="29"/>
      <c r="D580" s="29"/>
      <c r="E580" s="29"/>
      <c r="F580" s="29"/>
      <c r="G580" s="29"/>
      <c r="H580" s="29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ht="15.75" customHeight="1" x14ac:dyDescent="0.2">
      <c r="A581"/>
      <c r="B581" s="2"/>
      <c r="C581" s="29"/>
      <c r="D581" s="29"/>
      <c r="E581" s="29"/>
      <c r="F581" s="29"/>
      <c r="G581" s="29"/>
      <c r="H581" s="29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ht="15.75" customHeight="1" x14ac:dyDescent="0.2">
      <c r="A582"/>
      <c r="B582" s="2"/>
      <c r="C582" s="29"/>
      <c r="D582" s="29"/>
      <c r="E582" s="29"/>
      <c r="F582" s="29"/>
      <c r="G582" s="29"/>
      <c r="H582" s="29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ht="15.75" customHeight="1" x14ac:dyDescent="0.2">
      <c r="A583"/>
      <c r="B583" s="2"/>
      <c r="C583" s="29"/>
      <c r="D583" s="29"/>
      <c r="E583" s="29"/>
      <c r="F583" s="29"/>
      <c r="G583" s="29"/>
      <c r="H583" s="29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ht="15.75" customHeight="1" x14ac:dyDescent="0.2">
      <c r="A584"/>
      <c r="B584" s="2"/>
      <c r="C584" s="29"/>
      <c r="D584" s="29"/>
      <c r="E584" s="29"/>
      <c r="F584" s="29"/>
      <c r="G584" s="29"/>
      <c r="H584" s="29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ht="15.75" customHeight="1" x14ac:dyDescent="0.2">
      <c r="A585"/>
      <c r="B585" s="2"/>
      <c r="C585" s="29"/>
      <c r="D585" s="29"/>
      <c r="E585" s="29"/>
      <c r="F585" s="29"/>
      <c r="G585" s="29"/>
      <c r="H585" s="29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ht="15.75" customHeight="1" x14ac:dyDescent="0.2">
      <c r="A586"/>
      <c r="B586" s="2"/>
      <c r="C586" s="29"/>
      <c r="D586" s="29"/>
      <c r="E586" s="29"/>
      <c r="F586" s="29"/>
      <c r="G586" s="29"/>
      <c r="H586" s="29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ht="15.75" customHeight="1" x14ac:dyDescent="0.2">
      <c r="A587"/>
      <c r="B587" s="2"/>
      <c r="C587" s="29"/>
      <c r="D587" s="29"/>
      <c r="E587" s="29"/>
      <c r="F587" s="29"/>
      <c r="G587" s="29"/>
      <c r="H587" s="29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ht="15.75" customHeight="1" x14ac:dyDescent="0.2">
      <c r="A588"/>
      <c r="B588" s="2"/>
      <c r="C588" s="29"/>
      <c r="D588" s="29"/>
      <c r="E588" s="29"/>
      <c r="F588" s="29"/>
      <c r="G588" s="29"/>
      <c r="H588" s="29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ht="15.75" customHeight="1" x14ac:dyDescent="0.2">
      <c r="A589"/>
      <c r="B589" s="2"/>
      <c r="C589" s="29"/>
      <c r="D589" s="29"/>
      <c r="E589" s="29"/>
      <c r="F589" s="29"/>
      <c r="G589" s="29"/>
      <c r="H589" s="29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ht="15.75" customHeight="1" x14ac:dyDescent="0.2">
      <c r="A590"/>
      <c r="B590" s="2"/>
      <c r="C590" s="29"/>
      <c r="D590" s="29"/>
      <c r="E590" s="29"/>
      <c r="F590" s="29"/>
      <c r="G590" s="29"/>
      <c r="H590" s="29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ht="15.75" customHeight="1" x14ac:dyDescent="0.2">
      <c r="A591"/>
      <c r="B591" s="2"/>
      <c r="C591" s="29"/>
      <c r="D591" s="29"/>
      <c r="E591" s="29"/>
      <c r="F591" s="29"/>
      <c r="G591" s="29"/>
      <c r="H591" s="29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ht="15.75" customHeight="1" x14ac:dyDescent="0.2">
      <c r="A592"/>
      <c r="B592" s="2"/>
      <c r="C592" s="29"/>
      <c r="D592" s="29"/>
      <c r="E592" s="29"/>
      <c r="F592" s="29"/>
      <c r="G592" s="29"/>
      <c r="H592" s="29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ht="15.75" customHeight="1" x14ac:dyDescent="0.2">
      <c r="A593"/>
      <c r="B593" s="2"/>
      <c r="C593" s="29"/>
      <c r="D593" s="29"/>
      <c r="E593" s="29"/>
      <c r="F593" s="29"/>
      <c r="G593" s="29"/>
      <c r="H593" s="29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ht="15.75" customHeight="1" x14ac:dyDescent="0.2">
      <c r="A594"/>
      <c r="B594" s="2"/>
      <c r="C594" s="29"/>
      <c r="D594" s="29"/>
      <c r="E594" s="29"/>
      <c r="F594" s="29"/>
      <c r="G594" s="29"/>
      <c r="H594" s="29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ht="15.75" customHeight="1" x14ac:dyDescent="0.2">
      <c r="A595"/>
      <c r="B595" s="2"/>
      <c r="C595" s="29"/>
      <c r="D595" s="29"/>
      <c r="E595" s="29"/>
      <c r="F595" s="29"/>
      <c r="G595" s="29"/>
      <c r="H595" s="29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ht="15.75" customHeight="1" x14ac:dyDescent="0.2">
      <c r="A596"/>
      <c r="B596" s="2"/>
      <c r="C596" s="29"/>
      <c r="D596" s="29"/>
      <c r="E596" s="29"/>
      <c r="F596" s="29"/>
      <c r="G596" s="29"/>
      <c r="H596" s="29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ht="15.75" customHeight="1" x14ac:dyDescent="0.2">
      <c r="A597"/>
      <c r="B597" s="2"/>
      <c r="C597" s="29"/>
      <c r="D597" s="29"/>
      <c r="E597" s="29"/>
      <c r="F597" s="29"/>
      <c r="G597" s="29"/>
      <c r="H597" s="29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ht="15.75" customHeight="1" x14ac:dyDescent="0.2">
      <c r="A598"/>
      <c r="B598" s="2"/>
      <c r="C598" s="29"/>
      <c r="D598" s="29"/>
      <c r="E598" s="29"/>
      <c r="F598" s="29"/>
      <c r="G598" s="29"/>
      <c r="H598" s="29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ht="15.75" customHeight="1" x14ac:dyDescent="0.2">
      <c r="A599"/>
      <c r="B599" s="2"/>
      <c r="C599" s="29"/>
      <c r="D599" s="29"/>
      <c r="E599" s="29"/>
      <c r="F599" s="29"/>
      <c r="G599" s="29"/>
      <c r="H599" s="29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ht="15.75" customHeight="1" x14ac:dyDescent="0.2">
      <c r="A600"/>
      <c r="B600" s="2"/>
      <c r="C600" s="29"/>
      <c r="D600" s="29"/>
      <c r="E600" s="29"/>
      <c r="F600" s="29"/>
      <c r="G600" s="29"/>
      <c r="H600" s="29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ht="15.75" customHeight="1" x14ac:dyDescent="0.2">
      <c r="A601"/>
      <c r="B601" s="2"/>
      <c r="C601" s="29"/>
      <c r="D601" s="29"/>
      <c r="E601" s="29"/>
      <c r="F601" s="29"/>
      <c r="G601" s="29"/>
      <c r="H601" s="29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ht="15.75" customHeight="1" x14ac:dyDescent="0.2">
      <c r="A602"/>
      <c r="B602" s="2"/>
      <c r="C602" s="29"/>
      <c r="D602" s="29"/>
      <c r="E602" s="29"/>
      <c r="F602" s="29"/>
      <c r="G602" s="29"/>
      <c r="H602" s="29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ht="15.75" customHeight="1" x14ac:dyDescent="0.2">
      <c r="A603"/>
      <c r="B603" s="2"/>
      <c r="C603" s="29"/>
      <c r="D603" s="29"/>
      <c r="E603" s="29"/>
      <c r="F603" s="29"/>
      <c r="G603" s="29"/>
      <c r="H603" s="29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ht="15.75" customHeight="1" x14ac:dyDescent="0.2">
      <c r="A604"/>
      <c r="B604" s="2"/>
      <c r="C604" s="29"/>
      <c r="D604" s="29"/>
      <c r="E604" s="29"/>
      <c r="F604" s="29"/>
      <c r="G604" s="29"/>
      <c r="H604" s="29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ht="15.75" customHeight="1" x14ac:dyDescent="0.2">
      <c r="A605"/>
      <c r="B605" s="2"/>
      <c r="C605" s="29"/>
      <c r="D605" s="29"/>
      <c r="E605" s="29"/>
      <c r="F605" s="29"/>
      <c r="G605" s="29"/>
      <c r="H605" s="29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ht="15.75" customHeight="1" x14ac:dyDescent="0.2">
      <c r="A606"/>
      <c r="B606" s="2"/>
      <c r="C606" s="29"/>
      <c r="D606" s="29"/>
      <c r="E606" s="29"/>
      <c r="F606" s="29"/>
      <c r="G606" s="29"/>
      <c r="H606" s="29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ht="15.75" customHeight="1" x14ac:dyDescent="0.2">
      <c r="A607"/>
      <c r="B607" s="2"/>
      <c r="C607" s="29"/>
      <c r="D607" s="29"/>
      <c r="E607" s="29"/>
      <c r="F607" s="29"/>
      <c r="G607" s="29"/>
      <c r="H607" s="29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ht="15.75" customHeight="1" x14ac:dyDescent="0.2">
      <c r="A608"/>
      <c r="B608" s="2"/>
      <c r="C608" s="29"/>
      <c r="D608" s="29"/>
      <c r="E608" s="29"/>
      <c r="F608" s="29"/>
      <c r="G608" s="29"/>
      <c r="H608" s="29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ht="15.75" customHeight="1" x14ac:dyDescent="0.2">
      <c r="A609"/>
      <c r="B609" s="2"/>
      <c r="C609" s="29"/>
      <c r="D609" s="29"/>
      <c r="E609" s="29"/>
      <c r="F609" s="29"/>
      <c r="G609" s="29"/>
      <c r="H609" s="29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ht="15.75" customHeight="1" x14ac:dyDescent="0.2">
      <c r="A610"/>
      <c r="B610" s="2"/>
      <c r="C610" s="29"/>
      <c r="D610" s="29"/>
      <c r="E610" s="29"/>
      <c r="F610" s="29"/>
      <c r="G610" s="29"/>
      <c r="H610" s="29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ht="15.75" customHeight="1" x14ac:dyDescent="0.2">
      <c r="A611"/>
      <c r="B611" s="2"/>
      <c r="C611" s="29"/>
      <c r="D611" s="29"/>
      <c r="E611" s="29"/>
      <c r="F611" s="29"/>
      <c r="G611" s="29"/>
      <c r="H611" s="29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ht="15.75" customHeight="1" x14ac:dyDescent="0.2">
      <c r="A612"/>
      <c r="B612" s="2"/>
      <c r="C612" s="29"/>
      <c r="D612" s="29"/>
      <c r="E612" s="29"/>
      <c r="F612" s="29"/>
      <c r="G612" s="29"/>
      <c r="H612" s="29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ht="15.75" customHeight="1" x14ac:dyDescent="0.2">
      <c r="A613"/>
      <c r="B613" s="2"/>
      <c r="C613" s="29"/>
      <c r="D613" s="29"/>
      <c r="E613" s="29"/>
      <c r="F613" s="29"/>
      <c r="G613" s="29"/>
      <c r="H613" s="29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ht="15.75" customHeight="1" x14ac:dyDescent="0.2">
      <c r="A614"/>
      <c r="B614" s="2"/>
      <c r="C614" s="29"/>
      <c r="D614" s="29"/>
      <c r="E614" s="29"/>
      <c r="F614" s="29"/>
      <c r="G614" s="29"/>
      <c r="H614" s="29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ht="15.75" customHeight="1" x14ac:dyDescent="0.2">
      <c r="A615"/>
      <c r="B615" s="2"/>
      <c r="C615" s="29"/>
      <c r="D615" s="29"/>
      <c r="E615" s="29"/>
      <c r="F615" s="29"/>
      <c r="G615" s="29"/>
      <c r="H615" s="29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ht="15.75" customHeight="1" x14ac:dyDescent="0.2">
      <c r="A616"/>
      <c r="B616" s="2"/>
      <c r="C616" s="29"/>
      <c r="D616" s="29"/>
      <c r="E616" s="29"/>
      <c r="F616" s="29"/>
      <c r="G616" s="29"/>
      <c r="H616" s="29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ht="15.75" customHeight="1" x14ac:dyDescent="0.2">
      <c r="A617"/>
      <c r="B617" s="2"/>
      <c r="C617" s="29"/>
      <c r="D617" s="29"/>
      <c r="E617" s="29"/>
      <c r="F617" s="29"/>
      <c r="G617" s="29"/>
      <c r="H617" s="29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ht="15.75" customHeight="1" x14ac:dyDescent="0.2">
      <c r="A618"/>
      <c r="B618" s="2"/>
      <c r="C618" s="29"/>
      <c r="D618" s="29"/>
      <c r="E618" s="29"/>
      <c r="F618" s="29"/>
      <c r="G618" s="29"/>
      <c r="H618" s="29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ht="15.75" customHeight="1" x14ac:dyDescent="0.2">
      <c r="A619"/>
      <c r="B619" s="2"/>
      <c r="C619" s="29"/>
      <c r="D619" s="29"/>
      <c r="E619" s="29"/>
      <c r="F619" s="29"/>
      <c r="G619" s="29"/>
      <c r="H619" s="29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ht="15.75" customHeight="1" x14ac:dyDescent="0.2">
      <c r="A620"/>
      <c r="B620" s="2"/>
      <c r="C620" s="29"/>
      <c r="D620" s="29"/>
      <c r="E620" s="29"/>
      <c r="F620" s="29"/>
      <c r="G620" s="29"/>
      <c r="H620" s="29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ht="15.75" customHeight="1" x14ac:dyDescent="0.2">
      <c r="A621"/>
      <c r="B621" s="2"/>
      <c r="C621" s="29"/>
      <c r="D621" s="29"/>
      <c r="E621" s="29"/>
      <c r="F621" s="29"/>
      <c r="G621" s="29"/>
      <c r="H621" s="29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ht="15.75" customHeight="1" x14ac:dyDescent="0.2">
      <c r="A622"/>
      <c r="B622" s="2"/>
      <c r="C622" s="29"/>
      <c r="D622" s="29"/>
      <c r="E622" s="29"/>
      <c r="F622" s="29"/>
      <c r="G622" s="29"/>
      <c r="H622" s="29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ht="15.75" customHeight="1" x14ac:dyDescent="0.2">
      <c r="A623"/>
      <c r="B623" s="2"/>
      <c r="C623" s="29"/>
      <c r="D623" s="29"/>
      <c r="E623" s="29"/>
      <c r="F623" s="29"/>
      <c r="G623" s="29"/>
      <c r="H623" s="29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ht="15.75" customHeight="1" x14ac:dyDescent="0.2">
      <c r="A624"/>
      <c r="B624" s="2"/>
      <c r="C624" s="29"/>
      <c r="D624" s="29"/>
      <c r="E624" s="29"/>
      <c r="F624" s="29"/>
      <c r="G624" s="29"/>
      <c r="H624" s="29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ht="15.75" customHeight="1" x14ac:dyDescent="0.2">
      <c r="A625"/>
      <c r="B625" s="2"/>
      <c r="C625" s="29"/>
      <c r="D625" s="29"/>
      <c r="E625" s="29"/>
      <c r="F625" s="29"/>
      <c r="G625" s="29"/>
      <c r="H625" s="29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ht="15.75" customHeight="1" x14ac:dyDescent="0.2">
      <c r="A626"/>
      <c r="B626" s="2"/>
      <c r="C626" s="29"/>
      <c r="D626" s="29"/>
      <c r="E626" s="29"/>
      <c r="F626" s="29"/>
      <c r="G626" s="29"/>
      <c r="H626" s="29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ht="15.75" customHeight="1" x14ac:dyDescent="0.2">
      <c r="A627"/>
      <c r="B627" s="2"/>
      <c r="C627" s="29"/>
      <c r="D627" s="29"/>
      <c r="E627" s="29"/>
      <c r="F627" s="29"/>
      <c r="G627" s="29"/>
      <c r="H627" s="29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ht="15.75" customHeight="1" x14ac:dyDescent="0.2">
      <c r="A628"/>
      <c r="B628" s="2"/>
      <c r="C628" s="29"/>
      <c r="D628" s="29"/>
      <c r="E628" s="29"/>
      <c r="F628" s="29"/>
      <c r="G628" s="29"/>
      <c r="H628" s="29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ht="15.75" customHeight="1" x14ac:dyDescent="0.2">
      <c r="A629"/>
      <c r="B629" s="2"/>
      <c r="C629" s="29"/>
      <c r="D629" s="29"/>
      <c r="E629" s="29"/>
      <c r="F629" s="29"/>
      <c r="G629" s="29"/>
      <c r="H629" s="29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ht="15.75" customHeight="1" x14ac:dyDescent="0.2">
      <c r="A630"/>
      <c r="B630" s="2"/>
      <c r="C630" s="29"/>
      <c r="D630" s="29"/>
      <c r="E630" s="29"/>
      <c r="F630" s="29"/>
      <c r="G630" s="29"/>
      <c r="H630" s="29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ht="15.75" customHeight="1" x14ac:dyDescent="0.2">
      <c r="A631"/>
      <c r="B631" s="2"/>
      <c r="C631" s="29"/>
      <c r="D631" s="29"/>
      <c r="E631" s="29"/>
      <c r="F631" s="29"/>
      <c r="G631" s="29"/>
      <c r="H631" s="29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ht="15.75" customHeight="1" x14ac:dyDescent="0.2">
      <c r="A632"/>
      <c r="B632" s="2"/>
      <c r="C632" s="29"/>
      <c r="D632" s="29"/>
      <c r="E632" s="29"/>
      <c r="F632" s="29"/>
      <c r="G632" s="29"/>
      <c r="H632" s="29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ht="15.75" customHeight="1" x14ac:dyDescent="0.2">
      <c r="A633"/>
      <c r="B633" s="2"/>
      <c r="C633" s="29"/>
      <c r="D633" s="29"/>
      <c r="E633" s="29"/>
      <c r="F633" s="29"/>
      <c r="G633" s="29"/>
      <c r="H633" s="29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ht="15.75" customHeight="1" x14ac:dyDescent="0.2">
      <c r="A634"/>
      <c r="B634" s="2"/>
      <c r="C634" s="29"/>
      <c r="D634" s="29"/>
      <c r="E634" s="29"/>
      <c r="F634" s="29"/>
      <c r="G634" s="29"/>
      <c r="H634" s="29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ht="15.75" customHeight="1" x14ac:dyDescent="0.2">
      <c r="A635"/>
      <c r="B635" s="2"/>
      <c r="C635" s="29"/>
      <c r="D635" s="29"/>
      <c r="E635" s="29"/>
      <c r="F635" s="29"/>
      <c r="G635" s="29"/>
      <c r="H635" s="29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ht="15.75" customHeight="1" x14ac:dyDescent="0.2">
      <c r="A636"/>
      <c r="B636" s="2"/>
      <c r="C636" s="29"/>
      <c r="D636" s="29"/>
      <c r="E636" s="29"/>
      <c r="F636" s="29"/>
      <c r="G636" s="29"/>
      <c r="H636" s="29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ht="15.75" customHeight="1" x14ac:dyDescent="0.2">
      <c r="A637"/>
      <c r="B637" s="2"/>
      <c r="C637" s="29"/>
      <c r="D637" s="29"/>
      <c r="E637" s="29"/>
      <c r="F637" s="29"/>
      <c r="G637" s="29"/>
      <c r="H637" s="29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ht="15.75" customHeight="1" x14ac:dyDescent="0.2">
      <c r="A638"/>
      <c r="B638" s="2"/>
      <c r="C638" s="29"/>
      <c r="D638" s="29"/>
      <c r="E638" s="29"/>
      <c r="F638" s="29"/>
      <c r="G638" s="29"/>
      <c r="H638" s="29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ht="15.75" customHeight="1" x14ac:dyDescent="0.2">
      <c r="A639"/>
      <c r="B639" s="2"/>
      <c r="C639" s="29"/>
      <c r="D639" s="29"/>
      <c r="E639" s="29"/>
      <c r="F639" s="29"/>
      <c r="G639" s="29"/>
      <c r="H639" s="29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ht="15.75" customHeight="1" x14ac:dyDescent="0.2">
      <c r="A640"/>
      <c r="B640" s="2"/>
      <c r="C640" s="29"/>
      <c r="D640" s="29"/>
      <c r="E640" s="29"/>
      <c r="F640" s="29"/>
      <c r="G640" s="29"/>
      <c r="H640" s="29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ht="15.75" customHeight="1" x14ac:dyDescent="0.2">
      <c r="A641"/>
      <c r="B641" s="2"/>
      <c r="C641" s="29"/>
      <c r="D641" s="29"/>
      <c r="E641" s="29"/>
      <c r="F641" s="29"/>
      <c r="G641" s="29"/>
      <c r="H641" s="29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ht="15.75" customHeight="1" x14ac:dyDescent="0.2">
      <c r="A642"/>
      <c r="B642" s="2"/>
      <c r="C642" s="29"/>
      <c r="D642" s="29"/>
      <c r="E642" s="29"/>
      <c r="F642" s="29"/>
      <c r="G642" s="29"/>
      <c r="H642" s="29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ht="15.75" customHeight="1" x14ac:dyDescent="0.2">
      <c r="A643"/>
    </row>
    <row r="644" spans="1:42" ht="15.75" customHeight="1" x14ac:dyDescent="0.2">
      <c r="A644"/>
    </row>
    <row r="645" spans="1:42" ht="15.75" customHeight="1" x14ac:dyDescent="0.2">
      <c r="A645"/>
    </row>
    <row r="646" spans="1:42" ht="15.75" customHeight="1" x14ac:dyDescent="0.2">
      <c r="A646"/>
    </row>
    <row r="647" spans="1:42" ht="15.75" customHeight="1" x14ac:dyDescent="0.2">
      <c r="A647"/>
      <c r="C647"/>
      <c r="D647"/>
      <c r="E647"/>
      <c r="F647"/>
      <c r="G647"/>
      <c r="H647"/>
    </row>
    <row r="648" spans="1:42" ht="15.75" customHeight="1" x14ac:dyDescent="0.2">
      <c r="A648"/>
      <c r="C648"/>
      <c r="D648"/>
      <c r="E648"/>
      <c r="F648"/>
      <c r="G648"/>
      <c r="H648"/>
    </row>
    <row r="649" spans="1:42" ht="15.75" customHeight="1" x14ac:dyDescent="0.2">
      <c r="A649"/>
      <c r="C649"/>
      <c r="D649"/>
      <c r="E649"/>
      <c r="F649"/>
      <c r="G649"/>
      <c r="H649"/>
    </row>
    <row r="650" spans="1:42" ht="15.75" customHeight="1" x14ac:dyDescent="0.2">
      <c r="A650"/>
      <c r="C650"/>
      <c r="D650"/>
      <c r="E650"/>
      <c r="F650"/>
      <c r="G650"/>
      <c r="H650"/>
    </row>
    <row r="651" spans="1:42" ht="15.75" customHeight="1" x14ac:dyDescent="0.2">
      <c r="A651"/>
      <c r="C651"/>
      <c r="D651"/>
      <c r="E651"/>
      <c r="F651"/>
      <c r="G651"/>
      <c r="H651"/>
    </row>
    <row r="652" spans="1:42" ht="15.75" customHeight="1" x14ac:dyDescent="0.2">
      <c r="A652"/>
      <c r="C652"/>
      <c r="D652"/>
      <c r="E652"/>
      <c r="F652"/>
      <c r="G652"/>
      <c r="H652"/>
    </row>
    <row r="653" spans="1:42" ht="15.75" customHeight="1" x14ac:dyDescent="0.2">
      <c r="A653"/>
      <c r="C653"/>
      <c r="D653"/>
      <c r="E653"/>
      <c r="F653"/>
      <c r="G653"/>
      <c r="H653"/>
    </row>
    <row r="654" spans="1:42" ht="15.75" customHeight="1" x14ac:dyDescent="0.2">
      <c r="A654"/>
      <c r="C654"/>
      <c r="D654"/>
      <c r="E654"/>
      <c r="F654"/>
      <c r="G654"/>
      <c r="H654"/>
    </row>
    <row r="655" spans="1:42" ht="15.75" customHeight="1" x14ac:dyDescent="0.2">
      <c r="A655"/>
      <c r="C655"/>
      <c r="D655"/>
      <c r="E655"/>
      <c r="F655"/>
      <c r="G655"/>
      <c r="H655"/>
    </row>
    <row r="656" spans="1:42" ht="15.75" customHeight="1" x14ac:dyDescent="0.2">
      <c r="A656"/>
      <c r="C656"/>
      <c r="D656"/>
      <c r="E656"/>
      <c r="F656"/>
      <c r="G656"/>
      <c r="H656"/>
    </row>
    <row r="657" customFormat="1" ht="15.75" customHeight="1" x14ac:dyDescent="0.2"/>
    <row r="658" customFormat="1" ht="15.75" customHeight="1" x14ac:dyDescent="0.2"/>
    <row r="659" customFormat="1" ht="15.75" customHeight="1" x14ac:dyDescent="0.2"/>
    <row r="660" customFormat="1" ht="15.75" customHeight="1" x14ac:dyDescent="0.2"/>
    <row r="661" customFormat="1" ht="15.75" customHeight="1" x14ac:dyDescent="0.2"/>
    <row r="662" customFormat="1" ht="15.75" customHeight="1" x14ac:dyDescent="0.2"/>
    <row r="663" customFormat="1" ht="15.75" customHeight="1" x14ac:dyDescent="0.2"/>
    <row r="664" customFormat="1" ht="15.75" customHeight="1" x14ac:dyDescent="0.2"/>
    <row r="665" customFormat="1" ht="15.75" customHeight="1" x14ac:dyDescent="0.2"/>
    <row r="666" customFormat="1" ht="15.75" customHeight="1" x14ac:dyDescent="0.2"/>
    <row r="667" customFormat="1" ht="15.75" customHeight="1" x14ac:dyDescent="0.2"/>
    <row r="668" customFormat="1" ht="15.75" customHeight="1" x14ac:dyDescent="0.2"/>
    <row r="669" customFormat="1" ht="15.75" customHeight="1" x14ac:dyDescent="0.2"/>
    <row r="670" customFormat="1" ht="15.75" customHeight="1" x14ac:dyDescent="0.2"/>
    <row r="671" customFormat="1" ht="15.75" customHeight="1" x14ac:dyDescent="0.2"/>
    <row r="672" customFormat="1" ht="15.75" customHeight="1" x14ac:dyDescent="0.2"/>
    <row r="673" customFormat="1" ht="15.75" customHeight="1" x14ac:dyDescent="0.2"/>
    <row r="674" customFormat="1" ht="15.75" customHeight="1" x14ac:dyDescent="0.2"/>
    <row r="675" customFormat="1" ht="15.75" customHeight="1" x14ac:dyDescent="0.2"/>
    <row r="676" customFormat="1" ht="15.75" customHeight="1" x14ac:dyDescent="0.2"/>
    <row r="677" customFormat="1" ht="15.75" customHeight="1" x14ac:dyDescent="0.2"/>
    <row r="678" customFormat="1" ht="15.75" customHeight="1" x14ac:dyDescent="0.2"/>
    <row r="679" customFormat="1" ht="15.75" customHeight="1" x14ac:dyDescent="0.2"/>
    <row r="680" customFormat="1" ht="15.75" customHeight="1" x14ac:dyDescent="0.2"/>
    <row r="681" customFormat="1" ht="15.75" customHeight="1" x14ac:dyDescent="0.2"/>
    <row r="682" customFormat="1" ht="15.75" customHeight="1" x14ac:dyDescent="0.2"/>
    <row r="683" customFormat="1" ht="15.75" customHeight="1" x14ac:dyDescent="0.2"/>
    <row r="684" customFormat="1" ht="15.75" customHeight="1" x14ac:dyDescent="0.2"/>
    <row r="685" customFormat="1" ht="15.75" customHeight="1" x14ac:dyDescent="0.2"/>
    <row r="686" customFormat="1" ht="15.75" customHeight="1" x14ac:dyDescent="0.2"/>
    <row r="687" customFormat="1" ht="15.75" customHeight="1" x14ac:dyDescent="0.2"/>
    <row r="688" customFormat="1" ht="15.75" customHeight="1" x14ac:dyDescent="0.2"/>
    <row r="689" customFormat="1" ht="15.75" customHeight="1" x14ac:dyDescent="0.2"/>
    <row r="690" customFormat="1" ht="15.75" customHeight="1" x14ac:dyDescent="0.2"/>
    <row r="691" customFormat="1" ht="15.75" customHeight="1" x14ac:dyDescent="0.2"/>
    <row r="692" customFormat="1" ht="15.75" customHeight="1" x14ac:dyDescent="0.2"/>
    <row r="693" customFormat="1" ht="15.75" customHeight="1" x14ac:dyDescent="0.2"/>
    <row r="694" customFormat="1" ht="15.75" customHeight="1" x14ac:dyDescent="0.2"/>
    <row r="695" customFormat="1" ht="15.75" customHeight="1" x14ac:dyDescent="0.2"/>
    <row r="696" customFormat="1" ht="15.75" customHeight="1" x14ac:dyDescent="0.2"/>
    <row r="697" customFormat="1" ht="15.75" customHeight="1" x14ac:dyDescent="0.2"/>
    <row r="698" customFormat="1" ht="15.75" customHeight="1" x14ac:dyDescent="0.2"/>
    <row r="699" customFormat="1" ht="15.75" customHeight="1" x14ac:dyDescent="0.2"/>
    <row r="700" customFormat="1" ht="15.75" customHeight="1" x14ac:dyDescent="0.2"/>
    <row r="701" customFormat="1" ht="15.75" customHeight="1" x14ac:dyDescent="0.2"/>
    <row r="702" customFormat="1" ht="15.75" customHeight="1" x14ac:dyDescent="0.2"/>
    <row r="703" customFormat="1" ht="15.75" customHeight="1" x14ac:dyDescent="0.2"/>
    <row r="704" customFormat="1" ht="15.75" customHeight="1" x14ac:dyDescent="0.2"/>
    <row r="705" customFormat="1" ht="15.75" customHeight="1" x14ac:dyDescent="0.2"/>
    <row r="706" customFormat="1" ht="15.75" customHeight="1" x14ac:dyDescent="0.2"/>
    <row r="707" customFormat="1" ht="15.75" customHeight="1" x14ac:dyDescent="0.2"/>
    <row r="708" customFormat="1" ht="15.75" customHeight="1" x14ac:dyDescent="0.2"/>
    <row r="709" customFormat="1" ht="15.75" customHeight="1" x14ac:dyDescent="0.2"/>
    <row r="710" customFormat="1" ht="15.75" customHeight="1" x14ac:dyDescent="0.2"/>
    <row r="711" customFormat="1" ht="15.75" customHeight="1" x14ac:dyDescent="0.2"/>
    <row r="712" customFormat="1" ht="15.75" customHeight="1" x14ac:dyDescent="0.2"/>
    <row r="713" customFormat="1" ht="15.75" customHeight="1" x14ac:dyDescent="0.2"/>
    <row r="714" customFormat="1" ht="15.75" customHeight="1" x14ac:dyDescent="0.2"/>
    <row r="715" customFormat="1" ht="15.75" customHeight="1" x14ac:dyDescent="0.2"/>
    <row r="716" customFormat="1" ht="15.75" customHeight="1" x14ac:dyDescent="0.2"/>
    <row r="717" customFormat="1" ht="15.75" customHeight="1" x14ac:dyDescent="0.2"/>
    <row r="718" customFormat="1" ht="15.75" customHeight="1" x14ac:dyDescent="0.2"/>
    <row r="719" customFormat="1" ht="15.75" customHeight="1" x14ac:dyDescent="0.2"/>
    <row r="720" customFormat="1" ht="15.75" customHeight="1" x14ac:dyDescent="0.2"/>
    <row r="721" customFormat="1" ht="15.75" customHeight="1" x14ac:dyDescent="0.2"/>
    <row r="722" customFormat="1" ht="15.75" customHeight="1" x14ac:dyDescent="0.2"/>
    <row r="723" customFormat="1" ht="15.75" customHeight="1" x14ac:dyDescent="0.2"/>
    <row r="724" customFormat="1" ht="15.75" customHeight="1" x14ac:dyDescent="0.2"/>
    <row r="725" customFormat="1" ht="15.75" customHeight="1" x14ac:dyDescent="0.2"/>
    <row r="726" customFormat="1" ht="15.75" customHeight="1" x14ac:dyDescent="0.2"/>
    <row r="727" customFormat="1" ht="15.75" customHeight="1" x14ac:dyDescent="0.2"/>
    <row r="728" customFormat="1" ht="15.75" customHeight="1" x14ac:dyDescent="0.2"/>
    <row r="729" customFormat="1" ht="15.75" customHeight="1" x14ac:dyDescent="0.2"/>
    <row r="730" customFormat="1" ht="15.75" customHeight="1" x14ac:dyDescent="0.2"/>
    <row r="731" customFormat="1" ht="15.75" customHeight="1" x14ac:dyDescent="0.2"/>
    <row r="732" customFormat="1" ht="15.75" customHeight="1" x14ac:dyDescent="0.2"/>
    <row r="733" customFormat="1" ht="15.75" customHeight="1" x14ac:dyDescent="0.2"/>
    <row r="734" customFormat="1" ht="15.75" customHeight="1" x14ac:dyDescent="0.2"/>
    <row r="735" customFormat="1" ht="15.75" customHeight="1" x14ac:dyDescent="0.2"/>
    <row r="736" customFormat="1" ht="15.75" customHeight="1" x14ac:dyDescent="0.2"/>
    <row r="737" customFormat="1" ht="15.75" customHeight="1" x14ac:dyDescent="0.2"/>
    <row r="738" customFormat="1" ht="15.75" customHeight="1" x14ac:dyDescent="0.2"/>
    <row r="739" customFormat="1" ht="15.75" customHeight="1" x14ac:dyDescent="0.2"/>
    <row r="740" customFormat="1" ht="15.75" customHeight="1" x14ac:dyDescent="0.2"/>
    <row r="741" customFormat="1" ht="15.75" customHeight="1" x14ac:dyDescent="0.2"/>
    <row r="742" customFormat="1" ht="15.75" customHeight="1" x14ac:dyDescent="0.2"/>
    <row r="743" customFormat="1" ht="15.75" customHeight="1" x14ac:dyDescent="0.2"/>
    <row r="744" customFormat="1" ht="15.75" customHeight="1" x14ac:dyDescent="0.2"/>
    <row r="745" customFormat="1" ht="15.75" customHeight="1" x14ac:dyDescent="0.2"/>
    <row r="746" customFormat="1" ht="15.75" customHeight="1" x14ac:dyDescent="0.2"/>
  </sheetData>
  <mergeCells count="4">
    <mergeCell ref="A2:H2"/>
    <mergeCell ref="A3:H3"/>
    <mergeCell ref="I38:T38"/>
    <mergeCell ref="I41:P41"/>
  </mergeCells>
  <pageMargins left="1.2204724409448819" right="0.15748031496062992" top="0.15748031496062992" bottom="0.15748031496062992" header="0.15748031496062992" footer="0.15748031496062992"/>
  <pageSetup paperSize="9" scale="7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U41"/>
  <sheetViews>
    <sheetView topLeftCell="A16" zoomScaleNormal="100" workbookViewId="0">
      <selection activeCell="P3" sqref="P3"/>
    </sheetView>
  </sheetViews>
  <sheetFormatPr defaultRowHeight="15" x14ac:dyDescent="0.25"/>
  <cols>
    <col min="1" max="1" width="21.140625" style="435" customWidth="1"/>
    <col min="2" max="2" width="10.28515625" style="435" customWidth="1"/>
    <col min="3" max="4" width="10.42578125" style="435" customWidth="1"/>
    <col min="5" max="5" width="9.7109375" style="435" customWidth="1"/>
    <col min="6" max="6" width="9.42578125" style="435" customWidth="1"/>
    <col min="7" max="7" width="9.85546875" style="435" customWidth="1"/>
    <col min="8" max="8" width="10.28515625" style="435" customWidth="1"/>
    <col min="9" max="9" width="9.7109375" style="435" customWidth="1"/>
    <col min="10" max="10" width="9.85546875" style="435" customWidth="1"/>
    <col min="11" max="11" width="10.42578125" style="435" customWidth="1"/>
    <col min="12" max="12" width="9" style="435" customWidth="1"/>
    <col min="13" max="13" width="9.85546875" style="435" customWidth="1"/>
    <col min="14" max="14" width="10.7109375" style="435" customWidth="1"/>
    <col min="15" max="15" width="9.7109375" style="435" customWidth="1"/>
    <col min="16" max="16" width="11.28515625" style="435" customWidth="1"/>
    <col min="17" max="16384" width="9.140625" style="435"/>
  </cols>
  <sheetData>
    <row r="1" spans="1:20" ht="15.75" x14ac:dyDescent="0.25">
      <c r="A1" s="904" t="s">
        <v>724</v>
      </c>
      <c r="B1" s="904"/>
      <c r="C1" s="904"/>
      <c r="D1" s="904"/>
      <c r="E1" s="904"/>
      <c r="F1" s="904"/>
      <c r="G1" s="904"/>
      <c r="H1" s="904"/>
      <c r="I1" s="904"/>
      <c r="J1" s="904"/>
      <c r="K1" s="904"/>
      <c r="L1" s="904"/>
      <c r="M1" s="904"/>
      <c r="N1" s="904"/>
      <c r="O1" s="904"/>
      <c r="P1" s="904"/>
    </row>
    <row r="2" spans="1:20" x14ac:dyDescent="0.25">
      <c r="A2" s="436"/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84" t="s">
        <v>813</v>
      </c>
    </row>
    <row r="3" spans="1:20" ht="15" customHeight="1" x14ac:dyDescent="0.25">
      <c r="A3" s="437" t="s">
        <v>725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</row>
    <row r="4" spans="1:20" x14ac:dyDescent="0.25">
      <c r="A4" s="437" t="s">
        <v>726</v>
      </c>
    </row>
    <row r="5" spans="1:20" x14ac:dyDescent="0.25">
      <c r="A5" s="437" t="s">
        <v>727</v>
      </c>
    </row>
    <row r="6" spans="1:20" x14ac:dyDescent="0.25">
      <c r="A6" s="437" t="s">
        <v>728</v>
      </c>
    </row>
    <row r="7" spans="1:20" ht="15.75" thickBot="1" x14ac:dyDescent="0.3"/>
    <row r="8" spans="1:20" x14ac:dyDescent="0.25">
      <c r="A8" s="905" t="s">
        <v>729</v>
      </c>
      <c r="B8" s="907" t="s">
        <v>730</v>
      </c>
      <c r="C8" s="908"/>
      <c r="D8" s="909"/>
      <c r="E8" s="907" t="s">
        <v>731</v>
      </c>
      <c r="F8" s="908"/>
      <c r="G8" s="909"/>
      <c r="H8" s="907" t="s">
        <v>732</v>
      </c>
      <c r="I8" s="908"/>
      <c r="J8" s="909"/>
      <c r="K8" s="907" t="s">
        <v>733</v>
      </c>
      <c r="L8" s="908"/>
      <c r="M8" s="909"/>
      <c r="N8" s="910" t="s">
        <v>47</v>
      </c>
      <c r="O8" s="910"/>
      <c r="P8" s="911"/>
      <c r="Q8" s="437"/>
      <c r="R8" s="437"/>
      <c r="S8" s="437"/>
    </row>
    <row r="9" spans="1:20" ht="15.75" thickBot="1" x14ac:dyDescent="0.3">
      <c r="A9" s="906"/>
      <c r="B9" s="439" t="s">
        <v>734</v>
      </c>
      <c r="C9" s="439" t="s">
        <v>735</v>
      </c>
      <c r="D9" s="439" t="s">
        <v>736</v>
      </c>
      <c r="E9" s="439" t="s">
        <v>734</v>
      </c>
      <c r="F9" s="439" t="s">
        <v>735</v>
      </c>
      <c r="G9" s="439" t="s">
        <v>736</v>
      </c>
      <c r="H9" s="439" t="s">
        <v>734</v>
      </c>
      <c r="I9" s="439" t="s">
        <v>735</v>
      </c>
      <c r="J9" s="439" t="s">
        <v>736</v>
      </c>
      <c r="K9" s="439" t="s">
        <v>734</v>
      </c>
      <c r="L9" s="439" t="s">
        <v>735</v>
      </c>
      <c r="M9" s="439" t="s">
        <v>736</v>
      </c>
      <c r="N9" s="439" t="s">
        <v>734</v>
      </c>
      <c r="O9" s="439" t="s">
        <v>735</v>
      </c>
      <c r="P9" s="440" t="s">
        <v>736</v>
      </c>
    </row>
    <row r="10" spans="1:20" x14ac:dyDescent="0.25">
      <c r="A10" s="441" t="s">
        <v>737</v>
      </c>
      <c r="B10" s="442">
        <v>3472866</v>
      </c>
      <c r="C10" s="442">
        <v>937674</v>
      </c>
      <c r="D10" s="442">
        <f>SUM(B10:C10)</f>
        <v>4410540</v>
      </c>
      <c r="E10" s="442">
        <v>7725555</v>
      </c>
      <c r="F10" s="442">
        <v>2085900</v>
      </c>
      <c r="G10" s="442">
        <f>SUM(E10:F10)</f>
        <v>9811455</v>
      </c>
      <c r="H10" s="442">
        <v>52964743</v>
      </c>
      <c r="I10" s="442">
        <v>14300481</v>
      </c>
      <c r="J10" s="442">
        <f>SUM(H10:I10)</f>
        <v>67265224</v>
      </c>
      <c r="K10" s="442">
        <v>32800000</v>
      </c>
      <c r="L10" s="442">
        <v>8856000</v>
      </c>
      <c r="M10" s="442">
        <f>SUM(K10:L10)</f>
        <v>41656000</v>
      </c>
      <c r="N10" s="442">
        <f>SUM(K10+H10+E10+B10)</f>
        <v>96963164</v>
      </c>
      <c r="O10" s="442">
        <f>SUM(L10+I10+F10+C10)</f>
        <v>26180055</v>
      </c>
      <c r="P10" s="442">
        <f>SUM(M10+J10+G10+D10)</f>
        <v>123143219</v>
      </c>
      <c r="Q10" s="443"/>
      <c r="R10" s="443"/>
      <c r="S10" s="443"/>
      <c r="T10" s="443"/>
    </row>
    <row r="11" spans="1:20" x14ac:dyDescent="0.25">
      <c r="A11" s="441" t="s">
        <v>737</v>
      </c>
      <c r="B11" s="444">
        <v>430635392</v>
      </c>
      <c r="C11" s="444">
        <v>116271555</v>
      </c>
      <c r="D11" s="444">
        <f t="shared" ref="D11:D25" si="0">SUM(B11:C11)</f>
        <v>546906947</v>
      </c>
      <c r="E11" s="444">
        <v>3282500</v>
      </c>
      <c r="F11" s="444">
        <v>886275</v>
      </c>
      <c r="G11" s="444">
        <f t="shared" ref="G11:G25" si="1">SUM(E11:F11)</f>
        <v>4168775</v>
      </c>
      <c r="H11" s="444">
        <v>11795100</v>
      </c>
      <c r="I11" s="444">
        <v>3184676</v>
      </c>
      <c r="J11" s="444">
        <f t="shared" ref="J11:J25" si="2">SUM(H11:I11)</f>
        <v>14979776</v>
      </c>
      <c r="K11" s="444">
        <v>45872441</v>
      </c>
      <c r="L11" s="444">
        <v>12385559</v>
      </c>
      <c r="M11" s="444">
        <f t="shared" ref="M11:M25" si="3">SUM(K11:L11)</f>
        <v>58258000</v>
      </c>
      <c r="N11" s="444">
        <f t="shared" ref="N11:N25" si="4">SUM(K11+H11+E11+B11)</f>
        <v>491585433</v>
      </c>
      <c r="O11" s="444">
        <f t="shared" ref="O11:O25" si="5">SUM(L11+I11+F11+C11)</f>
        <v>132728065</v>
      </c>
      <c r="P11" s="444">
        <f t="shared" ref="P11:P25" si="6">SUM(M11+J11+G11+D11)</f>
        <v>624313498</v>
      </c>
      <c r="Q11" s="443"/>
      <c r="R11" s="443"/>
      <c r="S11" s="443"/>
      <c r="T11" s="443"/>
    </row>
    <row r="12" spans="1:20" x14ac:dyDescent="0.25">
      <c r="A12" s="441" t="s">
        <v>737</v>
      </c>
      <c r="B12" s="444">
        <v>13891465</v>
      </c>
      <c r="C12" s="444">
        <v>3750695</v>
      </c>
      <c r="D12" s="444">
        <f t="shared" si="0"/>
        <v>17642160</v>
      </c>
      <c r="E12" s="444">
        <v>56551000</v>
      </c>
      <c r="F12" s="444">
        <v>15268770</v>
      </c>
      <c r="G12" s="444">
        <f t="shared" si="1"/>
        <v>71819770</v>
      </c>
      <c r="H12" s="444">
        <v>9500000</v>
      </c>
      <c r="I12" s="444">
        <v>2565000</v>
      </c>
      <c r="J12" s="444">
        <f t="shared" si="2"/>
        <v>12065000</v>
      </c>
      <c r="K12" s="444">
        <v>48540158</v>
      </c>
      <c r="L12" s="444">
        <v>13105842</v>
      </c>
      <c r="M12" s="444">
        <f t="shared" si="3"/>
        <v>61646000</v>
      </c>
      <c r="N12" s="444">
        <f t="shared" si="4"/>
        <v>128482623</v>
      </c>
      <c r="O12" s="444">
        <f t="shared" si="5"/>
        <v>34690307</v>
      </c>
      <c r="P12" s="444">
        <f t="shared" si="6"/>
        <v>163172930</v>
      </c>
      <c r="Q12" s="443"/>
      <c r="R12" s="443"/>
      <c r="S12" s="443"/>
      <c r="T12" s="443"/>
    </row>
    <row r="13" spans="1:20" x14ac:dyDescent="0.25">
      <c r="A13" s="441" t="s">
        <v>737</v>
      </c>
      <c r="B13" s="444">
        <v>23181381</v>
      </c>
      <c r="C13" s="444">
        <v>6258972</v>
      </c>
      <c r="D13" s="444">
        <f t="shared" si="0"/>
        <v>29440353</v>
      </c>
      <c r="E13" s="444">
        <v>0</v>
      </c>
      <c r="F13" s="444">
        <v>0</v>
      </c>
      <c r="G13" s="444">
        <f t="shared" si="1"/>
        <v>0</v>
      </c>
      <c r="H13" s="444">
        <v>22000000</v>
      </c>
      <c r="I13" s="444">
        <v>5940000</v>
      </c>
      <c r="J13" s="444">
        <f t="shared" si="2"/>
        <v>27940000</v>
      </c>
      <c r="K13" s="444">
        <v>8500000</v>
      </c>
      <c r="L13" s="444">
        <v>2295000</v>
      </c>
      <c r="M13" s="444">
        <f t="shared" si="3"/>
        <v>10795000</v>
      </c>
      <c r="N13" s="444">
        <f t="shared" si="4"/>
        <v>53681381</v>
      </c>
      <c r="O13" s="444">
        <f t="shared" si="5"/>
        <v>14493972</v>
      </c>
      <c r="P13" s="444">
        <f t="shared" si="6"/>
        <v>68175353</v>
      </c>
      <c r="Q13" s="443"/>
      <c r="R13" s="443"/>
      <c r="S13" s="443"/>
      <c r="T13" s="443"/>
    </row>
    <row r="14" spans="1:20" x14ac:dyDescent="0.25">
      <c r="A14" s="445" t="s">
        <v>737</v>
      </c>
      <c r="B14" s="446">
        <v>0</v>
      </c>
      <c r="C14" s="446">
        <v>0</v>
      </c>
      <c r="D14" s="446">
        <f t="shared" si="0"/>
        <v>0</v>
      </c>
      <c r="E14" s="446">
        <v>0</v>
      </c>
      <c r="F14" s="446">
        <v>0</v>
      </c>
      <c r="G14" s="446">
        <f t="shared" si="1"/>
        <v>0</v>
      </c>
      <c r="H14" s="446">
        <v>0</v>
      </c>
      <c r="I14" s="446">
        <v>0</v>
      </c>
      <c r="J14" s="446">
        <f t="shared" si="2"/>
        <v>0</v>
      </c>
      <c r="K14" s="446">
        <v>31842520</v>
      </c>
      <c r="L14" s="446">
        <v>8597480</v>
      </c>
      <c r="M14" s="446">
        <f t="shared" si="3"/>
        <v>40440000</v>
      </c>
      <c r="N14" s="446">
        <f t="shared" si="4"/>
        <v>31842520</v>
      </c>
      <c r="O14" s="446">
        <f t="shared" si="5"/>
        <v>8597480</v>
      </c>
      <c r="P14" s="446">
        <f t="shared" si="6"/>
        <v>40440000</v>
      </c>
      <c r="Q14" s="443"/>
      <c r="R14" s="443"/>
      <c r="S14" s="443"/>
      <c r="T14" s="443"/>
    </row>
    <row r="15" spans="1:20" x14ac:dyDescent="0.25">
      <c r="A15" s="447" t="s">
        <v>738</v>
      </c>
      <c r="B15" s="448">
        <f>SUM(B10:B14)</f>
        <v>471181104</v>
      </c>
      <c r="C15" s="448">
        <f>SUM(C10:C14)</f>
        <v>127218896</v>
      </c>
      <c r="D15" s="448">
        <f>SUM(D10:D14)</f>
        <v>598400000</v>
      </c>
      <c r="E15" s="448">
        <f t="shared" ref="E15:P15" si="7">SUM(E10:E14)</f>
        <v>67559055</v>
      </c>
      <c r="F15" s="448">
        <f t="shared" si="7"/>
        <v>18240945</v>
      </c>
      <c r="G15" s="448">
        <f t="shared" si="7"/>
        <v>85800000</v>
      </c>
      <c r="H15" s="448">
        <f t="shared" si="7"/>
        <v>96259843</v>
      </c>
      <c r="I15" s="448">
        <f t="shared" si="7"/>
        <v>25990157</v>
      </c>
      <c r="J15" s="448">
        <f t="shared" si="7"/>
        <v>122250000</v>
      </c>
      <c r="K15" s="448">
        <f t="shared" si="7"/>
        <v>167555119</v>
      </c>
      <c r="L15" s="448">
        <f t="shared" si="7"/>
        <v>45239881</v>
      </c>
      <c r="M15" s="448">
        <f t="shared" si="7"/>
        <v>212795000</v>
      </c>
      <c r="N15" s="448">
        <f t="shared" si="7"/>
        <v>802555121</v>
      </c>
      <c r="O15" s="448">
        <f t="shared" si="7"/>
        <v>216689879</v>
      </c>
      <c r="P15" s="448">
        <f t="shared" si="7"/>
        <v>1019245000</v>
      </c>
      <c r="Q15" s="443"/>
      <c r="R15" s="443"/>
      <c r="S15" s="443"/>
      <c r="T15" s="443"/>
    </row>
    <row r="16" spans="1:20" x14ac:dyDescent="0.25">
      <c r="A16" s="449" t="s">
        <v>739</v>
      </c>
      <c r="B16" s="450">
        <v>0</v>
      </c>
      <c r="C16" s="450">
        <v>0</v>
      </c>
      <c r="D16" s="450">
        <f t="shared" si="0"/>
        <v>0</v>
      </c>
      <c r="E16" s="450">
        <v>9448819</v>
      </c>
      <c r="F16" s="450">
        <v>2551181</v>
      </c>
      <c r="G16" s="450">
        <f t="shared" si="1"/>
        <v>12000000</v>
      </c>
      <c r="H16" s="450">
        <v>0</v>
      </c>
      <c r="I16" s="450">
        <v>0</v>
      </c>
      <c r="J16" s="450">
        <f t="shared" si="2"/>
        <v>0</v>
      </c>
      <c r="K16" s="450">
        <v>0</v>
      </c>
      <c r="L16" s="450">
        <v>0</v>
      </c>
      <c r="M16" s="450">
        <f t="shared" si="3"/>
        <v>0</v>
      </c>
      <c r="N16" s="444">
        <f t="shared" si="4"/>
        <v>9448819</v>
      </c>
      <c r="O16" s="444">
        <f t="shared" si="5"/>
        <v>2551181</v>
      </c>
      <c r="P16" s="444">
        <f t="shared" si="6"/>
        <v>12000000</v>
      </c>
      <c r="Q16" s="443"/>
      <c r="R16" s="443"/>
      <c r="S16" s="443"/>
      <c r="T16" s="443"/>
    </row>
    <row r="17" spans="1:21" x14ac:dyDescent="0.25">
      <c r="A17" s="451" t="s">
        <v>740</v>
      </c>
      <c r="B17" s="912">
        <f>6521654-2100000</f>
        <v>4421654</v>
      </c>
      <c r="C17" s="912">
        <f>7228346-5467500-567000</f>
        <v>1193846</v>
      </c>
      <c r="D17" s="452">
        <f t="shared" si="0"/>
        <v>5615500</v>
      </c>
      <c r="E17" s="912">
        <v>779528</v>
      </c>
      <c r="F17" s="912">
        <v>210472</v>
      </c>
      <c r="G17" s="452">
        <f t="shared" si="1"/>
        <v>990000</v>
      </c>
      <c r="H17" s="912">
        <f>4724410-3550000</f>
        <v>1174410</v>
      </c>
      <c r="I17" s="912">
        <f>1275590-958500</f>
        <v>317090</v>
      </c>
      <c r="J17" s="452">
        <f t="shared" si="2"/>
        <v>1491500</v>
      </c>
      <c r="K17" s="912">
        <v>8661417</v>
      </c>
      <c r="L17" s="912">
        <v>2338583</v>
      </c>
      <c r="M17" s="452">
        <f t="shared" si="3"/>
        <v>11000000</v>
      </c>
      <c r="N17" s="442">
        <f t="shared" si="4"/>
        <v>15037009</v>
      </c>
      <c r="O17" s="442">
        <f t="shared" si="5"/>
        <v>4059991</v>
      </c>
      <c r="P17" s="442">
        <f t="shared" si="6"/>
        <v>19097000</v>
      </c>
      <c r="Q17" s="443"/>
      <c r="R17" s="443"/>
      <c r="S17" s="443"/>
      <c r="T17" s="443"/>
    </row>
    <row r="18" spans="1:21" x14ac:dyDescent="0.25">
      <c r="A18" s="453" t="s">
        <v>741</v>
      </c>
      <c r="B18" s="913"/>
      <c r="C18" s="913"/>
      <c r="D18" s="454">
        <f t="shared" si="0"/>
        <v>0</v>
      </c>
      <c r="E18" s="913"/>
      <c r="F18" s="913"/>
      <c r="G18" s="454">
        <f t="shared" si="1"/>
        <v>0</v>
      </c>
      <c r="H18" s="913"/>
      <c r="I18" s="913"/>
      <c r="J18" s="454">
        <f t="shared" si="2"/>
        <v>0</v>
      </c>
      <c r="K18" s="913"/>
      <c r="L18" s="913"/>
      <c r="M18" s="454">
        <f t="shared" si="3"/>
        <v>0</v>
      </c>
      <c r="N18" s="444">
        <f t="shared" si="4"/>
        <v>0</v>
      </c>
      <c r="O18" s="444">
        <f t="shared" si="5"/>
        <v>0</v>
      </c>
      <c r="P18" s="444">
        <f t="shared" si="6"/>
        <v>0</v>
      </c>
      <c r="Q18" s="443"/>
      <c r="R18" s="443"/>
      <c r="S18" s="443"/>
      <c r="T18" s="443"/>
    </row>
    <row r="19" spans="1:21" x14ac:dyDescent="0.25">
      <c r="A19" s="453" t="s">
        <v>742</v>
      </c>
      <c r="B19" s="454">
        <v>20250000</v>
      </c>
      <c r="C19" s="454">
        <v>5467500</v>
      </c>
      <c r="D19" s="454">
        <f t="shared" si="0"/>
        <v>25717500</v>
      </c>
      <c r="E19" s="454">
        <v>3000000</v>
      </c>
      <c r="F19" s="454">
        <v>810000</v>
      </c>
      <c r="G19" s="454">
        <f t="shared" si="1"/>
        <v>3810000</v>
      </c>
      <c r="H19" s="454">
        <v>3550000</v>
      </c>
      <c r="I19" s="454">
        <v>958500</v>
      </c>
      <c r="J19" s="454">
        <f t="shared" si="2"/>
        <v>4508500</v>
      </c>
      <c r="K19" s="913"/>
      <c r="L19" s="913"/>
      <c r="M19" s="454">
        <f t="shared" si="3"/>
        <v>0</v>
      </c>
      <c r="N19" s="444">
        <f t="shared" si="4"/>
        <v>26800000</v>
      </c>
      <c r="O19" s="444">
        <f t="shared" si="5"/>
        <v>7236000</v>
      </c>
      <c r="P19" s="444">
        <f t="shared" si="6"/>
        <v>34036000</v>
      </c>
      <c r="Q19" s="443"/>
      <c r="R19" s="443"/>
      <c r="S19" s="443"/>
      <c r="T19" s="443"/>
    </row>
    <row r="20" spans="1:21" x14ac:dyDescent="0.25">
      <c r="A20" s="453" t="s">
        <v>743</v>
      </c>
      <c r="B20" s="454">
        <v>5354331</v>
      </c>
      <c r="C20" s="454">
        <v>1445669</v>
      </c>
      <c r="D20" s="454">
        <f t="shared" si="0"/>
        <v>6800000</v>
      </c>
      <c r="E20" s="454">
        <v>944882</v>
      </c>
      <c r="F20" s="454">
        <v>255118</v>
      </c>
      <c r="G20" s="454">
        <f t="shared" si="1"/>
        <v>1200000</v>
      </c>
      <c r="H20" s="454">
        <v>1181102</v>
      </c>
      <c r="I20" s="454">
        <v>318898</v>
      </c>
      <c r="J20" s="454">
        <f t="shared" si="2"/>
        <v>1500000</v>
      </c>
      <c r="K20" s="454">
        <v>1732283</v>
      </c>
      <c r="L20" s="454">
        <v>467716</v>
      </c>
      <c r="M20" s="454">
        <f t="shared" si="3"/>
        <v>2199999</v>
      </c>
      <c r="N20" s="444">
        <f t="shared" si="4"/>
        <v>9212598</v>
      </c>
      <c r="O20" s="444">
        <f t="shared" si="5"/>
        <v>2487401</v>
      </c>
      <c r="P20" s="444">
        <f t="shared" si="6"/>
        <v>11699999</v>
      </c>
      <c r="Q20" s="443"/>
      <c r="R20" s="443"/>
      <c r="S20" s="443"/>
      <c r="T20" s="443"/>
    </row>
    <row r="21" spans="1:21" x14ac:dyDescent="0.25">
      <c r="A21" s="453" t="s">
        <v>744</v>
      </c>
      <c r="B21" s="454">
        <v>5354331</v>
      </c>
      <c r="C21" s="454">
        <v>1445669</v>
      </c>
      <c r="D21" s="454">
        <f t="shared" si="0"/>
        <v>6800000</v>
      </c>
      <c r="E21" s="454">
        <v>944882</v>
      </c>
      <c r="F21" s="454">
        <f>(E21*0.27)</f>
        <v>255118.14</v>
      </c>
      <c r="G21" s="454">
        <f>SUM(E21:F21)</f>
        <v>1200000.1400000001</v>
      </c>
      <c r="H21" s="454">
        <v>1200000</v>
      </c>
      <c r="I21" s="454">
        <v>300000</v>
      </c>
      <c r="J21" s="454">
        <f t="shared" si="2"/>
        <v>1500000</v>
      </c>
      <c r="K21" s="454">
        <v>1732283</v>
      </c>
      <c r="L21" s="454">
        <v>467716</v>
      </c>
      <c r="M21" s="454">
        <f t="shared" si="3"/>
        <v>2199999</v>
      </c>
      <c r="N21" s="444">
        <f t="shared" si="4"/>
        <v>9231496</v>
      </c>
      <c r="O21" s="444">
        <f t="shared" si="5"/>
        <v>2468503.14</v>
      </c>
      <c r="P21" s="444">
        <f t="shared" si="6"/>
        <v>11699999.140000001</v>
      </c>
      <c r="Q21" s="443"/>
      <c r="R21" s="443"/>
      <c r="S21" s="443"/>
      <c r="T21" s="443"/>
    </row>
    <row r="22" spans="1:21" x14ac:dyDescent="0.25">
      <c r="A22" s="453" t="s">
        <v>745</v>
      </c>
      <c r="B22" s="454">
        <v>2677165</v>
      </c>
      <c r="C22" s="454">
        <v>722835</v>
      </c>
      <c r="D22" s="454">
        <f t="shared" si="0"/>
        <v>3400000</v>
      </c>
      <c r="E22" s="454">
        <v>472441</v>
      </c>
      <c r="F22" s="454">
        <f>(E22*0.27)</f>
        <v>127559.07</v>
      </c>
      <c r="G22" s="454">
        <f>SUM(E22:F22)</f>
        <v>600000.07000000007</v>
      </c>
      <c r="H22" s="454">
        <v>590551</v>
      </c>
      <c r="I22" s="454">
        <f>(H22*0.27)</f>
        <v>159448.77000000002</v>
      </c>
      <c r="J22" s="454">
        <f t="shared" si="2"/>
        <v>749999.77</v>
      </c>
      <c r="K22" s="454">
        <v>130000</v>
      </c>
      <c r="L22" s="454">
        <v>35100</v>
      </c>
      <c r="M22" s="454">
        <f t="shared" si="3"/>
        <v>165100</v>
      </c>
      <c r="N22" s="444">
        <f t="shared" si="4"/>
        <v>3870157</v>
      </c>
      <c r="O22" s="444">
        <f t="shared" si="5"/>
        <v>1044942.8400000001</v>
      </c>
      <c r="P22" s="444">
        <f t="shared" si="6"/>
        <v>4915099.84</v>
      </c>
      <c r="Q22" s="443"/>
      <c r="R22" s="443"/>
      <c r="S22" s="443"/>
      <c r="T22" s="443"/>
    </row>
    <row r="23" spans="1:21" x14ac:dyDescent="0.25">
      <c r="A23" s="455" t="s">
        <v>746</v>
      </c>
      <c r="B23" s="454">
        <v>2100000</v>
      </c>
      <c r="C23" s="454">
        <v>567000</v>
      </c>
      <c r="D23" s="454">
        <f t="shared" si="0"/>
        <v>2667000</v>
      </c>
      <c r="E23" s="454">
        <v>0</v>
      </c>
      <c r="F23" s="454">
        <v>0</v>
      </c>
      <c r="G23" s="454">
        <f t="shared" si="1"/>
        <v>0</v>
      </c>
      <c r="H23" s="454">
        <v>0</v>
      </c>
      <c r="I23" s="454">
        <v>0</v>
      </c>
      <c r="J23" s="454">
        <f t="shared" si="2"/>
        <v>0</v>
      </c>
      <c r="K23" s="454">
        <v>0</v>
      </c>
      <c r="L23" s="454">
        <v>0</v>
      </c>
      <c r="M23" s="454">
        <f t="shared" si="3"/>
        <v>0</v>
      </c>
      <c r="N23" s="444">
        <f t="shared" si="4"/>
        <v>2100000</v>
      </c>
      <c r="O23" s="444">
        <f t="shared" si="5"/>
        <v>567000</v>
      </c>
      <c r="P23" s="444">
        <f t="shared" si="6"/>
        <v>2667000</v>
      </c>
      <c r="Q23" s="443"/>
      <c r="R23" s="443"/>
      <c r="S23" s="443"/>
      <c r="T23" s="443"/>
    </row>
    <row r="24" spans="1:21" x14ac:dyDescent="0.25">
      <c r="A24" s="456" t="s">
        <v>747</v>
      </c>
      <c r="B24" s="454">
        <v>0</v>
      </c>
      <c r="C24" s="454">
        <v>0</v>
      </c>
      <c r="D24" s="454">
        <f t="shared" si="0"/>
        <v>0</v>
      </c>
      <c r="E24" s="454">
        <v>472441</v>
      </c>
      <c r="F24" s="454">
        <v>127559</v>
      </c>
      <c r="G24" s="454">
        <f t="shared" si="1"/>
        <v>600000</v>
      </c>
      <c r="H24" s="454">
        <v>590551</v>
      </c>
      <c r="I24" s="454">
        <v>159449</v>
      </c>
      <c r="J24" s="454">
        <f t="shared" si="2"/>
        <v>750000</v>
      </c>
      <c r="K24" s="454">
        <v>0</v>
      </c>
      <c r="L24" s="454">
        <v>0</v>
      </c>
      <c r="M24" s="454">
        <f t="shared" si="3"/>
        <v>0</v>
      </c>
      <c r="N24" s="444">
        <f t="shared" si="4"/>
        <v>1062992</v>
      </c>
      <c r="O24" s="444">
        <f t="shared" si="5"/>
        <v>287008</v>
      </c>
      <c r="P24" s="444">
        <f t="shared" si="6"/>
        <v>1350000</v>
      </c>
      <c r="Q24" s="443"/>
      <c r="R24" s="443"/>
      <c r="S24" s="443"/>
      <c r="T24" s="443"/>
    </row>
    <row r="25" spans="1:21" ht="24.75" x14ac:dyDescent="0.25">
      <c r="A25" s="456" t="s">
        <v>748</v>
      </c>
      <c r="B25" s="454">
        <v>0</v>
      </c>
      <c r="C25" s="454">
        <v>0</v>
      </c>
      <c r="D25" s="454">
        <f t="shared" si="0"/>
        <v>0</v>
      </c>
      <c r="E25" s="454">
        <v>0</v>
      </c>
      <c r="F25" s="454">
        <v>0</v>
      </c>
      <c r="G25" s="454">
        <f t="shared" si="1"/>
        <v>0</v>
      </c>
      <c r="H25" s="454">
        <v>0</v>
      </c>
      <c r="I25" s="454">
        <v>0</v>
      </c>
      <c r="J25" s="454">
        <f t="shared" si="2"/>
        <v>0</v>
      </c>
      <c r="K25" s="454">
        <v>100000</v>
      </c>
      <c r="L25" s="454">
        <v>27000</v>
      </c>
      <c r="M25" s="454">
        <f t="shared" si="3"/>
        <v>127000</v>
      </c>
      <c r="N25" s="444">
        <f t="shared" si="4"/>
        <v>100000</v>
      </c>
      <c r="O25" s="444">
        <f t="shared" si="5"/>
        <v>27000</v>
      </c>
      <c r="P25" s="444">
        <f t="shared" si="6"/>
        <v>127000</v>
      </c>
      <c r="Q25" s="443"/>
      <c r="R25" s="443"/>
      <c r="S25" s="443"/>
      <c r="T25" s="443"/>
    </row>
    <row r="26" spans="1:21" ht="24" x14ac:dyDescent="0.25">
      <c r="A26" s="457" t="s">
        <v>749</v>
      </c>
      <c r="B26" s="454">
        <v>10708662</v>
      </c>
      <c r="C26" s="454">
        <v>2891338</v>
      </c>
      <c r="D26" s="454">
        <f>SUM(B26:C26)</f>
        <v>13600000</v>
      </c>
      <c r="E26" s="454">
        <v>7559055</v>
      </c>
      <c r="F26" s="454">
        <f>(E26*0.27)</f>
        <v>2040944.85</v>
      </c>
      <c r="G26" s="454">
        <f>SUM(E26:F26)</f>
        <v>9599999.8499999996</v>
      </c>
      <c r="H26" s="454">
        <v>9448819</v>
      </c>
      <c r="I26" s="454">
        <f>(H26*0.27)</f>
        <v>2551181.1300000004</v>
      </c>
      <c r="J26" s="454">
        <f>SUM(H26:I26)</f>
        <v>12000000.130000001</v>
      </c>
      <c r="K26" s="454">
        <v>636142</v>
      </c>
      <c r="L26" s="454">
        <v>171758</v>
      </c>
      <c r="M26" s="454">
        <f>SUM(K26:L26)</f>
        <v>807900</v>
      </c>
      <c r="N26" s="444">
        <f>SUM(K26+H26+E26+B26)</f>
        <v>28352678</v>
      </c>
      <c r="O26" s="444">
        <f>SUM(L26+I26+F26+C26)</f>
        <v>7655221.9800000004</v>
      </c>
      <c r="P26" s="444">
        <f>SUM(M26+J26+G26+D26)</f>
        <v>36007899.980000004</v>
      </c>
      <c r="Q26" s="443"/>
      <c r="R26" s="443"/>
      <c r="S26" s="443"/>
      <c r="T26" s="443"/>
    </row>
    <row r="27" spans="1:21" x14ac:dyDescent="0.25">
      <c r="A27" s="458" t="s">
        <v>31</v>
      </c>
      <c r="B27" s="459">
        <f>SUM(B17:B26)</f>
        <v>50866143</v>
      </c>
      <c r="C27" s="459">
        <f>SUM(C17:C26)</f>
        <v>13733857</v>
      </c>
      <c r="D27" s="459">
        <f t="shared" ref="D27:P27" si="8">SUM(D17:D26)</f>
        <v>64600000</v>
      </c>
      <c r="E27" s="459">
        <f t="shared" si="8"/>
        <v>14173229</v>
      </c>
      <c r="F27" s="459">
        <f t="shared" si="8"/>
        <v>3826771.0600000005</v>
      </c>
      <c r="G27" s="459">
        <f t="shared" si="8"/>
        <v>18000000.060000002</v>
      </c>
      <c r="H27" s="459">
        <f t="shared" si="8"/>
        <v>17735433</v>
      </c>
      <c r="I27" s="459">
        <f t="shared" si="8"/>
        <v>4764566.9000000004</v>
      </c>
      <c r="J27" s="459">
        <f t="shared" si="8"/>
        <v>22499999.899999999</v>
      </c>
      <c r="K27" s="459">
        <f t="shared" si="8"/>
        <v>12992125</v>
      </c>
      <c r="L27" s="459">
        <f t="shared" si="8"/>
        <v>3507873</v>
      </c>
      <c r="M27" s="459">
        <f t="shared" si="8"/>
        <v>16499998</v>
      </c>
      <c r="N27" s="459">
        <f t="shared" si="8"/>
        <v>95766930</v>
      </c>
      <c r="O27" s="459">
        <f t="shared" si="8"/>
        <v>25833067.960000001</v>
      </c>
      <c r="P27" s="459">
        <f t="shared" si="8"/>
        <v>121599997.96000001</v>
      </c>
      <c r="Q27" s="443"/>
      <c r="R27" s="443"/>
      <c r="S27" s="443"/>
      <c r="T27" s="443"/>
    </row>
    <row r="28" spans="1:21" ht="27.75" customHeight="1" thickBot="1" x14ac:dyDescent="0.3">
      <c r="A28" s="460" t="s">
        <v>750</v>
      </c>
      <c r="B28" s="461">
        <v>1639344</v>
      </c>
      <c r="C28" s="461">
        <v>360656</v>
      </c>
      <c r="D28" s="461">
        <f>SUM(B28:C28)</f>
        <v>2000000</v>
      </c>
      <c r="E28" s="461"/>
      <c r="F28" s="461"/>
      <c r="G28" s="461"/>
      <c r="H28" s="461"/>
      <c r="I28" s="461"/>
      <c r="J28" s="461"/>
      <c r="K28" s="461"/>
      <c r="L28" s="461"/>
      <c r="M28" s="461"/>
      <c r="N28" s="462">
        <f>SUM(K28+H28+E28+B28)</f>
        <v>1639344</v>
      </c>
      <c r="O28" s="462">
        <f>SUM(L28+I28+F28+C28)</f>
        <v>360656</v>
      </c>
      <c r="P28" s="462">
        <f>SUM(M28+J28+G28+D28)</f>
        <v>2000000</v>
      </c>
      <c r="Q28" s="443"/>
      <c r="R28" s="443"/>
      <c r="S28" s="443"/>
      <c r="T28" s="443"/>
    </row>
    <row r="29" spans="1:21" ht="15.75" thickBot="1" x14ac:dyDescent="0.3">
      <c r="A29" s="463" t="s">
        <v>419</v>
      </c>
      <c r="B29" s="464">
        <f>SUM(B15+B16+B27+B28)</f>
        <v>523686591</v>
      </c>
      <c r="C29" s="464">
        <f t="shared" ref="C29:P29" si="9">SUM(C15+C16+C27+C28)</f>
        <v>141313409</v>
      </c>
      <c r="D29" s="464">
        <f t="shared" si="9"/>
        <v>665000000</v>
      </c>
      <c r="E29" s="464">
        <f t="shared" si="9"/>
        <v>91181103</v>
      </c>
      <c r="F29" s="464">
        <f t="shared" si="9"/>
        <v>24618897.060000002</v>
      </c>
      <c r="G29" s="464">
        <f t="shared" si="9"/>
        <v>115800000.06</v>
      </c>
      <c r="H29" s="464">
        <f t="shared" si="9"/>
        <v>113995276</v>
      </c>
      <c r="I29" s="464">
        <f t="shared" si="9"/>
        <v>30754723.899999999</v>
      </c>
      <c r="J29" s="464">
        <f t="shared" si="9"/>
        <v>144749999.90000001</v>
      </c>
      <c r="K29" s="464">
        <f t="shared" si="9"/>
        <v>180547244</v>
      </c>
      <c r="L29" s="464">
        <f t="shared" si="9"/>
        <v>48747754</v>
      </c>
      <c r="M29" s="464">
        <f t="shared" si="9"/>
        <v>229294998</v>
      </c>
      <c r="N29" s="464">
        <f t="shared" si="9"/>
        <v>909410214</v>
      </c>
      <c r="O29" s="464">
        <f t="shared" si="9"/>
        <v>245434783.96000001</v>
      </c>
      <c r="P29" s="465">
        <f t="shared" si="9"/>
        <v>1154844997.96</v>
      </c>
      <c r="Q29" s="443"/>
      <c r="R29" s="443"/>
      <c r="S29" s="466"/>
      <c r="T29" s="466"/>
    </row>
    <row r="30" spans="1:21" ht="24.75" x14ac:dyDescent="0.25">
      <c r="A30" s="467" t="s">
        <v>751</v>
      </c>
      <c r="B30" s="468"/>
      <c r="C30" s="469"/>
      <c r="D30" s="470">
        <f>SUM(B29:C29)</f>
        <v>665000000</v>
      </c>
      <c r="E30" s="470"/>
      <c r="F30" s="471"/>
      <c r="G30" s="472">
        <f>SUM(E29+F29)</f>
        <v>115800000.06</v>
      </c>
      <c r="H30" s="470"/>
      <c r="I30" s="471"/>
      <c r="J30" s="472">
        <f>SUM(H29+I29)</f>
        <v>144749999.90000001</v>
      </c>
      <c r="K30" s="470"/>
      <c r="L30" s="471"/>
      <c r="M30" s="472">
        <f>SUM(K29+L29)</f>
        <v>229294998</v>
      </c>
      <c r="N30" s="914"/>
      <c r="O30" s="915"/>
      <c r="P30" s="472">
        <f>SUM(N29+O29)</f>
        <v>1154844997.96</v>
      </c>
      <c r="Q30" s="443"/>
      <c r="R30" s="443"/>
      <c r="S30" s="466"/>
      <c r="T30" s="466"/>
    </row>
    <row r="31" spans="1:21" x14ac:dyDescent="0.25">
      <c r="A31" s="453" t="s">
        <v>752</v>
      </c>
      <c r="B31" s="473"/>
      <c r="C31" s="474"/>
      <c r="D31" s="475">
        <v>633766800</v>
      </c>
      <c r="E31" s="476"/>
      <c r="F31" s="477"/>
      <c r="G31" s="475">
        <v>104400000</v>
      </c>
      <c r="H31" s="476"/>
      <c r="I31" s="477"/>
      <c r="J31" s="475">
        <v>130500000</v>
      </c>
      <c r="K31" s="476"/>
      <c r="L31" s="477"/>
      <c r="M31" s="475">
        <v>226929899</v>
      </c>
      <c r="N31" s="475"/>
      <c r="O31" s="475"/>
      <c r="P31" s="475">
        <f>SUM(D31+G31+J31+M31)</f>
        <v>1095596699</v>
      </c>
      <c r="Q31" s="478"/>
      <c r="R31" s="478"/>
    </row>
    <row r="32" spans="1:21" x14ac:dyDescent="0.25">
      <c r="A32" s="479" t="s">
        <v>753</v>
      </c>
      <c r="B32" s="480"/>
      <c r="C32" s="481"/>
      <c r="D32" s="482">
        <f>SUM(D30-D31)</f>
        <v>31233200</v>
      </c>
      <c r="E32" s="483"/>
      <c r="F32" s="484"/>
      <c r="G32" s="482">
        <f>SUM(G30-G31)</f>
        <v>11400000.060000002</v>
      </c>
      <c r="H32" s="483"/>
      <c r="I32" s="484"/>
      <c r="J32" s="482">
        <f>SUM(J30-J31)</f>
        <v>14249999.900000006</v>
      </c>
      <c r="K32" s="483"/>
      <c r="L32" s="484"/>
      <c r="M32" s="482">
        <f>SUM(M30-M31)</f>
        <v>2365099</v>
      </c>
      <c r="N32" s="482"/>
      <c r="O32" s="482"/>
      <c r="P32" s="482">
        <f>SUM(P30-P31)</f>
        <v>59248298.960000038</v>
      </c>
      <c r="Q32" s="478"/>
      <c r="R32" s="478"/>
      <c r="S32" s="478"/>
      <c r="T32" s="478"/>
      <c r="U32" s="478"/>
    </row>
    <row r="33" spans="1:21" x14ac:dyDescent="0.25">
      <c r="B33" s="478"/>
      <c r="C33" s="478"/>
      <c r="D33" s="443">
        <f>SUM(B29:C29)</f>
        <v>665000000</v>
      </c>
      <c r="E33" s="478"/>
      <c r="F33" s="478"/>
      <c r="G33" s="443">
        <f>SUM(G15+G16+G17+G18+G19+G20+G21+G22+G23+G24+G25+G28+G26)</f>
        <v>115800000.05999999</v>
      </c>
      <c r="H33" s="478"/>
      <c r="I33" s="478"/>
      <c r="J33" s="443">
        <f>SUM(J15+J16+J17+J18+J19+J20+J21+J22+J23+J24+J25+J28+J26)</f>
        <v>144749999.90000001</v>
      </c>
      <c r="K33" s="478"/>
      <c r="L33" s="478"/>
      <c r="M33" s="443">
        <f>SUM(M15+M16+M17+M18+M19+M20+M21+M22+M23+M24+M25+M28+M26)</f>
        <v>229294998</v>
      </c>
      <c r="N33" s="443"/>
      <c r="O33" s="443"/>
      <c r="P33" s="485">
        <f>SUM(N29:O29)</f>
        <v>1154844997.96</v>
      </c>
      <c r="Q33" s="478"/>
      <c r="R33" s="478"/>
      <c r="S33" s="478"/>
      <c r="T33" s="478"/>
      <c r="U33" s="478"/>
    </row>
    <row r="34" spans="1:21" x14ac:dyDescent="0.25">
      <c r="B34" s="478"/>
      <c r="C34" s="478"/>
      <c r="D34" s="478"/>
      <c r="E34" s="478"/>
      <c r="F34" s="478"/>
      <c r="G34" s="478"/>
      <c r="H34" s="478"/>
      <c r="I34" s="478"/>
      <c r="J34" s="478"/>
      <c r="K34" s="478"/>
      <c r="L34" s="478"/>
      <c r="M34" s="478"/>
      <c r="N34" s="478"/>
      <c r="O34" s="478"/>
      <c r="P34" s="486">
        <f>SUM(D32+G32+J32+M32)</f>
        <v>59248298.960000008</v>
      </c>
      <c r="Q34" s="478"/>
      <c r="R34" s="478"/>
      <c r="S34" s="478"/>
      <c r="T34" s="478"/>
      <c r="U34" s="478"/>
    </row>
    <row r="35" spans="1:21" ht="27" thickBot="1" x14ac:dyDescent="0.3">
      <c r="A35" s="487" t="s">
        <v>754</v>
      </c>
      <c r="B35" s="443">
        <f>(D35/1.27)</f>
        <v>28577874.015748031</v>
      </c>
      <c r="C35" s="443">
        <f>(B35*0.27)</f>
        <v>7716025.9842519686</v>
      </c>
      <c r="D35" s="443">
        <v>36293900</v>
      </c>
      <c r="E35" s="443">
        <f>(G35/1.27)</f>
        <v>3165000</v>
      </c>
      <c r="F35" s="443">
        <f>(E35*0.27)</f>
        <v>854550</v>
      </c>
      <c r="G35" s="443">
        <v>4019550</v>
      </c>
      <c r="H35" s="443">
        <f>(J35/1.27)</f>
        <v>3985000</v>
      </c>
      <c r="I35" s="443">
        <f>(H35*0.27)</f>
        <v>1075950</v>
      </c>
      <c r="J35" s="443">
        <v>5060950</v>
      </c>
      <c r="K35" s="443">
        <f>(M35/1.27)</f>
        <v>6067007.8740157476</v>
      </c>
      <c r="L35" s="443">
        <f>(K35*0.27)</f>
        <v>1638092.125984252</v>
      </c>
      <c r="M35" s="443">
        <v>7705100</v>
      </c>
      <c r="N35" s="488">
        <f>(P35/1.27)</f>
        <v>41794881.88976378</v>
      </c>
      <c r="O35" s="488">
        <f>(N35*0.27)</f>
        <v>11284618.110236222</v>
      </c>
      <c r="P35" s="488">
        <f>SUM(D35+G35+J35+M35)</f>
        <v>53079500</v>
      </c>
    </row>
    <row r="36" spans="1:21" ht="27" thickBot="1" x14ac:dyDescent="0.3">
      <c r="A36" s="489" t="s">
        <v>755</v>
      </c>
      <c r="B36" s="443">
        <f t="shared" ref="B36:M36" si="10">SUM(B27-B35)</f>
        <v>22288268.984251969</v>
      </c>
      <c r="C36" s="443">
        <f t="shared" si="10"/>
        <v>6017831.0157480314</v>
      </c>
      <c r="D36" s="443">
        <f t="shared" si="10"/>
        <v>28306100</v>
      </c>
      <c r="E36" s="443">
        <f t="shared" si="10"/>
        <v>11008229</v>
      </c>
      <c r="F36" s="443">
        <f t="shared" si="10"/>
        <v>2972221.0600000005</v>
      </c>
      <c r="G36" s="443">
        <f t="shared" si="10"/>
        <v>13980450.060000002</v>
      </c>
      <c r="H36" s="443">
        <f t="shared" si="10"/>
        <v>13750433</v>
      </c>
      <c r="I36" s="443">
        <f t="shared" si="10"/>
        <v>3688616.9000000004</v>
      </c>
      <c r="J36" s="443">
        <f t="shared" si="10"/>
        <v>17439049.899999999</v>
      </c>
      <c r="K36" s="443">
        <f t="shared" si="10"/>
        <v>6925117.1259842524</v>
      </c>
      <c r="L36" s="443">
        <f t="shared" si="10"/>
        <v>1869780.874015748</v>
      </c>
      <c r="M36" s="443">
        <f t="shared" si="10"/>
        <v>8794898</v>
      </c>
      <c r="N36" s="490">
        <f>SUM(B36+E36+H36+K36)</f>
        <v>53972048.11023622</v>
      </c>
      <c r="O36" s="491">
        <f>SUM(C36+F36+I36+L36)</f>
        <v>14548449.849763781</v>
      </c>
      <c r="P36" s="492">
        <f>SUM(D36+G36+J36+M36)</f>
        <v>68520497.960000008</v>
      </c>
    </row>
    <row r="37" spans="1:21" x14ac:dyDescent="0.25">
      <c r="B37" s="466"/>
      <c r="C37" s="466"/>
      <c r="D37" s="466"/>
      <c r="E37" s="466"/>
      <c r="F37" s="466"/>
      <c r="G37" s="466"/>
      <c r="H37" s="466"/>
      <c r="I37" s="466"/>
      <c r="J37" s="466"/>
      <c r="K37" s="466"/>
      <c r="L37" s="466"/>
      <c r="M37" s="466"/>
      <c r="N37" s="466"/>
      <c r="O37" s="466"/>
      <c r="P37" s="466"/>
    </row>
    <row r="38" spans="1:21" x14ac:dyDescent="0.25">
      <c r="B38" s="466"/>
      <c r="C38" s="466"/>
      <c r="D38" s="466"/>
      <c r="E38" s="466"/>
      <c r="F38" s="466"/>
      <c r="G38" s="466"/>
      <c r="H38" s="466">
        <v>95970495</v>
      </c>
      <c r="I38" s="466"/>
      <c r="J38" s="466"/>
      <c r="K38" s="466"/>
      <c r="L38" s="466"/>
      <c r="M38" s="466"/>
      <c r="N38" s="466"/>
      <c r="O38" s="466"/>
      <c r="P38" s="466"/>
    </row>
    <row r="39" spans="1:21" x14ac:dyDescent="0.25">
      <c r="B39" s="466"/>
      <c r="C39" s="466"/>
      <c r="D39" s="466"/>
      <c r="E39" s="466"/>
      <c r="F39" s="466"/>
      <c r="G39" s="466"/>
      <c r="H39" s="466"/>
      <c r="I39" s="466"/>
      <c r="J39" s="466"/>
      <c r="K39" s="466"/>
      <c r="L39" s="466"/>
      <c r="M39" s="466"/>
      <c r="N39" s="466"/>
      <c r="O39" s="466"/>
      <c r="P39" s="466"/>
    </row>
    <row r="40" spans="1:21" x14ac:dyDescent="0.25">
      <c r="B40" s="466"/>
      <c r="C40" s="466"/>
      <c r="D40" s="466"/>
      <c r="E40" s="466"/>
      <c r="F40" s="466"/>
      <c r="G40" s="466"/>
      <c r="H40" s="466"/>
      <c r="I40" s="466"/>
      <c r="J40" s="466"/>
      <c r="K40" s="466"/>
      <c r="L40" s="466"/>
      <c r="M40" s="466"/>
      <c r="N40" s="466"/>
      <c r="O40" s="466"/>
      <c r="P40" s="466"/>
    </row>
    <row r="41" spans="1:21" x14ac:dyDescent="0.25">
      <c r="B41" s="466"/>
      <c r="C41" s="466"/>
      <c r="D41" s="466"/>
      <c r="E41" s="466"/>
      <c r="F41" s="466"/>
      <c r="G41" s="466"/>
      <c r="H41" s="466"/>
      <c r="I41" s="466"/>
      <c r="J41" s="466"/>
      <c r="K41" s="466"/>
      <c r="L41" s="466"/>
      <c r="M41" s="466"/>
      <c r="N41" s="466"/>
      <c r="O41" s="466"/>
      <c r="P41" s="466"/>
    </row>
  </sheetData>
  <mergeCells count="16">
    <mergeCell ref="K17:K19"/>
    <mergeCell ref="L17:L19"/>
    <mergeCell ref="N30:O30"/>
    <mergeCell ref="B17:B18"/>
    <mergeCell ref="C17:C18"/>
    <mergeCell ref="E17:E18"/>
    <mergeCell ref="F17:F18"/>
    <mergeCell ref="H17:H18"/>
    <mergeCell ref="I17:I18"/>
    <mergeCell ref="A1:P1"/>
    <mergeCell ref="A8:A9"/>
    <mergeCell ref="B8:D8"/>
    <mergeCell ref="E8:G8"/>
    <mergeCell ref="H8:J8"/>
    <mergeCell ref="K8:M8"/>
    <mergeCell ref="N8:P8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25</vt:i4>
      </vt:variant>
      <vt:variant>
        <vt:lpstr>Névvel ellátott tartományok</vt:lpstr>
      </vt:variant>
      <vt:variant>
        <vt:i4>23</vt:i4>
      </vt:variant>
    </vt:vector>
  </HeadingPairs>
  <TitlesOfParts>
    <vt:vector size="48" baseType="lpstr">
      <vt:lpstr>Összesítő</vt:lpstr>
      <vt:lpstr>1.Bev-kiad.</vt:lpstr>
      <vt:lpstr>2.működés</vt:lpstr>
      <vt:lpstr>3.felh</vt:lpstr>
      <vt:lpstr>4. Átadott p.eszk.</vt:lpstr>
      <vt:lpstr>5.Bev.össz</vt:lpstr>
      <vt:lpstr>6.Kiad.össz. </vt:lpstr>
      <vt:lpstr>7.finanszírozás.</vt:lpstr>
      <vt:lpstr>8.Önk.</vt:lpstr>
      <vt:lpstr>zöld város</vt:lpstr>
      <vt:lpstr>9.Hivatal</vt:lpstr>
      <vt:lpstr>10.Többéves, adósság</vt:lpstr>
      <vt:lpstr>12. Maradványkimutatás</vt:lpstr>
      <vt:lpstr>13.Mérleg</vt:lpstr>
      <vt:lpstr>14. Eredménykimutatás</vt:lpstr>
      <vt:lpstr>15. Vagyonkimutatás</vt:lpstr>
      <vt:lpstr>16. Előirányzat felh.terv</vt:lpstr>
      <vt:lpstr>17. Részesedések</vt:lpstr>
      <vt:lpstr>11.Likviditás</vt:lpstr>
      <vt:lpstr>12. gördülő tervezés</vt:lpstr>
      <vt:lpstr>13. Eu projekt</vt:lpstr>
      <vt:lpstr>14.mérlegszerű kimutatás</vt:lpstr>
      <vt:lpstr>Társulási fel. tájékoztatásul</vt:lpstr>
      <vt:lpstr>beruházások</vt:lpstr>
      <vt:lpstr>13.2.EU projekt részletesen</vt:lpstr>
      <vt:lpstr>'2.működés'!Nyomtatási_cím</vt:lpstr>
      <vt:lpstr>'6.Kiad.össz. '!Nyomtatási_cím</vt:lpstr>
      <vt:lpstr>'7.finanszírozás.'!Nyomtatási_cím</vt:lpstr>
      <vt:lpstr>'8.Önk.'!Nyomtatási_cím</vt:lpstr>
      <vt:lpstr>'9.Hivatal'!Nyomtatási_cím</vt:lpstr>
      <vt:lpstr>Összesítő!Nyomtatási_cím</vt:lpstr>
      <vt:lpstr>'1.Bev-kiad.'!Nyomtatási_terület</vt:lpstr>
      <vt:lpstr>'10.Többéves, adósság'!Nyomtatási_terület</vt:lpstr>
      <vt:lpstr>'11.Likviditás'!Nyomtatási_terület</vt:lpstr>
      <vt:lpstr>'12. gördülő tervezés'!Nyomtatási_terület</vt:lpstr>
      <vt:lpstr>'12. Maradványkimutatás'!Nyomtatási_terület</vt:lpstr>
      <vt:lpstr>'13. Eu projekt'!Nyomtatási_terület</vt:lpstr>
      <vt:lpstr>'15. Vagyonkimutatás'!Nyomtatási_terület</vt:lpstr>
      <vt:lpstr>'2.működés'!Nyomtatási_terület</vt:lpstr>
      <vt:lpstr>'3.felh'!Nyomtatási_terület</vt:lpstr>
      <vt:lpstr>'4. Átadott p.eszk.'!Nyomtatási_terület</vt:lpstr>
      <vt:lpstr>'6.Kiad.össz. '!Nyomtatási_terület</vt:lpstr>
      <vt:lpstr>'7.finanszírozás.'!Nyomtatási_terület</vt:lpstr>
      <vt:lpstr>'8.Önk.'!Nyomtatási_terület</vt:lpstr>
      <vt:lpstr>'9.Hivatal'!Nyomtatási_terület</vt:lpstr>
      <vt:lpstr>beruházások!Nyomtatási_terület</vt:lpstr>
      <vt:lpstr>Összesítő!Nyomtatási_terület</vt:lpstr>
      <vt:lpstr>'Társulási fel. tájékoztatásul'!Nyomtatási_terület</vt:lpstr>
    </vt:vector>
  </TitlesOfParts>
  <Company>Önkormányzat Bföldvár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Belovics Emilné</dc:creator>
  <cp:lastModifiedBy>MagorineA</cp:lastModifiedBy>
  <cp:lastPrinted>2023-01-20T09:20:24Z</cp:lastPrinted>
  <dcterms:created xsi:type="dcterms:W3CDTF">2009-11-11T14:39:35Z</dcterms:created>
  <dcterms:modified xsi:type="dcterms:W3CDTF">2023-01-20T10:48:26Z</dcterms:modified>
</cp:coreProperties>
</file>