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2023\2023_BALATONFÖLDVÁR\2023_eimód_Bf\2023_szeptember_Bföldvár\"/>
    </mc:Choice>
  </mc:AlternateContent>
  <xr:revisionPtr revIDLastSave="0" documentId="13_ncr:1_{E270BC93-2800-433E-9100-021956AD6D0A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r:id="rId19"/>
    <sheet name="12. gördülő tervezés" sheetId="97" state="hidden" r:id="rId20"/>
    <sheet name="13. Eu projekt" sheetId="56" state="hidden" r:id="rId21"/>
    <sheet name="14.mérlegszerű kimutatás" sheetId="102" state="hidden" r:id="rId22"/>
    <sheet name="Társulási fel. tájékoztatásul" sheetId="101" state="hidden" r:id="rId23"/>
    <sheet name="beruházások" sheetId="98" state="hidden" r:id="rId24"/>
    <sheet name="13.2.EU projekt részletesen" sheetId="95" state="hidden" r:id="rId25"/>
  </sheets>
  <externalReferences>
    <externalReference r:id="rId26"/>
    <externalReference r:id="rId27"/>
    <externalReference r:id="rId28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'2.működés'!$B$1:$B$113</definedName>
    <definedName name="_xlnm._FilterDatabase" localSheetId="3" hidden="1">'3.felh'!$B$1:$B$43</definedName>
    <definedName name="_xlnm._FilterDatabase" localSheetId="23" hidden="1">beruházások!$B$1:$B$39</definedName>
    <definedName name="adfadf">'[1]4.1. táj.'!#REF!</definedName>
    <definedName name="beruh" localSheetId="19">'[1]4.1. táj.'!#REF!</definedName>
    <definedName name="beruh" localSheetId="20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3">'[1]4.1. táj.'!#REF!</definedName>
    <definedName name="beruh">'[1]4.1. táj.'!#REF!</definedName>
    <definedName name="intézmények" localSheetId="19">'[2]4.1. táj.'!#REF!</definedName>
    <definedName name="intézmények" localSheetId="20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3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'1.Bev-kiad.'!$A$1:$F$90</definedName>
    <definedName name="_xlnm.Print_Area" localSheetId="11">'10.Többéves, adósság'!$A$1:$O$32</definedName>
    <definedName name="_xlnm.Print_Area" localSheetId="18">'11.Likviditás'!$A$1:$N$30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20">'13. Eu projekt'!$A$1:$O$16</definedName>
    <definedName name="_xlnm.Print_Area" localSheetId="15">'15. Vagyonkimutatás'!$A$1:$E$133</definedName>
    <definedName name="_xlnm.Print_Area" localSheetId="2">'2.működés'!$A$1:$M$138</definedName>
    <definedName name="_xlnm.Print_Area" localSheetId="3">'3.felh'!$A$1:$H$93</definedName>
    <definedName name="_xlnm.Print_Area" localSheetId="4">'4. Átadott p.eszk.'!$A$1:$E$77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'8.Önk.'!$A$1:$BP$142</definedName>
    <definedName name="_xlnm.Print_Area" localSheetId="10">'9.Hivatal'!$A$1:$W$93</definedName>
    <definedName name="_xlnm.Print_Area" localSheetId="23">beruházások!$A$1:$H$109</definedName>
    <definedName name="_xlnm.Print_Area" localSheetId="0">Összesítő!$A$1:$F$189</definedName>
    <definedName name="_xlnm.Print_Area" localSheetId="22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3">'[1]4.1. táj.'!#REF!</definedName>
    <definedName name="qewrqewr">'[1]4.1. táj.'!#REF!</definedName>
    <definedName name="Z_ABF21C5C_6078_4D03_96DF_78390D4F8F84_.wvu.Cols" localSheetId="4" hidden="1">'4. Átadott p.eszk.'!#REF!,'4. Átadott p.eszk.'!$HT:$IW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'2.működés'!$B$1:$B$113</definedName>
    <definedName name="Z_ABF21C5C_6078_4D03_96DF_78390D4F8F84_.wvu.FilterData" localSheetId="3" hidden="1">'3.felh'!$B$1:$B$43</definedName>
    <definedName name="Z_ABF21C5C_6078_4D03_96DF_78390D4F8F84_.wvu.FilterData" localSheetId="23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'2.működés'!$B$1:$B$133</definedName>
    <definedName name="Z_ABF21C5C_6078_4D03_96DF_78390D4F8F84_.wvu.PrintArea" localSheetId="3" hidden="1">'3.felh'!$B$1:$B$82</definedName>
    <definedName name="Z_ABF21C5C_6078_4D03_96DF_78390D4F8F84_.wvu.PrintArea" localSheetId="4" hidden="1">'4. Átadott p.eszk.'!$A$1:$A$66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PrintArea" localSheetId="23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3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N2" i="52" l="1"/>
  <c r="X2" i="82"/>
  <c r="O49" i="80"/>
  <c r="O48" i="80"/>
  <c r="M51" i="99"/>
  <c r="M50" i="99"/>
  <c r="C118" i="81"/>
  <c r="C117" i="81"/>
  <c r="D132" i="81"/>
  <c r="D131" i="81"/>
  <c r="D118" i="81"/>
  <c r="D117" i="81"/>
  <c r="D111" i="81"/>
  <c r="D110" i="81"/>
  <c r="D104" i="81"/>
  <c r="D103" i="81"/>
  <c r="D97" i="81"/>
  <c r="D96" i="81"/>
  <c r="D53" i="81"/>
  <c r="D52" i="81"/>
  <c r="D45" i="81"/>
  <c r="D44" i="81"/>
  <c r="D37" i="81"/>
  <c r="D36" i="81"/>
  <c r="D13" i="81"/>
  <c r="D12" i="81"/>
  <c r="L21" i="53" l="1"/>
  <c r="F113" i="96"/>
  <c r="F114" i="96"/>
  <c r="F115" i="96"/>
  <c r="F116" i="96"/>
  <c r="F117" i="96"/>
  <c r="F118" i="96"/>
  <c r="F119" i="96"/>
  <c r="F120" i="96"/>
  <c r="F121" i="96"/>
  <c r="F122" i="96"/>
  <c r="F123" i="96"/>
  <c r="F124" i="96"/>
  <c r="BH78" i="82"/>
  <c r="D185" i="96"/>
  <c r="D137" i="96"/>
  <c r="AD84" i="82"/>
  <c r="F85" i="58"/>
  <c r="H185" i="96" l="1"/>
  <c r="H161" i="96"/>
  <c r="I126" i="57"/>
  <c r="D161" i="96"/>
  <c r="E141" i="96"/>
  <c r="D146" i="96"/>
  <c r="D14" i="96"/>
  <c r="D13" i="96"/>
  <c r="D32" i="52"/>
  <c r="F64" i="58"/>
  <c r="BB84" i="82"/>
  <c r="BB78" i="82"/>
  <c r="BB45" i="82" s="1"/>
  <c r="AD78" i="82"/>
  <c r="AD65" i="82"/>
  <c r="BN65" i="82" s="1"/>
  <c r="F126" i="57"/>
  <c r="E56" i="39"/>
  <c r="F94" i="57"/>
  <c r="F79" i="57"/>
  <c r="F61" i="36"/>
  <c r="AJ47" i="82"/>
  <c r="F32" i="83"/>
  <c r="F30" i="83"/>
  <c r="F50" i="83"/>
  <c r="F40" i="83"/>
  <c r="F28" i="83"/>
  <c r="F69" i="83"/>
  <c r="F79" i="83"/>
  <c r="F56" i="83"/>
  <c r="F65" i="83"/>
  <c r="J23" i="57"/>
  <c r="F23" i="57"/>
  <c r="AD49" i="82"/>
  <c r="BN49" i="82" s="1"/>
  <c r="F27" i="58"/>
  <c r="E123" i="57"/>
  <c r="F123" i="57"/>
  <c r="E118" i="57"/>
  <c r="F118" i="57"/>
  <c r="E115" i="57"/>
  <c r="F115" i="57"/>
  <c r="BM99" i="82"/>
  <c r="BN99" i="82"/>
  <c r="BO99" i="82"/>
  <c r="BM11" i="82"/>
  <c r="BN11" i="82"/>
  <c r="BO11" i="82"/>
  <c r="BP11" i="82"/>
  <c r="BM12" i="82"/>
  <c r="BN12" i="82"/>
  <c r="BO12" i="82"/>
  <c r="BP12" i="82"/>
  <c r="BM13" i="82"/>
  <c r="BN13" i="82"/>
  <c r="BO13" i="82"/>
  <c r="BP13" i="82"/>
  <c r="BM14" i="82"/>
  <c r="BN14" i="82"/>
  <c r="BO14" i="82"/>
  <c r="BP14" i="82"/>
  <c r="BM15" i="82"/>
  <c r="BN15" i="82"/>
  <c r="BO15" i="82"/>
  <c r="BP15" i="82"/>
  <c r="BM16" i="82"/>
  <c r="BN16" i="82"/>
  <c r="BO16" i="82"/>
  <c r="BP16" i="82"/>
  <c r="BM17" i="82"/>
  <c r="BN17" i="82"/>
  <c r="BO17" i="82"/>
  <c r="BP17" i="82"/>
  <c r="BM18" i="82"/>
  <c r="BN18" i="82"/>
  <c r="BO18" i="82"/>
  <c r="BP18" i="82"/>
  <c r="BM19" i="82"/>
  <c r="BN19" i="82"/>
  <c r="BO19" i="82"/>
  <c r="BP19" i="82"/>
  <c r="BM20" i="82"/>
  <c r="BN20" i="82"/>
  <c r="BO20" i="82"/>
  <c r="BP20" i="82"/>
  <c r="BM21" i="82"/>
  <c r="BN21" i="82"/>
  <c r="BO21" i="82"/>
  <c r="BP21" i="82"/>
  <c r="BM22" i="82"/>
  <c r="BN22" i="82"/>
  <c r="BO22" i="82"/>
  <c r="BP22" i="82"/>
  <c r="BM23" i="82"/>
  <c r="BN23" i="82"/>
  <c r="BO23" i="82"/>
  <c r="BP23" i="82"/>
  <c r="BM24" i="82"/>
  <c r="BN24" i="82"/>
  <c r="BO24" i="82"/>
  <c r="BP24" i="82"/>
  <c r="BM25" i="82"/>
  <c r="BN25" i="82"/>
  <c r="BO25" i="82"/>
  <c r="BP25" i="82"/>
  <c r="BM26" i="82"/>
  <c r="BN26" i="82"/>
  <c r="BO26" i="82"/>
  <c r="BP26" i="82"/>
  <c r="BM27" i="82"/>
  <c r="BN27" i="82"/>
  <c r="BO27" i="82"/>
  <c r="BP27" i="82"/>
  <c r="BM28" i="82"/>
  <c r="BN28" i="82"/>
  <c r="BO28" i="82"/>
  <c r="BP28" i="82"/>
  <c r="BM29" i="82"/>
  <c r="BN29" i="82"/>
  <c r="BO29" i="82"/>
  <c r="BP29" i="82"/>
  <c r="BM30" i="82"/>
  <c r="BN30" i="82"/>
  <c r="BO30" i="82"/>
  <c r="BP30" i="82"/>
  <c r="BM31" i="82"/>
  <c r="BN31" i="82"/>
  <c r="BO31" i="82"/>
  <c r="BP31" i="82"/>
  <c r="BM32" i="82"/>
  <c r="BN32" i="82"/>
  <c r="BO32" i="82"/>
  <c r="BP32" i="82"/>
  <c r="BM33" i="82"/>
  <c r="BN33" i="82"/>
  <c r="BO33" i="82"/>
  <c r="BP33" i="82"/>
  <c r="BM34" i="82"/>
  <c r="BN34" i="82"/>
  <c r="BO34" i="82"/>
  <c r="BP34" i="82"/>
  <c r="BM35" i="82"/>
  <c r="BN35" i="82"/>
  <c r="BO35" i="82"/>
  <c r="BP35" i="82"/>
  <c r="BM36" i="82"/>
  <c r="BN36" i="82"/>
  <c r="BO36" i="82"/>
  <c r="BP36" i="82"/>
  <c r="BM37" i="82"/>
  <c r="BN37" i="82"/>
  <c r="BO37" i="82"/>
  <c r="BP37" i="82"/>
  <c r="BM38" i="82"/>
  <c r="BN38" i="82"/>
  <c r="BO38" i="82"/>
  <c r="BP38" i="82"/>
  <c r="BM39" i="82"/>
  <c r="BN39" i="82"/>
  <c r="BO39" i="82"/>
  <c r="BP39" i="82"/>
  <c r="BM40" i="82"/>
  <c r="BN40" i="82"/>
  <c r="BO40" i="82"/>
  <c r="BP40" i="82"/>
  <c r="BM41" i="82"/>
  <c r="BN41" i="82"/>
  <c r="BO41" i="82"/>
  <c r="BP41" i="82"/>
  <c r="BM42" i="82"/>
  <c r="BN42" i="82"/>
  <c r="BO42" i="82"/>
  <c r="BP42" i="82"/>
  <c r="BM43" i="82"/>
  <c r="BN43" i="82"/>
  <c r="BO43" i="82"/>
  <c r="BP43" i="82"/>
  <c r="BM44" i="82"/>
  <c r="BN44" i="82"/>
  <c r="BO44" i="82"/>
  <c r="BP44" i="82"/>
  <c r="BO45" i="82"/>
  <c r="BM46" i="82"/>
  <c r="BN46" i="82"/>
  <c r="BO46" i="82"/>
  <c r="BP46" i="82"/>
  <c r="BM47" i="82"/>
  <c r="BN47" i="82"/>
  <c r="BO47" i="82"/>
  <c r="BP47" i="82"/>
  <c r="BM48" i="82"/>
  <c r="BN48" i="82"/>
  <c r="BO48" i="82"/>
  <c r="BP48" i="82"/>
  <c r="BM49" i="82"/>
  <c r="BO49" i="82"/>
  <c r="BP49" i="82"/>
  <c r="BM50" i="82"/>
  <c r="BN50" i="82"/>
  <c r="BO50" i="82"/>
  <c r="BP50" i="82"/>
  <c r="BM51" i="82"/>
  <c r="BN51" i="82"/>
  <c r="BO51" i="82"/>
  <c r="BP51" i="82"/>
  <c r="BM52" i="82"/>
  <c r="BN52" i="82"/>
  <c r="BO52" i="82"/>
  <c r="BP52" i="82"/>
  <c r="BM53" i="82"/>
  <c r="BN53" i="82"/>
  <c r="BO53" i="82"/>
  <c r="BP53" i="82"/>
  <c r="BM54" i="82"/>
  <c r="BN54" i="82"/>
  <c r="BO54" i="82"/>
  <c r="BP54" i="82"/>
  <c r="BM55" i="82"/>
  <c r="BN55" i="82"/>
  <c r="BO55" i="82"/>
  <c r="BP55" i="82"/>
  <c r="BM56" i="82"/>
  <c r="BN56" i="82"/>
  <c r="BO56" i="82"/>
  <c r="BP56" i="82"/>
  <c r="BM57" i="82"/>
  <c r="BN57" i="82"/>
  <c r="BO57" i="82"/>
  <c r="BP57" i="82"/>
  <c r="BM58" i="82"/>
  <c r="BN58" i="82"/>
  <c r="BO58" i="82"/>
  <c r="BP58" i="82"/>
  <c r="BM59" i="82"/>
  <c r="BN59" i="82"/>
  <c r="BO59" i="82"/>
  <c r="BP59" i="82"/>
  <c r="BM60" i="82"/>
  <c r="BN60" i="82"/>
  <c r="BO60" i="82"/>
  <c r="BP60" i="82"/>
  <c r="BM61" i="82"/>
  <c r="BN61" i="82"/>
  <c r="BO61" i="82"/>
  <c r="BP61" i="82"/>
  <c r="BM62" i="82"/>
  <c r="BN62" i="82"/>
  <c r="BO62" i="82"/>
  <c r="BP62" i="82"/>
  <c r="BM63" i="82"/>
  <c r="BN63" i="82"/>
  <c r="BO63" i="82"/>
  <c r="BP63" i="82"/>
  <c r="BM64" i="82"/>
  <c r="BN64" i="82"/>
  <c r="BO64" i="82"/>
  <c r="BP64" i="82"/>
  <c r="BM65" i="82"/>
  <c r="BO65" i="82"/>
  <c r="BP65" i="82"/>
  <c r="BM66" i="82"/>
  <c r="BN66" i="82"/>
  <c r="BO66" i="82"/>
  <c r="BP66" i="82"/>
  <c r="BM67" i="82"/>
  <c r="BN67" i="82"/>
  <c r="BO67" i="82"/>
  <c r="BP67" i="82"/>
  <c r="BM68" i="82"/>
  <c r="BN68" i="82"/>
  <c r="BO68" i="82"/>
  <c r="BP68" i="82"/>
  <c r="BM69" i="82"/>
  <c r="BN69" i="82"/>
  <c r="BO69" i="82"/>
  <c r="BP69" i="82"/>
  <c r="BM70" i="82"/>
  <c r="BN70" i="82"/>
  <c r="BO70" i="82"/>
  <c r="BM71" i="82"/>
  <c r="BN71" i="82"/>
  <c r="BO71" i="82"/>
  <c r="BP71" i="82"/>
  <c r="BM72" i="82"/>
  <c r="BN72" i="82"/>
  <c r="BO72" i="82"/>
  <c r="BP72" i="82"/>
  <c r="BM73" i="82"/>
  <c r="BN73" i="82"/>
  <c r="BO73" i="82"/>
  <c r="BP73" i="82"/>
  <c r="BM74" i="82"/>
  <c r="BN74" i="82"/>
  <c r="BO74" i="82"/>
  <c r="BP74" i="82"/>
  <c r="BM75" i="82"/>
  <c r="BN75" i="82"/>
  <c r="BO75" i="82"/>
  <c r="BP75" i="82"/>
  <c r="BM76" i="82"/>
  <c r="BN76" i="82"/>
  <c r="BO76" i="82"/>
  <c r="BP76" i="82"/>
  <c r="BM77" i="82"/>
  <c r="BN77" i="82"/>
  <c r="BO77" i="82"/>
  <c r="BP77" i="82"/>
  <c r="BM78" i="82"/>
  <c r="BO78" i="82"/>
  <c r="BP78" i="82"/>
  <c r="BM79" i="82"/>
  <c r="BN79" i="82"/>
  <c r="BO79" i="82"/>
  <c r="BP79" i="82"/>
  <c r="BM80" i="82"/>
  <c r="BN80" i="82"/>
  <c r="BO80" i="82"/>
  <c r="BP80" i="82"/>
  <c r="BM81" i="82"/>
  <c r="BN81" i="82"/>
  <c r="BO81" i="82"/>
  <c r="BP81" i="82"/>
  <c r="BM82" i="82"/>
  <c r="BN82" i="82"/>
  <c r="BO82" i="82"/>
  <c r="BP82" i="82"/>
  <c r="BM83" i="82"/>
  <c r="BO83" i="82"/>
  <c r="BP83" i="82"/>
  <c r="BM84" i="82"/>
  <c r="BO84" i="82"/>
  <c r="BP84" i="82"/>
  <c r="BM85" i="82"/>
  <c r="BN85" i="82"/>
  <c r="BO85" i="82"/>
  <c r="BP85" i="82"/>
  <c r="BM86" i="82"/>
  <c r="BN86" i="82"/>
  <c r="BO86" i="82"/>
  <c r="BP86" i="82"/>
  <c r="BM87" i="82"/>
  <c r="BN87" i="82"/>
  <c r="BO87" i="82"/>
  <c r="BP87" i="82"/>
  <c r="BM89" i="82"/>
  <c r="BN89" i="82"/>
  <c r="BO89" i="82"/>
  <c r="BP89" i="82"/>
  <c r="BM90" i="82"/>
  <c r="BN90" i="82"/>
  <c r="BO90" i="82"/>
  <c r="BP90" i="82"/>
  <c r="BM91" i="82"/>
  <c r="BN91" i="82"/>
  <c r="BO91" i="82"/>
  <c r="BP91" i="82"/>
  <c r="BO92" i="82"/>
  <c r="BM93" i="82"/>
  <c r="BN93" i="82"/>
  <c r="BO93" i="82"/>
  <c r="BP93" i="82"/>
  <c r="BM95" i="82"/>
  <c r="BO95" i="82"/>
  <c r="BP95" i="82"/>
  <c r="BO96" i="82"/>
  <c r="BM97" i="82"/>
  <c r="BO97" i="82"/>
  <c r="BO98" i="82"/>
  <c r="BH83" i="82"/>
  <c r="BH80" i="82"/>
  <c r="BH62" i="82"/>
  <c r="BH45" i="82"/>
  <c r="BH42" i="82"/>
  <c r="BH33" i="82"/>
  <c r="BH32" i="82"/>
  <c r="BH19" i="82"/>
  <c r="BH11" i="82"/>
  <c r="BH28" i="82" s="1"/>
  <c r="BG83" i="82"/>
  <c r="BG80" i="82"/>
  <c r="BG62" i="82"/>
  <c r="BG45" i="82"/>
  <c r="BG42" i="82"/>
  <c r="BG33" i="82"/>
  <c r="BG32" i="82"/>
  <c r="BG19" i="82"/>
  <c r="BG28" i="82" s="1"/>
  <c r="BG11" i="82"/>
  <c r="BB83" i="82"/>
  <c r="BB80" i="82"/>
  <c r="BB42" i="82"/>
  <c r="BB33" i="82"/>
  <c r="BA83" i="82"/>
  <c r="BA80" i="82"/>
  <c r="BA45" i="82"/>
  <c r="BA42" i="82"/>
  <c r="BA33" i="82"/>
  <c r="AJ84" i="82"/>
  <c r="AJ83" i="82" s="1"/>
  <c r="AJ80" i="82"/>
  <c r="AJ78" i="82"/>
  <c r="AJ42" i="82"/>
  <c r="AJ33" i="82"/>
  <c r="AJ32" i="82"/>
  <c r="AJ19" i="82"/>
  <c r="AJ11" i="82"/>
  <c r="BN84" i="82" l="1"/>
  <c r="BN78" i="82"/>
  <c r="AJ45" i="82"/>
  <c r="AJ92" i="82" s="1"/>
  <c r="BA92" i="82"/>
  <c r="BB92" i="82"/>
  <c r="AJ28" i="82"/>
  <c r="AD90" i="82" l="1"/>
  <c r="AD82" i="82"/>
  <c r="AD80" i="82"/>
  <c r="AD42" i="82"/>
  <c r="AD33" i="82"/>
  <c r="AD32" i="82"/>
  <c r="AD19" i="82"/>
  <c r="AD11" i="82"/>
  <c r="X83" i="82"/>
  <c r="X80" i="82"/>
  <c r="X79" i="82"/>
  <c r="X45" i="82" s="1"/>
  <c r="X42" i="82"/>
  <c r="X33" i="82"/>
  <c r="X32" i="82"/>
  <c r="X19" i="82"/>
  <c r="X11" i="82"/>
  <c r="W83" i="82"/>
  <c r="W80" i="82"/>
  <c r="W79" i="82"/>
  <c r="W45" i="82" s="1"/>
  <c r="W42" i="82"/>
  <c r="W33" i="82"/>
  <c r="W32" i="82"/>
  <c r="W19" i="82"/>
  <c r="W11" i="82"/>
  <c r="X10" i="82"/>
  <c r="Y10" i="82"/>
  <c r="Z10" i="82"/>
  <c r="R83" i="82"/>
  <c r="R80" i="82"/>
  <c r="R45" i="82"/>
  <c r="R42" i="82"/>
  <c r="R33" i="82"/>
  <c r="R32" i="82"/>
  <c r="R19" i="82"/>
  <c r="R11" i="82"/>
  <c r="Q83" i="82"/>
  <c r="Q80" i="82"/>
  <c r="Q45" i="82"/>
  <c r="Q42" i="82"/>
  <c r="Q33" i="82"/>
  <c r="Q32" i="82"/>
  <c r="Q19" i="82"/>
  <c r="Q11" i="82"/>
  <c r="L83" i="82"/>
  <c r="L80" i="82"/>
  <c r="L45" i="82"/>
  <c r="L42" i="82"/>
  <c r="L33" i="82"/>
  <c r="L32" i="82"/>
  <c r="L19" i="82"/>
  <c r="L11" i="82"/>
  <c r="K83" i="82"/>
  <c r="K80" i="82"/>
  <c r="K45" i="82"/>
  <c r="K42" i="82"/>
  <c r="K33" i="82"/>
  <c r="K32" i="82"/>
  <c r="K19" i="82"/>
  <c r="K11" i="82"/>
  <c r="F90" i="82"/>
  <c r="F86" i="82"/>
  <c r="F84" i="82"/>
  <c r="F80" i="82"/>
  <c r="F56" i="82"/>
  <c r="F55" i="82"/>
  <c r="F42" i="82"/>
  <c r="F35" i="82"/>
  <c r="F33" i="82" s="1"/>
  <c r="F29" i="82"/>
  <c r="F32" i="82" s="1"/>
  <c r="F21" i="82"/>
  <c r="F19" i="82" s="1"/>
  <c r="F11" i="82"/>
  <c r="E90" i="82"/>
  <c r="E86" i="82"/>
  <c r="E84" i="82"/>
  <c r="E80" i="82"/>
  <c r="E56" i="82"/>
  <c r="E55" i="82"/>
  <c r="E45" i="82" s="1"/>
  <c r="E42" i="82"/>
  <c r="E35" i="82"/>
  <c r="E33" i="82" s="1"/>
  <c r="E29" i="82"/>
  <c r="E32" i="82" s="1"/>
  <c r="E21" i="82"/>
  <c r="E19" i="82" s="1"/>
  <c r="E11" i="82"/>
  <c r="E67" i="36"/>
  <c r="E119" i="57"/>
  <c r="F119" i="57"/>
  <c r="E116" i="57"/>
  <c r="E122" i="57"/>
  <c r="W85" i="83"/>
  <c r="W84" i="83"/>
  <c r="W86" i="83"/>
  <c r="W89" i="83"/>
  <c r="W90" i="83"/>
  <c r="V11" i="83"/>
  <c r="V12" i="83"/>
  <c r="V13" i="83"/>
  <c r="V14" i="83"/>
  <c r="V23" i="83" s="1"/>
  <c r="V76" i="83" s="1"/>
  <c r="V80" i="83" s="1"/>
  <c r="V92" i="83" s="1"/>
  <c r="V15" i="83"/>
  <c r="V16" i="83"/>
  <c r="V17" i="83"/>
  <c r="V18" i="83"/>
  <c r="V19" i="83"/>
  <c r="V20" i="83"/>
  <c r="V21" i="83"/>
  <c r="V22" i="83"/>
  <c r="V24" i="83"/>
  <c r="V25" i="83"/>
  <c r="V26" i="83"/>
  <c r="V27" i="83"/>
  <c r="V28" i="83"/>
  <c r="V29" i="83"/>
  <c r="V30" i="83"/>
  <c r="V31" i="83"/>
  <c r="V32" i="83"/>
  <c r="V33" i="83"/>
  <c r="V34" i="83"/>
  <c r="V35" i="83"/>
  <c r="V36" i="83"/>
  <c r="V37" i="83"/>
  <c r="V38" i="83"/>
  <c r="V39" i="83"/>
  <c r="V40" i="83"/>
  <c r="V41" i="83"/>
  <c r="V42" i="83"/>
  <c r="V43" i="83"/>
  <c r="V44" i="83"/>
  <c r="V45" i="83"/>
  <c r="V46" i="83"/>
  <c r="V47" i="83"/>
  <c r="V48" i="83"/>
  <c r="V49" i="83"/>
  <c r="V50" i="83"/>
  <c r="V51" i="83"/>
  <c r="V52" i="83"/>
  <c r="V53" i="83"/>
  <c r="V54" i="83"/>
  <c r="V55" i="83"/>
  <c r="V56" i="83"/>
  <c r="V57" i="83"/>
  <c r="V58" i="83"/>
  <c r="V59" i="83"/>
  <c r="V60" i="83"/>
  <c r="V61" i="83"/>
  <c r="V62" i="83"/>
  <c r="V63" i="83"/>
  <c r="V64" i="83"/>
  <c r="V65" i="83"/>
  <c r="V66" i="83"/>
  <c r="V67" i="83"/>
  <c r="V68" i="83"/>
  <c r="V69" i="83"/>
  <c r="V70" i="83"/>
  <c r="V71" i="83"/>
  <c r="V72" i="83"/>
  <c r="V73" i="83"/>
  <c r="V74" i="83"/>
  <c r="V75" i="83"/>
  <c r="V77" i="83"/>
  <c r="V79" i="83"/>
  <c r="V81" i="83"/>
  <c r="V84" i="83"/>
  <c r="V85" i="83"/>
  <c r="V86" i="83"/>
  <c r="V89" i="83"/>
  <c r="V90" i="83"/>
  <c r="V91" i="83"/>
  <c r="K77" i="83"/>
  <c r="K64" i="83"/>
  <c r="K61" i="83"/>
  <c r="K58" i="83"/>
  <c r="K44" i="83"/>
  <c r="K73" i="83" s="1"/>
  <c r="K36" i="83"/>
  <c r="K27" i="83"/>
  <c r="K26" i="83"/>
  <c r="K23" i="83"/>
  <c r="K80" i="83" s="1"/>
  <c r="K17" i="83"/>
  <c r="K16" i="83"/>
  <c r="E77" i="83"/>
  <c r="E69" i="83"/>
  <c r="E64" i="83"/>
  <c r="E61" i="83"/>
  <c r="E58" i="83"/>
  <c r="E44" i="83" s="1"/>
  <c r="E56" i="83"/>
  <c r="E36" i="83"/>
  <c r="E29" i="83"/>
  <c r="E27" i="83" s="1"/>
  <c r="E73" i="83" s="1"/>
  <c r="E26" i="83"/>
  <c r="E22" i="83"/>
  <c r="E18" i="83"/>
  <c r="E17" i="83"/>
  <c r="E23" i="83" s="1"/>
  <c r="I13" i="39"/>
  <c r="I14" i="39"/>
  <c r="I12" i="39"/>
  <c r="E18" i="39"/>
  <c r="E17" i="39" s="1"/>
  <c r="E16" i="39"/>
  <c r="E14" i="39"/>
  <c r="E11" i="39" s="1"/>
  <c r="E10" i="39" s="1"/>
  <c r="E9" i="39" s="1"/>
  <c r="E13" i="39"/>
  <c r="E12" i="39"/>
  <c r="E57" i="39"/>
  <c r="E51" i="39"/>
  <c r="E42" i="39"/>
  <c r="E40" i="39"/>
  <c r="E38" i="39" s="1"/>
  <c r="E36" i="39" s="1"/>
  <c r="E32" i="39"/>
  <c r="F68" i="36"/>
  <c r="F90" i="58"/>
  <c r="F88" i="58" s="1"/>
  <c r="F87" i="58" s="1"/>
  <c r="F82" i="58"/>
  <c r="F72" i="58"/>
  <c r="F68" i="58"/>
  <c r="F67" i="58"/>
  <c r="F63" i="58"/>
  <c r="F50" i="58"/>
  <c r="F46" i="58"/>
  <c r="F40" i="58"/>
  <c r="F39" i="58"/>
  <c r="F38" i="58"/>
  <c r="F37" i="58"/>
  <c r="F36" i="58" s="1"/>
  <c r="F35" i="58" s="1"/>
  <c r="F31" i="58"/>
  <c r="F25" i="58"/>
  <c r="F23" i="58"/>
  <c r="F22" i="58" s="1"/>
  <c r="F14" i="58"/>
  <c r="F13" i="58" s="1"/>
  <c r="F2" i="58"/>
  <c r="E13" i="57"/>
  <c r="E12" i="57" s="1"/>
  <c r="E11" i="57" s="1"/>
  <c r="F13" i="57"/>
  <c r="F12" i="57" s="1"/>
  <c r="F11" i="57" s="1"/>
  <c r="E14" i="57"/>
  <c r="F14" i="57"/>
  <c r="E15" i="57"/>
  <c r="F15" i="57"/>
  <c r="E16" i="57"/>
  <c r="F16" i="57"/>
  <c r="E17" i="57"/>
  <c r="F17" i="57"/>
  <c r="E18" i="57"/>
  <c r="F18" i="57"/>
  <c r="E24" i="57"/>
  <c r="F24" i="57"/>
  <c r="E28" i="57"/>
  <c r="F28" i="57"/>
  <c r="F29" i="57"/>
  <c r="F27" i="57" s="1"/>
  <c r="F25" i="57" s="1"/>
  <c r="E30" i="57"/>
  <c r="E29" i="57" s="1"/>
  <c r="F30" i="57"/>
  <c r="F31" i="57"/>
  <c r="E32" i="57"/>
  <c r="E31" i="57" s="1"/>
  <c r="F32" i="57"/>
  <c r="E36" i="57"/>
  <c r="E35" i="57" s="1"/>
  <c r="F37" i="57"/>
  <c r="F38" i="57"/>
  <c r="F36" i="57" s="1"/>
  <c r="F35" i="57" s="1"/>
  <c r="E41" i="57"/>
  <c r="F41" i="57"/>
  <c r="F42" i="57"/>
  <c r="E46" i="57"/>
  <c r="F46" i="57"/>
  <c r="E51" i="57"/>
  <c r="E45" i="57" s="1"/>
  <c r="F51" i="57"/>
  <c r="F45" i="57" s="1"/>
  <c r="E53" i="57"/>
  <c r="F53" i="57"/>
  <c r="E57" i="57"/>
  <c r="F57" i="57"/>
  <c r="E59" i="57"/>
  <c r="E58" i="57" s="1"/>
  <c r="F59" i="57"/>
  <c r="F58" i="57" s="1"/>
  <c r="E60" i="57"/>
  <c r="F60" i="57"/>
  <c r="E61" i="57"/>
  <c r="F61" i="57"/>
  <c r="E74" i="57"/>
  <c r="E70" i="57" s="1"/>
  <c r="F74" i="57"/>
  <c r="E78" i="57"/>
  <c r="F78" i="57"/>
  <c r="E82" i="57"/>
  <c r="F82" i="57"/>
  <c r="E86" i="57"/>
  <c r="E83" i="57" s="1"/>
  <c r="F86" i="57"/>
  <c r="F83" i="57" s="1"/>
  <c r="E87" i="57"/>
  <c r="F87" i="57"/>
  <c r="E88" i="57"/>
  <c r="F88" i="57"/>
  <c r="E89" i="57"/>
  <c r="F89" i="57"/>
  <c r="E91" i="57"/>
  <c r="F91" i="57"/>
  <c r="E94" i="57"/>
  <c r="E95" i="57"/>
  <c r="F95" i="57"/>
  <c r="E103" i="57"/>
  <c r="E102" i="57" s="1"/>
  <c r="F103" i="57"/>
  <c r="F102" i="57" s="1"/>
  <c r="E104" i="57"/>
  <c r="F104" i="57"/>
  <c r="E108" i="57"/>
  <c r="F108" i="57"/>
  <c r="E61" i="36"/>
  <c r="J99" i="57"/>
  <c r="L64" i="83"/>
  <c r="L61" i="83"/>
  <c r="L58" i="83"/>
  <c r="L44" i="83"/>
  <c r="L36" i="83"/>
  <c r="L27" i="83"/>
  <c r="L26" i="83"/>
  <c r="L17" i="83"/>
  <c r="L16" i="83"/>
  <c r="F61" i="83"/>
  <c r="F58" i="83"/>
  <c r="F44" i="83"/>
  <c r="F36" i="83"/>
  <c r="F29" i="83"/>
  <c r="F27" i="83" s="1"/>
  <c r="F26" i="83"/>
  <c r="F22" i="83"/>
  <c r="F18" i="83"/>
  <c r="F17" i="83"/>
  <c r="F64" i="83"/>
  <c r="D95" i="57"/>
  <c r="D94" i="57"/>
  <c r="D91" i="57"/>
  <c r="D89" i="57"/>
  <c r="D88" i="57"/>
  <c r="D87" i="57"/>
  <c r="D86" i="57"/>
  <c r="D83" i="57"/>
  <c r="D82" i="57"/>
  <c r="D78" i="57"/>
  <c r="D74" i="57"/>
  <c r="D70" i="57"/>
  <c r="D61" i="57"/>
  <c r="D60" i="57"/>
  <c r="D59" i="57"/>
  <c r="D58" i="57"/>
  <c r="D57" i="57"/>
  <c r="D53" i="57"/>
  <c r="D51" i="57" s="1"/>
  <c r="D46" i="57"/>
  <c r="D41" i="57"/>
  <c r="D36" i="57"/>
  <c r="D35" i="57"/>
  <c r="D32" i="57"/>
  <c r="D31" i="57" s="1"/>
  <c r="D30" i="57"/>
  <c r="D29" i="57"/>
  <c r="D28" i="57"/>
  <c r="D24" i="57"/>
  <c r="D18" i="57"/>
  <c r="D17" i="57"/>
  <c r="D16" i="57"/>
  <c r="D15" i="57"/>
  <c r="D12" i="57" s="1"/>
  <c r="D11" i="57" s="1"/>
  <c r="D14" i="57"/>
  <c r="D13" i="57"/>
  <c r="F66" i="58" l="1"/>
  <c r="F45" i="58"/>
  <c r="F44" i="58" s="1"/>
  <c r="F43" i="58" s="1"/>
  <c r="F70" i="57"/>
  <c r="F8" i="58"/>
  <c r="W28" i="82"/>
  <c r="X28" i="82"/>
  <c r="F83" i="82"/>
  <c r="F45" i="82"/>
  <c r="AD28" i="82"/>
  <c r="E83" i="82"/>
  <c r="F28" i="82"/>
  <c r="Q28" i="82"/>
  <c r="R28" i="82"/>
  <c r="K28" i="82"/>
  <c r="L28" i="82"/>
  <c r="E28" i="82"/>
  <c r="W91" i="83"/>
  <c r="V93" i="83"/>
  <c r="K76" i="83"/>
  <c r="E80" i="83"/>
  <c r="E76" i="83"/>
  <c r="F23" i="83"/>
  <c r="L23" i="83"/>
  <c r="E27" i="57"/>
  <c r="E25" i="57" s="1"/>
  <c r="F10" i="57"/>
  <c r="F9" i="57" s="1"/>
  <c r="F8" i="57" s="1"/>
  <c r="E10" i="57"/>
  <c r="E9" i="57" s="1"/>
  <c r="E8" i="57" s="1"/>
  <c r="D45" i="57"/>
  <c r="D27" i="57"/>
  <c r="D25" i="57" s="1"/>
  <c r="D10" i="57" s="1"/>
  <c r="D9" i="57" s="1"/>
  <c r="D8" i="57" s="1"/>
  <c r="AC65" i="82" l="1"/>
  <c r="J42" i="57" l="1"/>
  <c r="J59" i="57"/>
  <c r="J37" i="57"/>
  <c r="J32" i="57"/>
  <c r="J30" i="57"/>
  <c r="J28" i="57"/>
  <c r="J24" i="57"/>
  <c r="J13" i="57"/>
  <c r="J38" i="57"/>
  <c r="M27" i="52"/>
  <c r="L27" i="52"/>
  <c r="M26" i="52"/>
  <c r="M25" i="52"/>
  <c r="N11" i="56"/>
  <c r="M11" i="56"/>
  <c r="Q11" i="56"/>
  <c r="AY111" i="82"/>
  <c r="AY109" i="82"/>
  <c r="E68" i="58"/>
  <c r="L32" i="52" l="1"/>
  <c r="L77" i="83" l="1"/>
  <c r="F77" i="83"/>
  <c r="E129" i="57"/>
  <c r="E128" i="57" s="1"/>
  <c r="E126" i="57"/>
  <c r="E90" i="58"/>
  <c r="E88" i="58" s="1"/>
  <c r="E87" i="58" s="1"/>
  <c r="E85" i="58"/>
  <c r="E82" i="58" s="1"/>
  <c r="E72" i="58"/>
  <c r="E67" i="58"/>
  <c r="E63" i="58"/>
  <c r="E50" i="58"/>
  <c r="E46" i="58"/>
  <c r="E40" i="58"/>
  <c r="E39" i="58"/>
  <c r="E105" i="57" s="1"/>
  <c r="E38" i="58"/>
  <c r="E37" i="58"/>
  <c r="E36" i="58" s="1"/>
  <c r="E31" i="58"/>
  <c r="E27" i="58"/>
  <c r="E25" i="58" s="1"/>
  <c r="E23" i="58"/>
  <c r="E22" i="58" s="1"/>
  <c r="E14" i="58"/>
  <c r="D61" i="39"/>
  <c r="D57" i="39"/>
  <c r="D51" i="39" s="1"/>
  <c r="D40" i="39"/>
  <c r="D32" i="39"/>
  <c r="D18" i="39"/>
  <c r="D17" i="39" s="1"/>
  <c r="D16" i="39"/>
  <c r="AC84" i="82"/>
  <c r="AC42" i="82"/>
  <c r="AC33" i="82"/>
  <c r="AC32" i="82"/>
  <c r="AC19" i="82"/>
  <c r="AI78" i="82"/>
  <c r="AI84" i="82"/>
  <c r="AI47" i="82"/>
  <c r="AI42" i="82"/>
  <c r="AI33" i="82"/>
  <c r="AI32" i="82"/>
  <c r="AI19" i="82"/>
  <c r="AI11" i="82"/>
  <c r="AB65" i="82"/>
  <c r="O110" i="82"/>
  <c r="E66" i="58" l="1"/>
  <c r="F73" i="83"/>
  <c r="L73" i="83"/>
  <c r="E45" i="58"/>
  <c r="E44" i="58" s="1"/>
  <c r="E35" i="58"/>
  <c r="E13" i="58"/>
  <c r="E8" i="58" s="1"/>
  <c r="BG92" i="82"/>
  <c r="AI45" i="82"/>
  <c r="AI28" i="82"/>
  <c r="K92" i="82"/>
  <c r="G57" i="97"/>
  <c r="F68" i="97"/>
  <c r="E68" i="97"/>
  <c r="G80" i="97"/>
  <c r="F80" i="97"/>
  <c r="E80" i="97"/>
  <c r="E43" i="58" l="1"/>
  <c r="E93" i="58" s="1"/>
  <c r="L80" i="83"/>
  <c r="L76" i="83"/>
  <c r="E112" i="57"/>
  <c r="F80" i="83"/>
  <c r="F76" i="83"/>
  <c r="E42" i="58"/>
  <c r="K96" i="82"/>
  <c r="K98" i="82" s="1"/>
  <c r="E92" i="82"/>
  <c r="M23" i="53"/>
  <c r="E57" i="97" l="1"/>
  <c r="D90" i="58"/>
  <c r="D126" i="57"/>
  <c r="D55" i="82"/>
  <c r="D86" i="82"/>
  <c r="E58" i="97" l="1"/>
  <c r="D85" i="58" l="1"/>
  <c r="D68" i="58"/>
  <c r="M12" i="56" l="1"/>
  <c r="D29" i="82" l="1"/>
  <c r="E8" i="52"/>
  <c r="E16" i="52" s="1"/>
  <c r="D8" i="52"/>
  <c r="C8" i="52"/>
  <c r="D11" i="52"/>
  <c r="F29" i="97"/>
  <c r="D16" i="52" l="1"/>
  <c r="D84" i="82" l="1"/>
  <c r="D74" i="97" l="1"/>
  <c r="D61" i="97"/>
  <c r="B61" i="97"/>
  <c r="D59" i="97"/>
  <c r="N14" i="56"/>
  <c r="N15" i="56" s="1"/>
  <c r="M14" i="56"/>
  <c r="K14" i="56"/>
  <c r="N27" i="52"/>
  <c r="B61" i="36"/>
  <c r="D61" i="36"/>
  <c r="J58" i="83"/>
  <c r="D58" i="83"/>
  <c r="D56" i="83"/>
  <c r="D29" i="83"/>
  <c r="U85" i="83"/>
  <c r="C57" i="39"/>
  <c r="V79" i="82"/>
  <c r="AB84" i="82"/>
  <c r="D35" i="82"/>
  <c r="C18" i="39"/>
  <c r="AH84" i="82"/>
  <c r="J53" i="57"/>
  <c r="AH47" i="82"/>
  <c r="I119" i="82"/>
  <c r="C119" i="82"/>
  <c r="H186" i="96"/>
  <c r="F22" i="80" l="1"/>
  <c r="D82" i="58"/>
  <c r="D76" i="36" s="1"/>
  <c r="D23" i="58"/>
  <c r="D22" i="58" s="1"/>
  <c r="D129" i="57"/>
  <c r="D128" i="57" s="1"/>
  <c r="J77" i="83"/>
  <c r="J64" i="83"/>
  <c r="J61" i="83"/>
  <c r="J44" i="83"/>
  <c r="J36" i="83"/>
  <c r="J27" i="83"/>
  <c r="J26" i="83"/>
  <c r="J17" i="83"/>
  <c r="J16" i="83"/>
  <c r="D77" i="83"/>
  <c r="D69" i="83"/>
  <c r="D64" i="83" s="1"/>
  <c r="D61" i="83"/>
  <c r="D44" i="83"/>
  <c r="D36" i="83"/>
  <c r="D27" i="83"/>
  <c r="D26" i="83"/>
  <c r="D22" i="83"/>
  <c r="D18" i="83"/>
  <c r="D17" i="83"/>
  <c r="BF80" i="82"/>
  <c r="BF62" i="82"/>
  <c r="BF45" i="82" s="1"/>
  <c r="BF42" i="82"/>
  <c r="BF33" i="82"/>
  <c r="BF32" i="82"/>
  <c r="BF19" i="82"/>
  <c r="BF11" i="82"/>
  <c r="AH45" i="82"/>
  <c r="AH42" i="82"/>
  <c r="AH33" i="82"/>
  <c r="AH32" i="82"/>
  <c r="AH19" i="82"/>
  <c r="AH11" i="82"/>
  <c r="AB90" i="82"/>
  <c r="AB82" i="82"/>
  <c r="AB80" i="82" s="1"/>
  <c r="AB42" i="82"/>
  <c r="AB33" i="82"/>
  <c r="AB32" i="82"/>
  <c r="AB19" i="82"/>
  <c r="AB11" i="82"/>
  <c r="V83" i="82"/>
  <c r="V80" i="82"/>
  <c r="V45" i="82"/>
  <c r="V42" i="82"/>
  <c r="V33" i="82"/>
  <c r="V32" i="82"/>
  <c r="V19" i="82"/>
  <c r="P45" i="82"/>
  <c r="J83" i="82"/>
  <c r="J80" i="82"/>
  <c r="J45" i="82"/>
  <c r="J42" i="82"/>
  <c r="J33" i="82"/>
  <c r="J32" i="82"/>
  <c r="J19" i="82"/>
  <c r="J11" i="82"/>
  <c r="D90" i="82"/>
  <c r="D83" i="82" s="1"/>
  <c r="D80" i="82"/>
  <c r="D56" i="82"/>
  <c r="D45" i="82" s="1"/>
  <c r="D42" i="82"/>
  <c r="D33" i="82"/>
  <c r="D32" i="82"/>
  <c r="D21" i="82"/>
  <c r="D19" i="82" s="1"/>
  <c r="D11" i="82"/>
  <c r="C61" i="39"/>
  <c r="C51" i="39"/>
  <c r="C40" i="39"/>
  <c r="C32" i="39"/>
  <c r="C17" i="39"/>
  <c r="C16" i="39"/>
  <c r="D88" i="58"/>
  <c r="D87" i="58" s="1"/>
  <c r="D72" i="58"/>
  <c r="D67" i="58"/>
  <c r="D63" i="58"/>
  <c r="D50" i="58"/>
  <c r="D46" i="58"/>
  <c r="D40" i="58"/>
  <c r="D39" i="58"/>
  <c r="D105" i="57" s="1"/>
  <c r="D38" i="58"/>
  <c r="D37" i="58"/>
  <c r="D36" i="58" s="1"/>
  <c r="D31" i="58"/>
  <c r="D27" i="58"/>
  <c r="D25" i="58" s="1"/>
  <c r="D14" i="58"/>
  <c r="D108" i="57"/>
  <c r="D104" i="57"/>
  <c r="D103" i="57" s="1"/>
  <c r="D102" i="57" s="1"/>
  <c r="C13" i="39"/>
  <c r="C12" i="39"/>
  <c r="N22" i="53"/>
  <c r="E58" i="81"/>
  <c r="E122" i="81"/>
  <c r="E143" i="81"/>
  <c r="E136" i="81"/>
  <c r="B32" i="39"/>
  <c r="B40" i="39"/>
  <c r="C59" i="57"/>
  <c r="H21" i="102"/>
  <c r="H20" i="102"/>
  <c r="AB28" i="82" l="1"/>
  <c r="J23" i="83"/>
  <c r="D35" i="58"/>
  <c r="C14" i="39"/>
  <c r="C11" i="39" s="1"/>
  <c r="C10" i="39" s="1"/>
  <c r="C9" i="39" s="1"/>
  <c r="AH28" i="82"/>
  <c r="BF28" i="82"/>
  <c r="C42" i="39"/>
  <c r="C38" i="39" s="1"/>
  <c r="C36" i="39" s="1"/>
  <c r="C35" i="39" s="1"/>
  <c r="J92" i="82"/>
  <c r="D66" i="58"/>
  <c r="J28" i="82"/>
  <c r="D23" i="83"/>
  <c r="J73" i="83"/>
  <c r="D75" i="97"/>
  <c r="D73" i="83"/>
  <c r="V92" i="82"/>
  <c r="D45" i="58"/>
  <c r="D13" i="58"/>
  <c r="D8" i="58" s="1"/>
  <c r="D92" i="82"/>
  <c r="D28" i="82"/>
  <c r="J6" i="102"/>
  <c r="I6" i="102"/>
  <c r="H6" i="102"/>
  <c r="B11" i="52"/>
  <c r="C15" i="56"/>
  <c r="B9" i="52"/>
  <c r="J80" i="83" l="1"/>
  <c r="D42" i="58"/>
  <c r="J76" i="83"/>
  <c r="D76" i="83"/>
  <c r="D97" i="82"/>
  <c r="J96" i="82"/>
  <c r="J98" i="82" s="1"/>
  <c r="D80" i="83"/>
  <c r="D44" i="58"/>
  <c r="D43" i="58" s="1"/>
  <c r="D93" i="58" s="1"/>
  <c r="C67" i="39"/>
  <c r="D95" i="82" s="1"/>
  <c r="D96" i="82" s="1"/>
  <c r="D98" i="82" s="1"/>
  <c r="C85" i="58"/>
  <c r="D125" i="57" l="1"/>
  <c r="D124" i="57" s="1"/>
  <c r="F16" i="80"/>
  <c r="J6" i="101"/>
  <c r="J20" i="101" s="1"/>
  <c r="B38" i="101"/>
  <c r="T20" i="101"/>
  <c r="K20" i="101"/>
  <c r="O19" i="101"/>
  <c r="M19" i="101"/>
  <c r="L19" i="101"/>
  <c r="R18" i="101"/>
  <c r="P18" i="101"/>
  <c r="H18" i="101"/>
  <c r="R17" i="101"/>
  <c r="P17" i="101"/>
  <c r="H17" i="101"/>
  <c r="R16" i="101"/>
  <c r="P16" i="101"/>
  <c r="H16" i="101"/>
  <c r="R15" i="101"/>
  <c r="P15" i="101"/>
  <c r="H15" i="101"/>
  <c r="R14" i="101"/>
  <c r="P14" i="101"/>
  <c r="H14" i="101"/>
  <c r="R13" i="101"/>
  <c r="P13" i="101"/>
  <c r="H13" i="101"/>
  <c r="R12" i="101"/>
  <c r="P12" i="101"/>
  <c r="H12" i="101"/>
  <c r="R11" i="101"/>
  <c r="P11" i="101"/>
  <c r="H11" i="101"/>
  <c r="R10" i="101"/>
  <c r="P10" i="101"/>
  <c r="H10" i="101"/>
  <c r="R9" i="101"/>
  <c r="P9" i="101"/>
  <c r="H9" i="101"/>
  <c r="R8" i="101"/>
  <c r="P8" i="101"/>
  <c r="D20" i="101"/>
  <c r="H8" i="101"/>
  <c r="R7" i="101"/>
  <c r="P7" i="101"/>
  <c r="H7" i="101"/>
  <c r="R6" i="101"/>
  <c r="O20" i="101"/>
  <c r="N20" i="101"/>
  <c r="L20" i="101"/>
  <c r="G20" i="101"/>
  <c r="F20" i="101"/>
  <c r="E20" i="101"/>
  <c r="H6" i="101"/>
  <c r="B20" i="101"/>
  <c r="Q11" i="101" l="1"/>
  <c r="S11" i="101" s="1"/>
  <c r="Q15" i="101"/>
  <c r="S15" i="101" s="1"/>
  <c r="R20" i="101"/>
  <c r="Q7" i="101"/>
  <c r="S7" i="101" s="1"/>
  <c r="Q12" i="101"/>
  <c r="S12" i="101" s="1"/>
  <c r="Q16" i="101"/>
  <c r="S16" i="101" s="1"/>
  <c r="P19" i="101"/>
  <c r="Q19" i="101" s="1"/>
  <c r="S19" i="101" s="1"/>
  <c r="M20" i="101"/>
  <c r="P20" i="101" s="1"/>
  <c r="Q10" i="101"/>
  <c r="S10" i="101" s="1"/>
  <c r="Q14" i="101"/>
  <c r="S14" i="101" s="1"/>
  <c r="Q18" i="101"/>
  <c r="S18" i="101" s="1"/>
  <c r="Q8" i="101"/>
  <c r="S8" i="101" s="1"/>
  <c r="Q13" i="101"/>
  <c r="S13" i="101" s="1"/>
  <c r="Q17" i="101"/>
  <c r="S17" i="101" s="1"/>
  <c r="H20" i="101"/>
  <c r="Q9" i="101"/>
  <c r="S9" i="101" s="1"/>
  <c r="C20" i="101"/>
  <c r="E21" i="101" s="1"/>
  <c r="P6" i="101"/>
  <c r="Q6" i="101" s="1"/>
  <c r="Q20" i="101" l="1"/>
  <c r="S20" i="101" s="1"/>
  <c r="S6" i="101"/>
  <c r="F34" i="80"/>
  <c r="B18" i="39" l="1"/>
  <c r="C86" i="57"/>
  <c r="C84" i="82" l="1"/>
  <c r="C56" i="82"/>
  <c r="C69" i="83"/>
  <c r="C96" i="83" s="1"/>
  <c r="I16" i="83"/>
  <c r="D96" i="83"/>
  <c r="F96" i="83"/>
  <c r="AG93" i="82" l="1"/>
  <c r="C60" i="57"/>
  <c r="C94" i="57" l="1"/>
  <c r="C104" i="57" l="1"/>
  <c r="J60" i="57"/>
  <c r="L60" i="57" s="1"/>
  <c r="C61" i="57" l="1"/>
  <c r="H60" i="57"/>
  <c r="H57" i="57"/>
  <c r="J57" i="57"/>
  <c r="L43" i="57"/>
  <c r="J94" i="57"/>
  <c r="C17" i="83" l="1"/>
  <c r="B16" i="39"/>
  <c r="C57" i="57"/>
  <c r="B15" i="39"/>
  <c r="C90" i="82" l="1"/>
  <c r="C145" i="82" s="1"/>
  <c r="C37" i="58" l="1"/>
  <c r="C87" i="57"/>
  <c r="Z140" i="83" l="1"/>
  <c r="AY113" i="82"/>
  <c r="D145" i="82"/>
  <c r="E145" i="82"/>
  <c r="AB83" i="82" l="1"/>
  <c r="AD85" i="82"/>
  <c r="AD83" i="82" s="1"/>
  <c r="BN83" i="82" s="1"/>
  <c r="T85" i="83"/>
  <c r="AH145" i="82"/>
  <c r="AI145" i="82"/>
  <c r="AG145" i="82"/>
  <c r="BF145" i="82"/>
  <c r="BG145" i="82"/>
  <c r="BE145" i="82"/>
  <c r="I145" i="82"/>
  <c r="J145" i="82"/>
  <c r="K145" i="82"/>
  <c r="L145" i="82"/>
  <c r="N145" i="82"/>
  <c r="O145" i="82"/>
  <c r="P145" i="82"/>
  <c r="Q145" i="82"/>
  <c r="U145" i="82"/>
  <c r="V145" i="82"/>
  <c r="W145" i="82"/>
  <c r="X145" i="82"/>
  <c r="Z145" i="82"/>
  <c r="AJ145" i="82"/>
  <c r="AM145" i="82"/>
  <c r="AN145" i="82"/>
  <c r="AO145" i="82"/>
  <c r="AP145" i="82"/>
  <c r="AR145" i="82"/>
  <c r="AS145" i="82"/>
  <c r="AT145" i="82"/>
  <c r="AU145" i="82"/>
  <c r="AV145" i="82"/>
  <c r="AX145" i="82"/>
  <c r="AY145" i="82"/>
  <c r="AZ145" i="82"/>
  <c r="BA145" i="82"/>
  <c r="BH145" i="82"/>
  <c r="BJ145" i="82"/>
  <c r="C89" i="57"/>
  <c r="I89" i="57"/>
  <c r="I88" i="57"/>
  <c r="J89" i="57"/>
  <c r="AA65" i="82" l="1"/>
  <c r="H37" i="58" l="1"/>
  <c r="H36" i="58" s="1"/>
  <c r="H31" i="58"/>
  <c r="H27" i="58"/>
  <c r="H25" i="58" s="1"/>
  <c r="H22" i="58"/>
  <c r="H14" i="58"/>
  <c r="H108" i="57"/>
  <c r="H104" i="57"/>
  <c r="H103" i="57" s="1"/>
  <c r="H102" i="57" s="1"/>
  <c r="H95" i="57"/>
  <c r="H94" i="57"/>
  <c r="H91" i="57"/>
  <c r="H89" i="57"/>
  <c r="H82" i="57"/>
  <c r="H78" i="57"/>
  <c r="H74" i="57"/>
  <c r="H61" i="57"/>
  <c r="H59" i="57"/>
  <c r="H51" i="57"/>
  <c r="H46" i="57"/>
  <c r="H41" i="57"/>
  <c r="H36" i="57"/>
  <c r="H35" i="57" s="1"/>
  <c r="H32" i="57"/>
  <c r="H31" i="57" s="1"/>
  <c r="H30" i="57"/>
  <c r="H29" i="57" s="1"/>
  <c r="H28" i="57"/>
  <c r="H24" i="57"/>
  <c r="H18" i="57"/>
  <c r="H17" i="57"/>
  <c r="H16" i="57"/>
  <c r="H15" i="57"/>
  <c r="H14" i="57"/>
  <c r="H13" i="57"/>
  <c r="D13" i="39"/>
  <c r="D12" i="39"/>
  <c r="H126" i="57"/>
  <c r="D14" i="39" l="1"/>
  <c r="D42" i="39"/>
  <c r="D38" i="39" s="1"/>
  <c r="D36" i="39" s="1"/>
  <c r="D35" i="39" s="1"/>
  <c r="H45" i="57"/>
  <c r="H70" i="57"/>
  <c r="H58" i="57"/>
  <c r="H83" i="57"/>
  <c r="H12" i="57"/>
  <c r="H11" i="57" s="1"/>
  <c r="H27" i="57"/>
  <c r="H25" i="57" s="1"/>
  <c r="D11" i="39" l="1"/>
  <c r="D10" i="39" s="1"/>
  <c r="D9" i="39" s="1"/>
  <c r="D67" i="39" s="1"/>
  <c r="E125" i="57" s="1"/>
  <c r="E124" i="57" s="1"/>
  <c r="H10" i="57"/>
  <c r="H9" i="57" s="1"/>
  <c r="H8" i="57" s="1"/>
  <c r="O133" i="82"/>
  <c r="O135" i="82"/>
  <c r="O136" i="82"/>
  <c r="O137" i="82"/>
  <c r="O138" i="82"/>
  <c r="O131" i="82" l="1"/>
  <c r="O129" i="82" l="1"/>
  <c r="O128" i="82"/>
  <c r="O126" i="82"/>
  <c r="O124" i="82"/>
  <c r="O122" i="82"/>
  <c r="O120" i="82"/>
  <c r="O119" i="82"/>
  <c r="O117" i="82"/>
  <c r="O116" i="82"/>
  <c r="O115" i="82"/>
  <c r="O114" i="82"/>
  <c r="H67" i="58"/>
  <c r="C67" i="58"/>
  <c r="AC82" i="82"/>
  <c r="AA82" i="82"/>
  <c r="C13" i="52" l="1"/>
  <c r="M13" i="56"/>
  <c r="C55" i="82"/>
  <c r="C27" i="58" l="1"/>
  <c r="C86" i="82" l="1"/>
  <c r="AB145" i="82" l="1"/>
  <c r="AC90" i="82"/>
  <c r="AC145" i="82" s="1"/>
  <c r="AA90" i="82"/>
  <c r="C22" i="83" l="1"/>
  <c r="AA25" i="83" s="1"/>
  <c r="AF25" i="83"/>
  <c r="I17" i="83" l="1"/>
  <c r="C18" i="83" l="1"/>
  <c r="BK34" i="82" l="1"/>
  <c r="BL34" i="82"/>
  <c r="BE62" i="82"/>
  <c r="C91" i="57"/>
  <c r="K89" i="57"/>
  <c r="K88" i="57"/>
  <c r="C82" i="57"/>
  <c r="G30" i="39" l="1"/>
  <c r="G17" i="39" s="1"/>
  <c r="B17" i="39"/>
  <c r="C57" i="36" l="1"/>
  <c r="C21" i="102" s="1"/>
  <c r="K11" i="57" l="1"/>
  <c r="C24" i="57"/>
  <c r="G43" i="39" l="1"/>
  <c r="G16" i="39"/>
  <c r="L22" i="57" l="1"/>
  <c r="AA86" i="83" l="1"/>
  <c r="T18" i="83" l="1"/>
  <c r="U18" i="83"/>
  <c r="W18" i="83"/>
  <c r="T19" i="83"/>
  <c r="U19" i="83"/>
  <c r="W19" i="83"/>
  <c r="T20" i="83"/>
  <c r="T21" i="83"/>
  <c r="U21" i="83"/>
  <c r="W21" i="83"/>
  <c r="AF24" i="83"/>
  <c r="AA24" i="83" l="1"/>
  <c r="AA65" i="83"/>
  <c r="I58" i="83"/>
  <c r="AB65" i="83" l="1"/>
  <c r="I96" i="83"/>
  <c r="AA55" i="83"/>
  <c r="C17" i="57" l="1"/>
  <c r="J46" i="57"/>
  <c r="C46" i="57"/>
  <c r="C32" i="57"/>
  <c r="C30" i="57"/>
  <c r="C28" i="57"/>
  <c r="C18" i="57"/>
  <c r="C16" i="57"/>
  <c r="C15" i="57"/>
  <c r="C14" i="57"/>
  <c r="C13" i="57"/>
  <c r="B42" i="39" l="1"/>
  <c r="BK22" i="82"/>
  <c r="BL22" i="82"/>
  <c r="BK23" i="82"/>
  <c r="BL23" i="82"/>
  <c r="BK24" i="82"/>
  <c r="BL24" i="82"/>
  <c r="BK25" i="82"/>
  <c r="BL25" i="82"/>
  <c r="BK26" i="82"/>
  <c r="BL26" i="82"/>
  <c r="BK13" i="82"/>
  <c r="BL13" i="82"/>
  <c r="BK14" i="82"/>
  <c r="BL14" i="82"/>
  <c r="BK15" i="82"/>
  <c r="BL15" i="82"/>
  <c r="BK16" i="82"/>
  <c r="BL16" i="82"/>
  <c r="BK17" i="82"/>
  <c r="BL17" i="82"/>
  <c r="BK18" i="82"/>
  <c r="BL18" i="82"/>
  <c r="AA15" i="83" l="1"/>
  <c r="T22" i="83" l="1"/>
  <c r="W22" i="83"/>
  <c r="U22" i="83"/>
  <c r="T57" i="83"/>
  <c r="U57" i="83"/>
  <c r="W57" i="83"/>
  <c r="U56" i="83"/>
  <c r="T56" i="83"/>
  <c r="N56" i="83"/>
  <c r="M56" i="83"/>
  <c r="W56" i="83"/>
  <c r="W55" i="83"/>
  <c r="U55" i="83"/>
  <c r="T55" i="83"/>
  <c r="W54" i="83"/>
  <c r="U54" i="83"/>
  <c r="T54" i="83"/>
  <c r="W53" i="83"/>
  <c r="U53" i="83"/>
  <c r="T53" i="83"/>
  <c r="T35" i="83"/>
  <c r="U35" i="83"/>
  <c r="W35" i="83"/>
  <c r="T32" i="83"/>
  <c r="W32" i="83"/>
  <c r="U32" i="83"/>
  <c r="G2" i="97"/>
  <c r="H31" i="52"/>
  <c r="J31" i="52"/>
  <c r="L31" i="52"/>
  <c r="F31" i="52"/>
  <c r="D31" i="52"/>
  <c r="T17" i="83"/>
  <c r="U17" i="83"/>
  <c r="T16" i="83"/>
  <c r="N15" i="83"/>
  <c r="M15" i="83"/>
  <c r="H15" i="83"/>
  <c r="G15" i="83"/>
  <c r="T14" i="83"/>
  <c r="W14" i="83"/>
  <c r="U14" i="83"/>
  <c r="W13" i="83"/>
  <c r="U13" i="83"/>
  <c r="T13" i="83"/>
  <c r="U12" i="83"/>
  <c r="T12" i="83"/>
  <c r="W12" i="83"/>
  <c r="W17" i="83" l="1"/>
  <c r="U15" i="83"/>
  <c r="U16" i="83"/>
  <c r="T15" i="83"/>
  <c r="W16" i="83"/>
  <c r="W15" i="83"/>
  <c r="U83" i="82" l="1"/>
  <c r="U80" i="82"/>
  <c r="U45" i="82"/>
  <c r="U42" i="82"/>
  <c r="U33" i="82"/>
  <c r="U19" i="82"/>
  <c r="V11" i="82"/>
  <c r="V28" i="82" s="1"/>
  <c r="V96" i="82" s="1"/>
  <c r="V98" i="82" s="1"/>
  <c r="U11" i="82"/>
  <c r="U32" i="82"/>
  <c r="V10" i="82"/>
  <c r="W10" i="82"/>
  <c r="U10" i="82"/>
  <c r="AZ83" i="82"/>
  <c r="BD83" i="82"/>
  <c r="AY83" i="82"/>
  <c r="BD80" i="82"/>
  <c r="AZ80" i="82"/>
  <c r="AY80" i="82"/>
  <c r="AZ45" i="82"/>
  <c r="BD45" i="82"/>
  <c r="AY45" i="82"/>
  <c r="AZ42" i="82"/>
  <c r="BD42" i="82"/>
  <c r="AY42" i="82"/>
  <c r="BD34" i="82"/>
  <c r="AZ33" i="82"/>
  <c r="AY33" i="82"/>
  <c r="BD32" i="82"/>
  <c r="BB32" i="82"/>
  <c r="BA32" i="82"/>
  <c r="AZ32" i="82"/>
  <c r="AY32" i="82"/>
  <c r="BD19" i="82"/>
  <c r="BB19" i="82"/>
  <c r="BA19" i="82"/>
  <c r="AZ19" i="82"/>
  <c r="AY19" i="82"/>
  <c r="BD11" i="82"/>
  <c r="BB11" i="82"/>
  <c r="BA11" i="82"/>
  <c r="AZ11" i="82"/>
  <c r="AY11" i="82"/>
  <c r="A29" i="99"/>
  <c r="A42" i="99"/>
  <c r="A36" i="99"/>
  <c r="BA28" i="82" l="1"/>
  <c r="BB145" i="82"/>
  <c r="BD33" i="82"/>
  <c r="BD92" i="82" s="1"/>
  <c r="BD145" i="82"/>
  <c r="U28" i="82"/>
  <c r="AY28" i="82"/>
  <c r="BD28" i="82"/>
  <c r="AZ28" i="82"/>
  <c r="BB28" i="82"/>
  <c r="AZ92" i="82"/>
  <c r="AY92" i="82"/>
  <c r="AY96" i="82" l="1"/>
  <c r="AY98" i="82" s="1"/>
  <c r="BB96" i="82"/>
  <c r="BB98" i="82" s="1"/>
  <c r="BD96" i="82"/>
  <c r="BD98" i="82" s="1"/>
  <c r="AZ96" i="82"/>
  <c r="AZ98" i="82" s="1"/>
  <c r="BA96" i="82"/>
  <c r="BA98" i="82" s="1"/>
  <c r="I17" i="80"/>
  <c r="I11" i="80" s="1"/>
  <c r="E30" i="80"/>
  <c r="G30" i="80"/>
  <c r="H30" i="80"/>
  <c r="I30" i="80"/>
  <c r="L30" i="80"/>
  <c r="M30" i="80"/>
  <c r="P30" i="80"/>
  <c r="A44" i="80"/>
  <c r="A30" i="80"/>
  <c r="A23" i="80"/>
  <c r="A17" i="80"/>
  <c r="P11" i="80"/>
  <c r="A11" i="80"/>
  <c r="A38" i="99"/>
  <c r="A36" i="80" s="1"/>
  <c r="P44" i="80" l="1"/>
  <c r="I44" i="80"/>
  <c r="E18" i="99" l="1"/>
  <c r="F23" i="80"/>
  <c r="J23" i="80" s="1"/>
  <c r="O23" i="80" s="1"/>
  <c r="F44" i="96" l="1"/>
  <c r="F52" i="96"/>
  <c r="U90" i="83"/>
  <c r="T90" i="83"/>
  <c r="U89" i="83"/>
  <c r="T89" i="83"/>
  <c r="F51" i="96"/>
  <c r="C95" i="57"/>
  <c r="D18" i="99"/>
  <c r="F47" i="96"/>
  <c r="F95" i="96"/>
  <c r="F145" i="96"/>
  <c r="O130" i="82"/>
  <c r="E76" i="36" l="1"/>
  <c r="J76" i="36" s="1"/>
  <c r="E68" i="36"/>
  <c r="AF51" i="82"/>
  <c r="H25" i="99"/>
  <c r="AC10" i="82"/>
  <c r="Q10" i="82"/>
  <c r="K10" i="82"/>
  <c r="W72" i="83"/>
  <c r="W69" i="83"/>
  <c r="W68" i="83"/>
  <c r="W67" i="83"/>
  <c r="W66" i="83"/>
  <c r="W63" i="83"/>
  <c r="W62" i="83"/>
  <c r="W52" i="83"/>
  <c r="W51" i="83"/>
  <c r="W47" i="83"/>
  <c r="W46" i="83"/>
  <c r="W43" i="83"/>
  <c r="W42" i="83"/>
  <c r="W37" i="83"/>
  <c r="W33" i="83"/>
  <c r="W30" i="83"/>
  <c r="W29" i="83"/>
  <c r="Q64" i="83"/>
  <c r="Q61" i="83"/>
  <c r="Q44" i="83"/>
  <c r="Q36" i="83"/>
  <c r="W71" i="83"/>
  <c r="W70" i="83"/>
  <c r="W65" i="83"/>
  <c r="W60" i="83"/>
  <c r="W59" i="83"/>
  <c r="W58" i="83"/>
  <c r="W50" i="83"/>
  <c r="W49" i="83"/>
  <c r="W48" i="83"/>
  <c r="W45" i="83"/>
  <c r="W41" i="83"/>
  <c r="W40" i="83"/>
  <c r="W39" i="83"/>
  <c r="W38" i="83"/>
  <c r="W34" i="83"/>
  <c r="W31" i="83"/>
  <c r="W28" i="83"/>
  <c r="W20" i="83"/>
  <c r="W11" i="83"/>
  <c r="C22" i="58"/>
  <c r="F110" i="96"/>
  <c r="F45" i="96"/>
  <c r="G42" i="99"/>
  <c r="M42" i="99" s="1"/>
  <c r="G43" i="99"/>
  <c r="M43" i="99" s="1"/>
  <c r="D31" i="99"/>
  <c r="D32" i="99"/>
  <c r="D33" i="99"/>
  <c r="D34" i="99"/>
  <c r="D35" i="99"/>
  <c r="L29" i="99"/>
  <c r="K25" i="99" l="1"/>
  <c r="K12" i="99" s="1"/>
  <c r="K46" i="99" s="1"/>
  <c r="I25" i="99"/>
  <c r="I12" i="99" s="1"/>
  <c r="I46" i="99" s="1"/>
  <c r="W61" i="83"/>
  <c r="W36" i="83"/>
  <c r="W64" i="83"/>
  <c r="C11" i="99"/>
  <c r="C12" i="99"/>
  <c r="D12" i="99"/>
  <c r="D46" i="99" s="1"/>
  <c r="E12" i="99"/>
  <c r="H12" i="99"/>
  <c r="H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N2" i="53"/>
  <c r="F2" i="81"/>
  <c r="O2" i="80"/>
  <c r="M2" i="99"/>
  <c r="F2" i="57"/>
  <c r="E71" i="36" l="1"/>
  <c r="L25" i="99"/>
  <c r="M25" i="99" s="1"/>
  <c r="K17" i="80"/>
  <c r="K11" i="80" s="1"/>
  <c r="E72" i="36"/>
  <c r="L17" i="80"/>
  <c r="L11" i="80" s="1"/>
  <c r="L44" i="80" s="1"/>
  <c r="W44" i="83"/>
  <c r="F132" i="96"/>
  <c r="F131" i="96"/>
  <c r="F99" i="96"/>
  <c r="F92" i="96"/>
  <c r="F100" i="96"/>
  <c r="U34" i="83"/>
  <c r="T34" i="83"/>
  <c r="F101" i="96"/>
  <c r="U20" i="83"/>
  <c r="F168" i="96"/>
  <c r="F140" i="96"/>
  <c r="F136" i="96"/>
  <c r="F130" i="96"/>
  <c r="F105" i="96"/>
  <c r="F106" i="96"/>
  <c r="F98" i="96"/>
  <c r="F148" i="96"/>
  <c r="F147" i="96"/>
  <c r="F167" i="96"/>
  <c r="F135" i="96"/>
  <c r="F134" i="96"/>
  <c r="BK67" i="82"/>
  <c r="BL67" i="82"/>
  <c r="BK68" i="82"/>
  <c r="BL68" i="82"/>
  <c r="BK69" i="82"/>
  <c r="BL69" i="82"/>
  <c r="BL66" i="82"/>
  <c r="BK66" i="82"/>
  <c r="C14" i="58"/>
  <c r="J58" i="57" l="1"/>
  <c r="L57" i="57"/>
  <c r="J51" i="57"/>
  <c r="J41" i="57"/>
  <c r="J36" i="57"/>
  <c r="J35" i="57" s="1"/>
  <c r="J31" i="57"/>
  <c r="J29" i="57"/>
  <c r="J12" i="57"/>
  <c r="J11" i="57" s="1"/>
  <c r="L14" i="57"/>
  <c r="L15" i="57"/>
  <c r="L16" i="57"/>
  <c r="L17" i="57"/>
  <c r="L18" i="57"/>
  <c r="L19" i="57"/>
  <c r="L20" i="57"/>
  <c r="L21" i="57"/>
  <c r="L23" i="57"/>
  <c r="L24" i="57"/>
  <c r="L26" i="57"/>
  <c r="L28" i="57"/>
  <c r="L30" i="57"/>
  <c r="L29" i="57" s="1"/>
  <c r="L32" i="57"/>
  <c r="L31" i="57" s="1"/>
  <c r="L33" i="57"/>
  <c r="L34" i="57"/>
  <c r="L37" i="57"/>
  <c r="L38" i="57"/>
  <c r="L39" i="57"/>
  <c r="L40" i="57"/>
  <c r="L42" i="57"/>
  <c r="L44" i="57"/>
  <c r="L47" i="57"/>
  <c r="L48" i="57"/>
  <c r="L49" i="57"/>
  <c r="L50" i="57"/>
  <c r="L52" i="57"/>
  <c r="L53" i="57"/>
  <c r="L54" i="57"/>
  <c r="L55" i="57"/>
  <c r="L56" i="57"/>
  <c r="L59" i="57"/>
  <c r="L61" i="57"/>
  <c r="L62" i="57"/>
  <c r="L63" i="57"/>
  <c r="L64" i="57"/>
  <c r="L65" i="57"/>
  <c r="L66" i="57"/>
  <c r="L67" i="57"/>
  <c r="L69" i="57"/>
  <c r="L13" i="57"/>
  <c r="D182" i="96"/>
  <c r="D163" i="96" s="1"/>
  <c r="U9" i="83"/>
  <c r="P9" i="83"/>
  <c r="J9" i="83"/>
  <c r="AB10" i="82"/>
  <c r="P10" i="82"/>
  <c r="J10" i="82"/>
  <c r="D79" i="36"/>
  <c r="D78" i="97" s="1"/>
  <c r="E79" i="36"/>
  <c r="F79" i="36"/>
  <c r="H79" i="36"/>
  <c r="D81" i="36"/>
  <c r="D80" i="97" s="1"/>
  <c r="E81" i="36"/>
  <c r="F81" i="36"/>
  <c r="H81" i="36"/>
  <c r="D74" i="36"/>
  <c r="E74" i="36"/>
  <c r="E73" i="36" s="1"/>
  <c r="F74" i="36"/>
  <c r="H74" i="36"/>
  <c r="X83" i="83"/>
  <c r="Y83" i="83"/>
  <c r="X88" i="83"/>
  <c r="Y88" i="83"/>
  <c r="S64" i="83"/>
  <c r="S61" i="83"/>
  <c r="S44" i="83"/>
  <c r="S36" i="83"/>
  <c r="S27" i="83"/>
  <c r="S26" i="83"/>
  <c r="S23" i="83"/>
  <c r="R64" i="83"/>
  <c r="R61" i="83"/>
  <c r="R44" i="83"/>
  <c r="R36" i="83"/>
  <c r="R27" i="83"/>
  <c r="R26" i="83"/>
  <c r="R23" i="83"/>
  <c r="Q27" i="83"/>
  <c r="Q26" i="83"/>
  <c r="Q23" i="83"/>
  <c r="P64" i="83"/>
  <c r="P61" i="83"/>
  <c r="P44" i="83"/>
  <c r="P36" i="83"/>
  <c r="P27" i="83"/>
  <c r="P26" i="83"/>
  <c r="P23" i="83"/>
  <c r="N64" i="83"/>
  <c r="N61" i="83"/>
  <c r="N44" i="83"/>
  <c r="N36" i="83"/>
  <c r="N27" i="83"/>
  <c r="N26" i="83"/>
  <c r="N23" i="83"/>
  <c r="M64" i="83"/>
  <c r="M61" i="83"/>
  <c r="M44" i="83"/>
  <c r="M36" i="83"/>
  <c r="M27" i="83"/>
  <c r="M26" i="83"/>
  <c r="M23" i="83"/>
  <c r="H77" i="83"/>
  <c r="H64" i="83"/>
  <c r="H61" i="83"/>
  <c r="H44" i="83"/>
  <c r="H41" i="83"/>
  <c r="H27" i="83"/>
  <c r="H26" i="83"/>
  <c r="H23" i="83"/>
  <c r="G77" i="83"/>
  <c r="G64" i="83"/>
  <c r="G61" i="83"/>
  <c r="G44" i="83"/>
  <c r="G41" i="83"/>
  <c r="G27" i="83"/>
  <c r="G26" i="83"/>
  <c r="G23" i="83"/>
  <c r="AL47" i="82"/>
  <c r="AL145" i="82" s="1"/>
  <c r="Y84" i="83"/>
  <c r="G13" i="39"/>
  <c r="G12" i="39"/>
  <c r="X82" i="83"/>
  <c r="U84" i="83"/>
  <c r="H88" i="58"/>
  <c r="H87" i="58" s="1"/>
  <c r="H72" i="58"/>
  <c r="H63" i="58"/>
  <c r="H50" i="58"/>
  <c r="H46" i="58"/>
  <c r="H40" i="58"/>
  <c r="H35" i="58" s="1"/>
  <c r="H39" i="58"/>
  <c r="H105" i="57" s="1"/>
  <c r="H38" i="58"/>
  <c r="F105" i="57"/>
  <c r="H24" i="99"/>
  <c r="H11" i="99" s="1"/>
  <c r="H45" i="99" s="1"/>
  <c r="G61" i="39"/>
  <c r="G51" i="39"/>
  <c r="G40" i="39"/>
  <c r="E61" i="39"/>
  <c r="BL84" i="82"/>
  <c r="BL86" i="82"/>
  <c r="BL87" i="82"/>
  <c r="BL89" i="82"/>
  <c r="BL90" i="82"/>
  <c r="N83" i="82"/>
  <c r="N80" i="82"/>
  <c r="H80" i="82"/>
  <c r="AF45" i="82"/>
  <c r="AF43" i="82"/>
  <c r="AA42" i="82"/>
  <c r="R145" i="82"/>
  <c r="T46" i="82"/>
  <c r="T145" i="82" s="1"/>
  <c r="N45" i="82"/>
  <c r="N42" i="82"/>
  <c r="N33" i="82"/>
  <c r="H55" i="82"/>
  <c r="H43" i="82"/>
  <c r="H42" i="82" s="1"/>
  <c r="H39" i="82"/>
  <c r="H37" i="82"/>
  <c r="H36" i="82"/>
  <c r="BJ33" i="82"/>
  <c r="BJ32" i="82"/>
  <c r="BJ19" i="82"/>
  <c r="BJ11" i="82"/>
  <c r="BG96" i="82"/>
  <c r="BG98" i="82" s="1"/>
  <c r="AL33" i="82"/>
  <c r="AL32" i="82"/>
  <c r="AL19" i="82"/>
  <c r="AL11" i="82"/>
  <c r="AF33" i="82"/>
  <c r="AF32" i="82"/>
  <c r="AF19" i="82"/>
  <c r="AF11" i="82"/>
  <c r="AC11" i="82"/>
  <c r="AC28" i="82" s="1"/>
  <c r="N32" i="82"/>
  <c r="N19" i="82"/>
  <c r="N11" i="82"/>
  <c r="H32" i="82"/>
  <c r="H23" i="82"/>
  <c r="H21" i="82"/>
  <c r="BL21" i="82"/>
  <c r="G36" i="83" l="1"/>
  <c r="G73" i="83" s="1"/>
  <c r="G76" i="83" s="1"/>
  <c r="G96" i="83"/>
  <c r="H36" i="83"/>
  <c r="H73" i="83" s="1"/>
  <c r="H76" i="83" s="1"/>
  <c r="H96" i="83"/>
  <c r="L36" i="57"/>
  <c r="L35" i="57" s="1"/>
  <c r="H145" i="82"/>
  <c r="F145" i="82"/>
  <c r="AD145" i="82"/>
  <c r="AF42" i="82"/>
  <c r="AF145" i="82"/>
  <c r="M17" i="80"/>
  <c r="L46" i="57"/>
  <c r="H82" i="58"/>
  <c r="H76" i="36"/>
  <c r="H73" i="36" s="1"/>
  <c r="L12" i="57"/>
  <c r="L11" i="57" s="1"/>
  <c r="F76" i="36"/>
  <c r="F73" i="36" s="1"/>
  <c r="AL28" i="82"/>
  <c r="G42" i="39"/>
  <c r="G37" i="39" s="1"/>
  <c r="G36" i="39" s="1"/>
  <c r="I24" i="99"/>
  <c r="I11" i="99" s="1"/>
  <c r="I45" i="99" s="1"/>
  <c r="L51" i="57"/>
  <c r="M73" i="83"/>
  <c r="M76" i="83" s="1"/>
  <c r="P73" i="83"/>
  <c r="Q73" i="83"/>
  <c r="R73" i="83"/>
  <c r="S73" i="83"/>
  <c r="H33" i="82"/>
  <c r="AF28" i="82"/>
  <c r="H19" i="82"/>
  <c r="N28" i="82"/>
  <c r="BJ28" i="82"/>
  <c r="E16" i="36"/>
  <c r="H66" i="58"/>
  <c r="H45" i="58"/>
  <c r="H44" i="58" s="1"/>
  <c r="F16" i="36"/>
  <c r="H13" i="58"/>
  <c r="H16" i="36" s="1"/>
  <c r="D73" i="36"/>
  <c r="J27" i="57"/>
  <c r="J25" i="57" s="1"/>
  <c r="L68" i="57"/>
  <c r="L58" i="57" s="1"/>
  <c r="J45" i="57"/>
  <c r="L41" i="57"/>
  <c r="L27" i="57"/>
  <c r="L25" i="57" s="1"/>
  <c r="Y82" i="83"/>
  <c r="Y89" i="83" s="1"/>
  <c r="U86" i="83"/>
  <c r="D11" i="81" s="1"/>
  <c r="X84" i="83"/>
  <c r="X89" i="83" s="1"/>
  <c r="D78" i="36"/>
  <c r="D77" i="36" s="1"/>
  <c r="P23" i="53" s="1"/>
  <c r="H78" i="36"/>
  <c r="H77" i="36" s="1"/>
  <c r="F78" i="36"/>
  <c r="F77" i="36" s="1"/>
  <c r="E78" i="36"/>
  <c r="N73" i="83"/>
  <c r="N76" i="83" s="1"/>
  <c r="G14" i="39"/>
  <c r="G11" i="39" s="1"/>
  <c r="G10" i="39" s="1"/>
  <c r="G9" i="39" s="1"/>
  <c r="E20" i="102"/>
  <c r="E19" i="102" s="1"/>
  <c r="E18" i="102" s="1"/>
  <c r="D20" i="102"/>
  <c r="D19" i="102" s="1"/>
  <c r="D18" i="102" s="1"/>
  <c r="J19" i="102"/>
  <c r="J18" i="102" s="1"/>
  <c r="I19" i="102"/>
  <c r="I18" i="102" s="1"/>
  <c r="J14" i="102"/>
  <c r="I14" i="102"/>
  <c r="E14" i="102"/>
  <c r="D14" i="102"/>
  <c r="J8" i="102"/>
  <c r="I8" i="102"/>
  <c r="E8" i="102"/>
  <c r="D8" i="102"/>
  <c r="D7" i="102" l="1"/>
  <c r="D25" i="102" s="1"/>
  <c r="J7" i="102"/>
  <c r="J25" i="102" s="1"/>
  <c r="E7" i="102"/>
  <c r="E25" i="102" s="1"/>
  <c r="F97" i="82"/>
  <c r="BN97" i="82" s="1"/>
  <c r="M11" i="80"/>
  <c r="N17" i="80"/>
  <c r="O17" i="80" s="1"/>
  <c r="L45" i="57"/>
  <c r="L10" i="57" s="1"/>
  <c r="L9" i="57" s="1"/>
  <c r="F9" i="36"/>
  <c r="U91" i="83"/>
  <c r="E77" i="36"/>
  <c r="H17" i="80"/>
  <c r="H11" i="80" s="1"/>
  <c r="H44" i="80" s="1"/>
  <c r="I7" i="102"/>
  <c r="I25" i="102" s="1"/>
  <c r="H43" i="58"/>
  <c r="H8" i="58"/>
  <c r="H97" i="82"/>
  <c r="BP97" i="82" s="1"/>
  <c r="J10" i="57"/>
  <c r="J9" i="57" s="1"/>
  <c r="H19" i="102"/>
  <c r="H18" i="102" s="1"/>
  <c r="E9" i="36"/>
  <c r="M44" i="80" l="1"/>
  <c r="N11" i="80"/>
  <c r="H9" i="36"/>
  <c r="D25" i="53" l="1"/>
  <c r="E25" i="53"/>
  <c r="H25" i="53"/>
  <c r="C25" i="53"/>
  <c r="F25" i="53"/>
  <c r="G25" i="53"/>
  <c r="I25" i="53"/>
  <c r="J25" i="53"/>
  <c r="K25" i="53"/>
  <c r="L25" i="53"/>
  <c r="M25" i="53"/>
  <c r="I15" i="80"/>
  <c r="F21" i="80"/>
  <c r="BK89" i="82" l="1"/>
  <c r="T86" i="83" l="1"/>
  <c r="T25" i="83"/>
  <c r="E46" i="36"/>
  <c r="E58" i="36"/>
  <c r="J18" i="99" s="1"/>
  <c r="E60" i="36"/>
  <c r="C60" i="81" s="1"/>
  <c r="F60" i="81" s="1"/>
  <c r="E50" i="36"/>
  <c r="C38" i="99"/>
  <c r="C32" i="99" s="1"/>
  <c r="C46" i="99" s="1"/>
  <c r="W24" i="83"/>
  <c r="W25" i="83"/>
  <c r="W74" i="83"/>
  <c r="W75" i="83"/>
  <c r="F36" i="80" s="1"/>
  <c r="F30" i="80" s="1"/>
  <c r="Q77" i="83"/>
  <c r="B14" i="39"/>
  <c r="C31" i="57"/>
  <c r="C36" i="57"/>
  <c r="C35" i="57" s="1"/>
  <c r="B13" i="39" s="1"/>
  <c r="C41" i="57"/>
  <c r="C51" i="57"/>
  <c r="C58" i="57"/>
  <c r="C74" i="57"/>
  <c r="F38" i="52" s="1"/>
  <c r="F39" i="52" s="1"/>
  <c r="C78" i="57"/>
  <c r="C83" i="57"/>
  <c r="C29" i="36" s="1"/>
  <c r="C25" i="58"/>
  <c r="C46" i="36"/>
  <c r="C12" i="102" s="1"/>
  <c r="C31" i="58"/>
  <c r="C50" i="36" s="1"/>
  <c r="C36" i="58"/>
  <c r="C59" i="36"/>
  <c r="C40" i="58"/>
  <c r="O107" i="82"/>
  <c r="O108" i="82"/>
  <c r="O109" i="82"/>
  <c r="BK55" i="82"/>
  <c r="T11" i="83"/>
  <c r="C23" i="83"/>
  <c r="C11" i="82"/>
  <c r="C21" i="82"/>
  <c r="BK21" i="82" s="1"/>
  <c r="I11" i="82"/>
  <c r="I19" i="82"/>
  <c r="O11" i="82"/>
  <c r="O19" i="82"/>
  <c r="AA11" i="82"/>
  <c r="AA19" i="82"/>
  <c r="AG11" i="82"/>
  <c r="AG19" i="82"/>
  <c r="AM11" i="82"/>
  <c r="AM19" i="82"/>
  <c r="AS11" i="82"/>
  <c r="AS19" i="82"/>
  <c r="BE11" i="82"/>
  <c r="BE19" i="82"/>
  <c r="BK31" i="82"/>
  <c r="I32" i="82"/>
  <c r="O32" i="82"/>
  <c r="AA32" i="82"/>
  <c r="AG32" i="82"/>
  <c r="AM32" i="82"/>
  <c r="AS32" i="82"/>
  <c r="BE32" i="82"/>
  <c r="T24" i="83"/>
  <c r="C140" i="82"/>
  <c r="AD70" i="82" s="1"/>
  <c r="AD45" i="82" s="1"/>
  <c r="BK36" i="82"/>
  <c r="BK37" i="82"/>
  <c r="BK39" i="82"/>
  <c r="C42" i="82"/>
  <c r="C80" i="82"/>
  <c r="I33" i="82"/>
  <c r="I42" i="82"/>
  <c r="I45" i="82"/>
  <c r="I80" i="82"/>
  <c r="I83" i="82"/>
  <c r="O33" i="82"/>
  <c r="O42" i="82"/>
  <c r="O45" i="82"/>
  <c r="O80" i="82"/>
  <c r="O83" i="82"/>
  <c r="AA33" i="82"/>
  <c r="AA80" i="82"/>
  <c r="AA83" i="82"/>
  <c r="AG33" i="82"/>
  <c r="AG42" i="82"/>
  <c r="AG45" i="82"/>
  <c r="AG80" i="82"/>
  <c r="AG83" i="82"/>
  <c r="AM33" i="82"/>
  <c r="AM42" i="82"/>
  <c r="AM45" i="82"/>
  <c r="AM80" i="82"/>
  <c r="AM83" i="82"/>
  <c r="AS33" i="82"/>
  <c r="AS42" i="82"/>
  <c r="AS80" i="82"/>
  <c r="AS83" i="82"/>
  <c r="BE33" i="82"/>
  <c r="BE42" i="82"/>
  <c r="BE45" i="82"/>
  <c r="BE80" i="82"/>
  <c r="BE83" i="82"/>
  <c r="I27" i="83"/>
  <c r="I36" i="83"/>
  <c r="I44" i="83"/>
  <c r="I61" i="83"/>
  <c r="I64" i="83"/>
  <c r="C27" i="83"/>
  <c r="C36" i="83"/>
  <c r="C44" i="83"/>
  <c r="C61" i="83"/>
  <c r="C64" i="83"/>
  <c r="O27" i="83"/>
  <c r="O36" i="83"/>
  <c r="O44" i="83"/>
  <c r="O61" i="83"/>
  <c r="O64" i="83"/>
  <c r="BK93" i="82"/>
  <c r="B12" i="39"/>
  <c r="B51" i="39"/>
  <c r="B61" i="39"/>
  <c r="C129" i="57"/>
  <c r="C128" i="57" s="1"/>
  <c r="C103" i="57"/>
  <c r="C102" i="57" s="1"/>
  <c r="C79" i="36"/>
  <c r="C81" i="36"/>
  <c r="T74" i="83"/>
  <c r="T75" i="83"/>
  <c r="E129" i="81" s="1"/>
  <c r="I77" i="83"/>
  <c r="C77" i="83"/>
  <c r="O77" i="83"/>
  <c r="T84" i="83"/>
  <c r="C72" i="58"/>
  <c r="C46" i="58"/>
  <c r="C50" i="58"/>
  <c r="C74" i="36"/>
  <c r="C68" i="36"/>
  <c r="W2" i="83"/>
  <c r="E2" i="39"/>
  <c r="C63" i="58"/>
  <c r="C88" i="58"/>
  <c r="C87" i="58" s="1"/>
  <c r="A41" i="80"/>
  <c r="N26" i="52"/>
  <c r="N25" i="52"/>
  <c r="M29" i="52"/>
  <c r="K29" i="52"/>
  <c r="J29" i="52"/>
  <c r="C63" i="81"/>
  <c r="F63" i="81" s="1"/>
  <c r="U39" i="83"/>
  <c r="F91" i="96"/>
  <c r="F185" i="96"/>
  <c r="F108" i="96"/>
  <c r="F107" i="96"/>
  <c r="BL51" i="82"/>
  <c r="F126" i="96"/>
  <c r="F161" i="96"/>
  <c r="F109" i="96"/>
  <c r="F55" i="96"/>
  <c r="F54" i="96" s="1"/>
  <c r="F40" i="96"/>
  <c r="F25" i="96"/>
  <c r="F93" i="96"/>
  <c r="F90" i="96"/>
  <c r="F87" i="96"/>
  <c r="D68" i="36"/>
  <c r="E57" i="96"/>
  <c r="D57" i="96"/>
  <c r="D17" i="99"/>
  <c r="D11" i="99" s="1"/>
  <c r="D45" i="99" s="1"/>
  <c r="F59" i="96"/>
  <c r="F60" i="96"/>
  <c r="BL20" i="82"/>
  <c r="F58" i="96"/>
  <c r="BL44" i="82"/>
  <c r="F141" i="96"/>
  <c r="U50" i="83"/>
  <c r="U49" i="83"/>
  <c r="U31" i="83"/>
  <c r="F85" i="96"/>
  <c r="U11" i="83"/>
  <c r="D29" i="36"/>
  <c r="F86" i="96"/>
  <c r="F170" i="96"/>
  <c r="F171" i="96"/>
  <c r="BK90" i="82"/>
  <c r="BL91" i="82"/>
  <c r="BL78" i="82"/>
  <c r="F111" i="96"/>
  <c r="BL56" i="82"/>
  <c r="BL54" i="82"/>
  <c r="F104" i="96"/>
  <c r="BL47" i="82"/>
  <c r="BL29" i="82"/>
  <c r="BL12" i="82"/>
  <c r="F22" i="96"/>
  <c r="F146" i="96"/>
  <c r="D43" i="81"/>
  <c r="C37" i="99" s="1"/>
  <c r="C31" i="99" s="1"/>
  <c r="C45" i="99" s="1"/>
  <c r="BK79" i="82"/>
  <c r="BL79" i="82"/>
  <c r="BL38" i="82"/>
  <c r="BL37" i="82"/>
  <c r="BL73" i="82"/>
  <c r="BL74" i="82"/>
  <c r="BL75" i="82"/>
  <c r="BL76" i="82"/>
  <c r="BL77" i="82"/>
  <c r="BL81" i="82"/>
  <c r="BL82" i="82"/>
  <c r="BL93" i="82"/>
  <c r="H123" i="57"/>
  <c r="BL99" i="82"/>
  <c r="BP99" i="82"/>
  <c r="BL52" i="82"/>
  <c r="BL53" i="82"/>
  <c r="BL55" i="82"/>
  <c r="BL57" i="82"/>
  <c r="BL58" i="82"/>
  <c r="BL59" i="82"/>
  <c r="BL60" i="82"/>
  <c r="BL61" i="82"/>
  <c r="BL62" i="82"/>
  <c r="BL63" i="82"/>
  <c r="BL64" i="82"/>
  <c r="BL65" i="82"/>
  <c r="BL71" i="82"/>
  <c r="BL72" i="82"/>
  <c r="BL35" i="82"/>
  <c r="BL40" i="82"/>
  <c r="BL41" i="82"/>
  <c r="BL48" i="82"/>
  <c r="BL50" i="82"/>
  <c r="BL27" i="82"/>
  <c r="BL30" i="82"/>
  <c r="U36" i="83"/>
  <c r="U25" i="83"/>
  <c r="D135" i="57"/>
  <c r="D136" i="57"/>
  <c r="K24" i="99"/>
  <c r="K11" i="99" s="1"/>
  <c r="K45" i="99" s="1"/>
  <c r="D50" i="97"/>
  <c r="D40" i="36"/>
  <c r="E73" i="97"/>
  <c r="T39" i="83"/>
  <c r="C136" i="57"/>
  <c r="E13" i="100"/>
  <c r="F14" i="100" s="1"/>
  <c r="F12" i="100"/>
  <c r="G12" i="100" s="1"/>
  <c r="F11" i="100"/>
  <c r="G11" i="100" s="1"/>
  <c r="BK99" i="82"/>
  <c r="BK91" i="82"/>
  <c r="BK54" i="82"/>
  <c r="BK56" i="82"/>
  <c r="BK57" i="82"/>
  <c r="BK58" i="82"/>
  <c r="BK59" i="82"/>
  <c r="BK60" i="82"/>
  <c r="BK61" i="82"/>
  <c r="BK63" i="82"/>
  <c r="BK64" i="82"/>
  <c r="BK65" i="82"/>
  <c r="BK71" i="82"/>
  <c r="BK72" i="82"/>
  <c r="BK73" i="82"/>
  <c r="BK74" i="82"/>
  <c r="BK75" i="82"/>
  <c r="BK76" i="82"/>
  <c r="BK77" i="82"/>
  <c r="BK78" i="82"/>
  <c r="BK81" i="82"/>
  <c r="BK82" i="82"/>
  <c r="BK87" i="82"/>
  <c r="BK35" i="82"/>
  <c r="BK40" i="82"/>
  <c r="BK41" i="82"/>
  <c r="BK44" i="82"/>
  <c r="BK46" i="82"/>
  <c r="BK47" i="82"/>
  <c r="BK48" i="82"/>
  <c r="BK50" i="82"/>
  <c r="BK51" i="82"/>
  <c r="BK52" i="82"/>
  <c r="BK53" i="82"/>
  <c r="BK29" i="82"/>
  <c r="BK20" i="82"/>
  <c r="BK27" i="82"/>
  <c r="BK12" i="82"/>
  <c r="Y9" i="83"/>
  <c r="Y20" i="83"/>
  <c r="Y22" i="83"/>
  <c r="Y25" i="83"/>
  <c r="Y28" i="83"/>
  <c r="Y29" i="83"/>
  <c r="Y30" i="83"/>
  <c r="Y32" i="83"/>
  <c r="Y33" i="83"/>
  <c r="Y37" i="83"/>
  <c r="Y38" i="83"/>
  <c r="Y42" i="83"/>
  <c r="Y43" i="83"/>
  <c r="Y46" i="83"/>
  <c r="Y47" i="83"/>
  <c r="Y48" i="83"/>
  <c r="Y49" i="83"/>
  <c r="Y50" i="83"/>
  <c r="Y51" i="83"/>
  <c r="Y52" i="83"/>
  <c r="Y54" i="83"/>
  <c r="Y55" i="83"/>
  <c r="Y56" i="83"/>
  <c r="Y59" i="83"/>
  <c r="Y60" i="83"/>
  <c r="Y63" i="83"/>
  <c r="Y66" i="83"/>
  <c r="Y67" i="83"/>
  <c r="Y68" i="83"/>
  <c r="Y69" i="83"/>
  <c r="Y70" i="83"/>
  <c r="Y74" i="83"/>
  <c r="Y75" i="83"/>
  <c r="D134" i="81" s="1"/>
  <c r="E134" i="81" s="1"/>
  <c r="Y78" i="83"/>
  <c r="Y79" i="83"/>
  <c r="Y81" i="83"/>
  <c r="D39" i="81"/>
  <c r="F41" i="99" s="1"/>
  <c r="F35" i="99" s="1"/>
  <c r="D47" i="81"/>
  <c r="C41" i="99" s="1"/>
  <c r="C35" i="99" s="1"/>
  <c r="C49" i="99" s="1"/>
  <c r="C39" i="99"/>
  <c r="C33" i="99" s="1"/>
  <c r="C47" i="99" s="1"/>
  <c r="H68" i="36"/>
  <c r="H86" i="36" s="1"/>
  <c r="K28" i="99"/>
  <c r="K15" i="99" s="1"/>
  <c r="K49" i="99" s="1"/>
  <c r="H50" i="36"/>
  <c r="H40" i="36"/>
  <c r="K26" i="99"/>
  <c r="K13" i="99" s="1"/>
  <c r="K47" i="99" s="1"/>
  <c r="F50" i="36"/>
  <c r="AR83" i="82"/>
  <c r="AP83" i="82"/>
  <c r="AL83" i="82"/>
  <c r="AF83" i="82"/>
  <c r="AF80" i="82"/>
  <c r="T83" i="82"/>
  <c r="T80" i="82"/>
  <c r="BJ45" i="82"/>
  <c r="BJ42" i="82"/>
  <c r="T45" i="82"/>
  <c r="H46" i="36"/>
  <c r="F46" i="36"/>
  <c r="E37" i="81"/>
  <c r="Y72" i="83"/>
  <c r="Y71" i="83"/>
  <c r="Y61" i="83"/>
  <c r="Y53" i="83"/>
  <c r="X71" i="83"/>
  <c r="X65" i="83"/>
  <c r="X58" i="83"/>
  <c r="X53" i="83"/>
  <c r="Y45" i="83"/>
  <c r="Y41" i="83"/>
  <c r="Y40" i="83"/>
  <c r="Y35" i="83"/>
  <c r="Y31" i="83"/>
  <c r="X45" i="83"/>
  <c r="X41" i="83"/>
  <c r="X35" i="83"/>
  <c r="X31" i="83"/>
  <c r="F160" i="96"/>
  <c r="F169" i="96"/>
  <c r="F139" i="96"/>
  <c r="I9" i="80"/>
  <c r="F156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9" i="80"/>
  <c r="P12" i="80"/>
  <c r="P13" i="80"/>
  <c r="P14" i="80"/>
  <c r="K13" i="80"/>
  <c r="L13" i="80"/>
  <c r="M13" i="80"/>
  <c r="I13" i="80"/>
  <c r="G13" i="80"/>
  <c r="B13" i="80"/>
  <c r="C13" i="80"/>
  <c r="D13" i="80"/>
  <c r="E13" i="80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34" i="80" s="1"/>
  <c r="A18" i="80"/>
  <c r="A19" i="80"/>
  <c r="A20" i="80"/>
  <c r="A10" i="80"/>
  <c r="A9" i="80"/>
  <c r="A12" i="80"/>
  <c r="A13" i="80"/>
  <c r="A14" i="80"/>
  <c r="B40" i="99"/>
  <c r="C40" i="99"/>
  <c r="C34" i="99" s="1"/>
  <c r="C48" i="99" s="1"/>
  <c r="E40" i="99"/>
  <c r="E34" i="99" s="1"/>
  <c r="E48" i="99" s="1"/>
  <c r="F40" i="99"/>
  <c r="F34" i="99" s="1"/>
  <c r="F48" i="99" s="1"/>
  <c r="C10" i="99"/>
  <c r="E21" i="99"/>
  <c r="E15" i="99" s="1"/>
  <c r="E19" i="99"/>
  <c r="E13" i="99" s="1"/>
  <c r="E16" i="99"/>
  <c r="E10" i="99" s="1"/>
  <c r="E17" i="99"/>
  <c r="E11" i="99" s="1"/>
  <c r="D21" i="99"/>
  <c r="D15" i="99" s="1"/>
  <c r="D49" i="99" s="1"/>
  <c r="D19" i="99"/>
  <c r="D13" i="99" s="1"/>
  <c r="D47" i="99" s="1"/>
  <c r="D10" i="99"/>
  <c r="A40" i="80"/>
  <c r="A41" i="99"/>
  <c r="A39" i="80" s="1"/>
  <c r="A39" i="99"/>
  <c r="A37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4" i="81"/>
  <c r="E84" i="81" s="1"/>
  <c r="E133" i="81"/>
  <c r="F133" i="81" s="1"/>
  <c r="F126" i="81"/>
  <c r="E119" i="81"/>
  <c r="F119" i="81" s="1"/>
  <c r="E105" i="81"/>
  <c r="F105" i="81" s="1"/>
  <c r="E98" i="81"/>
  <c r="F98" i="81" s="1"/>
  <c r="B67" i="81"/>
  <c r="B95" i="81" s="1"/>
  <c r="B102" i="81" s="1"/>
  <c r="B109" i="81" s="1"/>
  <c r="B116" i="81" s="1"/>
  <c r="B123" i="81" s="1"/>
  <c r="B130" i="81" s="1"/>
  <c r="B137" i="81" s="1"/>
  <c r="B144" i="81" s="1"/>
  <c r="B68" i="81"/>
  <c r="B96" i="81" s="1"/>
  <c r="B103" i="81" s="1"/>
  <c r="B110" i="81" s="1"/>
  <c r="B117" i="81" s="1"/>
  <c r="B124" i="81" s="1"/>
  <c r="B131" i="81" s="1"/>
  <c r="B138" i="81" s="1"/>
  <c r="B145" i="81" s="1"/>
  <c r="B69" i="81"/>
  <c r="B75" i="81" s="1"/>
  <c r="B89" i="81" s="1"/>
  <c r="B70" i="81"/>
  <c r="B98" i="81" s="1"/>
  <c r="B105" i="81" s="1"/>
  <c r="B112" i="81" s="1"/>
  <c r="B119" i="81" s="1"/>
  <c r="B126" i="81" s="1"/>
  <c r="B133" i="81" s="1"/>
  <c r="B140" i="81" s="1"/>
  <c r="B147" i="81" s="1"/>
  <c r="B71" i="81"/>
  <c r="B77" i="81" s="1"/>
  <c r="B91" i="81" s="1"/>
  <c r="B66" i="81"/>
  <c r="B80" i="81" s="1"/>
  <c r="D30" i="81"/>
  <c r="E30" i="81" s="1"/>
  <c r="B19" i="81"/>
  <c r="B27" i="81" s="1"/>
  <c r="B35" i="81" s="1"/>
  <c r="B43" i="81" s="1"/>
  <c r="B51" i="81" s="1"/>
  <c r="B59" i="81" s="1"/>
  <c r="B20" i="81"/>
  <c r="B28" i="81" s="1"/>
  <c r="B36" i="81" s="1"/>
  <c r="B44" i="81" s="1"/>
  <c r="B52" i="81" s="1"/>
  <c r="B60" i="81" s="1"/>
  <c r="B21" i="81"/>
  <c r="B29" i="81" s="1"/>
  <c r="B37" i="81" s="1"/>
  <c r="B45" i="81" s="1"/>
  <c r="B53" i="81" s="1"/>
  <c r="B61" i="81" s="1"/>
  <c r="B22" i="81"/>
  <c r="B30" i="81" s="1"/>
  <c r="B38" i="81" s="1"/>
  <c r="B46" i="81" s="1"/>
  <c r="B54" i="81" s="1"/>
  <c r="B62" i="81" s="1"/>
  <c r="B23" i="81"/>
  <c r="B31" i="81" s="1"/>
  <c r="B39" i="81" s="1"/>
  <c r="B47" i="81" s="1"/>
  <c r="B55" i="81" s="1"/>
  <c r="B63" i="81" s="1"/>
  <c r="AI83" i="82"/>
  <c r="F143" i="96"/>
  <c r="F19" i="96"/>
  <c r="F13" i="96"/>
  <c r="F152" i="96"/>
  <c r="F82" i="96"/>
  <c r="F78" i="96"/>
  <c r="F129" i="96"/>
  <c r="F128" i="96"/>
  <c r="F127" i="96"/>
  <c r="F125" i="96"/>
  <c r="F165" i="96"/>
  <c r="F166" i="96"/>
  <c r="F84" i="96"/>
  <c r="F18" i="96"/>
  <c r="F17" i="96"/>
  <c r="F16" i="96"/>
  <c r="F15" i="96"/>
  <c r="F10" i="96"/>
  <c r="F20" i="96"/>
  <c r="F172" i="96"/>
  <c r="F129" i="57"/>
  <c r="F128" i="57" s="1"/>
  <c r="H129" i="57"/>
  <c r="H128" i="57" s="1"/>
  <c r="D35" i="81"/>
  <c r="E35" i="81" s="1"/>
  <c r="U79" i="83"/>
  <c r="W79" i="83"/>
  <c r="X79" i="83"/>
  <c r="U81" i="83"/>
  <c r="W81" i="83"/>
  <c r="X81" i="83"/>
  <c r="U75" i="83"/>
  <c r="D130" i="81" s="1"/>
  <c r="F35" i="80" s="1"/>
  <c r="F29" i="80" s="1"/>
  <c r="X75" i="83"/>
  <c r="F37" i="80" s="1"/>
  <c r="F31" i="80" s="1"/>
  <c r="X74" i="83"/>
  <c r="U74" i="83"/>
  <c r="T63" i="83"/>
  <c r="U63" i="83"/>
  <c r="X63" i="83"/>
  <c r="T65" i="83"/>
  <c r="U65" i="83"/>
  <c r="T66" i="83"/>
  <c r="U66" i="83"/>
  <c r="X66" i="83"/>
  <c r="T67" i="83"/>
  <c r="U67" i="83"/>
  <c r="X67" i="83"/>
  <c r="T68" i="83"/>
  <c r="U68" i="83"/>
  <c r="X68" i="83"/>
  <c r="T69" i="83"/>
  <c r="U69" i="83"/>
  <c r="X69" i="83"/>
  <c r="T70" i="83"/>
  <c r="U70" i="83"/>
  <c r="X70" i="83"/>
  <c r="T71" i="83"/>
  <c r="U71" i="83"/>
  <c r="T72" i="83"/>
  <c r="U62" i="83"/>
  <c r="T62" i="83"/>
  <c r="T51" i="83"/>
  <c r="U51" i="83"/>
  <c r="X51" i="83"/>
  <c r="T52" i="83"/>
  <c r="U52" i="83"/>
  <c r="X52" i="83"/>
  <c r="X54" i="83"/>
  <c r="X55" i="83"/>
  <c r="X56" i="83"/>
  <c r="T58" i="83"/>
  <c r="T59" i="83"/>
  <c r="U59" i="83"/>
  <c r="X59" i="83"/>
  <c r="T60" i="83"/>
  <c r="U60" i="83"/>
  <c r="X60" i="83"/>
  <c r="T42" i="83"/>
  <c r="U42" i="83"/>
  <c r="X42" i="83"/>
  <c r="T43" i="83"/>
  <c r="U43" i="83"/>
  <c r="X43" i="83"/>
  <c r="T45" i="83"/>
  <c r="U45" i="83"/>
  <c r="T46" i="83"/>
  <c r="U46" i="83"/>
  <c r="X46" i="83"/>
  <c r="T47" i="83"/>
  <c r="U47" i="83"/>
  <c r="X47" i="83"/>
  <c r="T48" i="83"/>
  <c r="U48" i="83"/>
  <c r="X48" i="83"/>
  <c r="T49" i="83"/>
  <c r="X49" i="83"/>
  <c r="T50" i="83"/>
  <c r="X50" i="83"/>
  <c r="T37" i="83"/>
  <c r="U37" i="83"/>
  <c r="X37" i="83"/>
  <c r="T38" i="83"/>
  <c r="U38" i="83"/>
  <c r="X38" i="83"/>
  <c r="T40" i="83"/>
  <c r="U40" i="83"/>
  <c r="T29" i="83"/>
  <c r="U29" i="83"/>
  <c r="X29" i="83"/>
  <c r="T30" i="83"/>
  <c r="U30" i="83"/>
  <c r="X30" i="83"/>
  <c r="T31" i="83"/>
  <c r="X32" i="83"/>
  <c r="T33" i="83"/>
  <c r="U33" i="83"/>
  <c r="X33" i="83"/>
  <c r="X28" i="83"/>
  <c r="U28" i="83"/>
  <c r="T28" i="83"/>
  <c r="X25" i="83"/>
  <c r="X22" i="83"/>
  <c r="X20" i="83"/>
  <c r="X9" i="83"/>
  <c r="R77" i="83"/>
  <c r="P77" i="83"/>
  <c r="P80" i="83" s="1"/>
  <c r="M9" i="83"/>
  <c r="R9" i="83" s="1"/>
  <c r="M77" i="83"/>
  <c r="U72" i="83"/>
  <c r="U58" i="83"/>
  <c r="BK30" i="82"/>
  <c r="BL10" i="82"/>
  <c r="BM10" i="82"/>
  <c r="BN10" i="82"/>
  <c r="BP10" i="82"/>
  <c r="BK10" i="82"/>
  <c r="BF10" i="82"/>
  <c r="BG10" i="82"/>
  <c r="BH10" i="82"/>
  <c r="BJ10" i="82"/>
  <c r="BE10" i="82"/>
  <c r="AT80" i="82"/>
  <c r="AU80" i="82"/>
  <c r="AV80" i="82"/>
  <c r="AT83" i="82"/>
  <c r="AU83" i="82"/>
  <c r="AV83" i="82"/>
  <c r="AT45" i="82"/>
  <c r="AT42" i="82"/>
  <c r="AU42" i="82"/>
  <c r="AV42" i="82"/>
  <c r="AT32" i="82"/>
  <c r="AU32" i="82"/>
  <c r="AV32" i="82"/>
  <c r="AT33" i="82"/>
  <c r="AU33" i="82"/>
  <c r="AV33" i="82"/>
  <c r="AT11" i="82"/>
  <c r="AU11" i="82"/>
  <c r="AV11" i="82"/>
  <c r="AX11" i="82"/>
  <c r="AT19" i="82"/>
  <c r="AU19" i="82"/>
  <c r="AV19" i="82"/>
  <c r="AX19" i="82"/>
  <c r="AT10" i="82"/>
  <c r="AU10" i="82"/>
  <c r="AV10" i="82"/>
  <c r="AX10" i="82"/>
  <c r="AS10" i="82"/>
  <c r="AO83" i="82"/>
  <c r="AO80" i="82"/>
  <c r="AO42" i="82"/>
  <c r="AO45" i="82"/>
  <c r="AO32" i="82"/>
  <c r="AO33" i="82"/>
  <c r="AO11" i="82"/>
  <c r="AO19" i="82"/>
  <c r="AN10" i="82"/>
  <c r="AO10" i="82"/>
  <c r="AP10" i="82"/>
  <c r="AR10" i="82"/>
  <c r="AM10" i="82"/>
  <c r="AP11" i="82"/>
  <c r="AP19" i="82"/>
  <c r="AP32" i="82"/>
  <c r="AP33" i="82"/>
  <c r="AP42" i="82"/>
  <c r="AP45" i="82"/>
  <c r="AP80" i="82"/>
  <c r="AH10" i="82"/>
  <c r="AZ10" i="82" s="1"/>
  <c r="AI10" i="82"/>
  <c r="BA10" i="82" s="1"/>
  <c r="AJ10" i="82"/>
  <c r="BB10" i="82" s="1"/>
  <c r="AL10" i="82"/>
  <c r="BD10" i="82" s="1"/>
  <c r="AG10" i="82"/>
  <c r="AY10" i="82" s="1"/>
  <c r="AD10" i="82"/>
  <c r="AF10" i="82"/>
  <c r="AA10" i="82"/>
  <c r="R10" i="82"/>
  <c r="T10" i="82"/>
  <c r="O10" i="82"/>
  <c r="BK86" i="82"/>
  <c r="BK38" i="82"/>
  <c r="L10" i="82"/>
  <c r="N10" i="82"/>
  <c r="I10" i="82"/>
  <c r="H11" i="82"/>
  <c r="H28" i="82" s="1"/>
  <c r="G8" i="39"/>
  <c r="C8" i="39"/>
  <c r="D8" i="39"/>
  <c r="E8" i="39"/>
  <c r="H7" i="58"/>
  <c r="D7" i="58"/>
  <c r="F7" i="58"/>
  <c r="H7" i="57"/>
  <c r="D7" i="57"/>
  <c r="E7" i="57"/>
  <c r="F7" i="57"/>
  <c r="F112" i="96"/>
  <c r="F9" i="96"/>
  <c r="F11" i="96"/>
  <c r="F89" i="96"/>
  <c r="F94" i="96"/>
  <c r="F142" i="96"/>
  <c r="F158" i="96"/>
  <c r="F177" i="96"/>
  <c r="E38" i="81"/>
  <c r="F38" i="81" s="1"/>
  <c r="BJ80" i="82"/>
  <c r="BJ83" i="82"/>
  <c r="AX32" i="82"/>
  <c r="AX33" i="82"/>
  <c r="AX42" i="82"/>
  <c r="AX80" i="82"/>
  <c r="AX83" i="82"/>
  <c r="AN32" i="82"/>
  <c r="AR32" i="82"/>
  <c r="AN33" i="82"/>
  <c r="AR33" i="82"/>
  <c r="AN42" i="82"/>
  <c r="AR42" i="82"/>
  <c r="AN45" i="82"/>
  <c r="AR45" i="82"/>
  <c r="AN80" i="82"/>
  <c r="AR80" i="82"/>
  <c r="AN83" i="82"/>
  <c r="AL42" i="82"/>
  <c r="AH80" i="82"/>
  <c r="AI80" i="82"/>
  <c r="AL80" i="82"/>
  <c r="AH83" i="82"/>
  <c r="AC80" i="82"/>
  <c r="P80" i="82"/>
  <c r="P83" i="82"/>
  <c r="C69" i="98"/>
  <c r="C68" i="98" s="1"/>
  <c r="S77" i="83"/>
  <c r="S80" i="83" s="1"/>
  <c r="N77" i="83"/>
  <c r="N80" i="83" s="1"/>
  <c r="F155" i="96"/>
  <c r="F154" i="96"/>
  <c r="F151" i="96"/>
  <c r="F150" i="96"/>
  <c r="F50" i="96"/>
  <c r="F77" i="96"/>
  <c r="F149" i="96"/>
  <c r="C29" i="52"/>
  <c r="G29" i="52"/>
  <c r="H29" i="52"/>
  <c r="E29" i="52"/>
  <c r="D18" i="53"/>
  <c r="D26" i="53" s="1"/>
  <c r="O23" i="83"/>
  <c r="D34" i="81"/>
  <c r="E34" i="81" s="1"/>
  <c r="D10" i="95"/>
  <c r="G10" i="95"/>
  <c r="M10" i="95"/>
  <c r="J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L15" i="95"/>
  <c r="D16" i="95"/>
  <c r="G16" i="95"/>
  <c r="J16" i="95"/>
  <c r="M16" i="95"/>
  <c r="N16" i="95"/>
  <c r="O16" i="95"/>
  <c r="B17" i="95"/>
  <c r="C17" i="95"/>
  <c r="C27" i="95" s="1"/>
  <c r="C29" i="95" s="1"/>
  <c r="G17" i="95"/>
  <c r="H17" i="95"/>
  <c r="H27" i="95" s="1"/>
  <c r="I17" i="95"/>
  <c r="M17" i="95"/>
  <c r="D18" i="95"/>
  <c r="M18" i="95"/>
  <c r="J18" i="95"/>
  <c r="G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N20" i="95"/>
  <c r="O20" i="95"/>
  <c r="D21" i="95"/>
  <c r="F21" i="95"/>
  <c r="O21" i="95" s="1"/>
  <c r="J21" i="95"/>
  <c r="M21" i="95"/>
  <c r="N21" i="95"/>
  <c r="D22" i="95"/>
  <c r="F22" i="95"/>
  <c r="G22" i="95" s="1"/>
  <c r="I22" i="95"/>
  <c r="M22" i="95"/>
  <c r="N22" i="95"/>
  <c r="D23" i="95"/>
  <c r="G23" i="95"/>
  <c r="J23" i="95"/>
  <c r="M23" i="95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D28" i="95"/>
  <c r="P28" i="95" s="1"/>
  <c r="N28" i="95"/>
  <c r="O28" i="95"/>
  <c r="P31" i="95"/>
  <c r="B35" i="95"/>
  <c r="C35" i="95" s="1"/>
  <c r="H35" i="95"/>
  <c r="I35" i="95" s="1"/>
  <c r="K35" i="95"/>
  <c r="L35" i="95" s="1"/>
  <c r="P35" i="95"/>
  <c r="N35" i="95" s="1"/>
  <c r="O35" i="95" s="1"/>
  <c r="D5" i="98"/>
  <c r="E5" i="98"/>
  <c r="F5" i="98"/>
  <c r="C12" i="98"/>
  <c r="D12" i="98"/>
  <c r="G12" i="98"/>
  <c r="E13" i="98"/>
  <c r="E12" i="98" s="1"/>
  <c r="F13" i="98"/>
  <c r="F12" i="98" s="1"/>
  <c r="F15" i="98"/>
  <c r="C15" i="98"/>
  <c r="D15" i="98"/>
  <c r="E15" i="98"/>
  <c r="G15" i="98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G26" i="98"/>
  <c r="G24" i="98" s="1"/>
  <c r="G29" i="98"/>
  <c r="G34" i="98"/>
  <c r="H26" i="98"/>
  <c r="H24" i="98" s="1"/>
  <c r="C29" i="98"/>
  <c r="E29" i="98"/>
  <c r="F29" i="98"/>
  <c r="H29" i="98"/>
  <c r="D31" i="98"/>
  <c r="D32" i="98"/>
  <c r="C34" i="98"/>
  <c r="D34" i="98"/>
  <c r="E34" i="98"/>
  <c r="F34" i="98"/>
  <c r="H34" i="98"/>
  <c r="C42" i="98"/>
  <c r="C47" i="98"/>
  <c r="D42" i="98"/>
  <c r="D47" i="98"/>
  <c r="D85" i="98"/>
  <c r="E42" i="98"/>
  <c r="F42" i="98"/>
  <c r="G42" i="98"/>
  <c r="H42" i="98"/>
  <c r="H47" i="98"/>
  <c r="H68" i="98"/>
  <c r="H78" i="98"/>
  <c r="H77" i="98" s="1"/>
  <c r="H94" i="98"/>
  <c r="H93" i="98" s="1"/>
  <c r="H96" i="98"/>
  <c r="G47" i="98"/>
  <c r="E48" i="98"/>
  <c r="F48" i="98"/>
  <c r="F49" i="98"/>
  <c r="I49" i="98" s="1"/>
  <c r="E51" i="98"/>
  <c r="F51" i="98"/>
  <c r="I58" i="98"/>
  <c r="I59" i="98"/>
  <c r="P68" i="98"/>
  <c r="D78" i="98"/>
  <c r="G78" i="98"/>
  <c r="E79" i="98"/>
  <c r="E78" i="98" s="1"/>
  <c r="F79" i="98"/>
  <c r="F78" i="98" s="1"/>
  <c r="F87" i="98"/>
  <c r="F85" i="98" s="1"/>
  <c r="I79" i="98"/>
  <c r="I80" i="98"/>
  <c r="I81" i="98"/>
  <c r="I82" i="98"/>
  <c r="D83" i="98"/>
  <c r="I83" i="98" s="1"/>
  <c r="Q84" i="98"/>
  <c r="R84" i="98" s="1"/>
  <c r="C85" i="98"/>
  <c r="G85" i="98"/>
  <c r="H85" i="98"/>
  <c r="E87" i="98"/>
  <c r="E85" i="98" s="1"/>
  <c r="D93" i="98"/>
  <c r="C94" i="98"/>
  <c r="C93" i="98" s="1"/>
  <c r="E94" i="98"/>
  <c r="E93" i="98" s="1"/>
  <c r="F94" i="98"/>
  <c r="F93" i="98" s="1"/>
  <c r="G94" i="98"/>
  <c r="G93" i="98" s="1"/>
  <c r="C96" i="98"/>
  <c r="D96" i="98"/>
  <c r="G96" i="98"/>
  <c r="E98" i="98"/>
  <c r="E96" i="98" s="1"/>
  <c r="F98" i="98"/>
  <c r="F96" i="98" s="1"/>
  <c r="D105" i="98"/>
  <c r="D103" i="98" s="1"/>
  <c r="D102" i="98" s="1"/>
  <c r="E15" i="56"/>
  <c r="F15" i="56"/>
  <c r="I15" i="56"/>
  <c r="J15" i="56"/>
  <c r="E8" i="97"/>
  <c r="F8" i="97"/>
  <c r="G8" i="97"/>
  <c r="E56" i="97"/>
  <c r="F56" i="97"/>
  <c r="G56" i="97"/>
  <c r="E60" i="97"/>
  <c r="F60" i="97"/>
  <c r="G60" i="97"/>
  <c r="E65" i="97"/>
  <c r="F65" i="97"/>
  <c r="G65" i="97"/>
  <c r="E70" i="97"/>
  <c r="F73" i="97"/>
  <c r="F70" i="97" s="1"/>
  <c r="G73" i="97"/>
  <c r="G70" i="97" s="1"/>
  <c r="E77" i="97"/>
  <c r="E76" i="97" s="1"/>
  <c r="F77" i="97"/>
  <c r="F76" i="97" s="1"/>
  <c r="G77" i="97"/>
  <c r="G76" i="97" s="1"/>
  <c r="N9" i="53"/>
  <c r="H18" i="53"/>
  <c r="H26" i="53" s="1"/>
  <c r="K18" i="53"/>
  <c r="N11" i="53"/>
  <c r="M18" i="53"/>
  <c r="N13" i="53"/>
  <c r="N14" i="53"/>
  <c r="N15" i="53"/>
  <c r="N20" i="53"/>
  <c r="N21" i="53"/>
  <c r="N23" i="53"/>
  <c r="B6" i="93"/>
  <c r="B8" i="93"/>
  <c r="B11" i="93"/>
  <c r="D10" i="91"/>
  <c r="D8" i="91" s="1"/>
  <c r="E10" i="91"/>
  <c r="E8" i="91" s="1"/>
  <c r="D22" i="91"/>
  <c r="D23" i="91" s="1"/>
  <c r="E22" i="91"/>
  <c r="E23" i="91" s="1"/>
  <c r="D25" i="91"/>
  <c r="E25" i="91"/>
  <c r="D26" i="91"/>
  <c r="E26" i="91"/>
  <c r="D35" i="91"/>
  <c r="D27" i="91" s="1"/>
  <c r="E35" i="91"/>
  <c r="E27" i="91" s="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C18" i="90"/>
  <c r="D18" i="90"/>
  <c r="E18" i="90"/>
  <c r="C22" i="90"/>
  <c r="D22" i="90"/>
  <c r="D29" i="90"/>
  <c r="D32" i="90"/>
  <c r="E22" i="90"/>
  <c r="C29" i="90"/>
  <c r="E29" i="90"/>
  <c r="C32" i="90"/>
  <c r="E32" i="90"/>
  <c r="E9" i="94"/>
  <c r="E13" i="94"/>
  <c r="E18" i="94"/>
  <c r="D19" i="94"/>
  <c r="F19" i="94"/>
  <c r="E21" i="94"/>
  <c r="E22" i="94" s="1"/>
  <c r="D22" i="94"/>
  <c r="F22" i="94"/>
  <c r="D24" i="94"/>
  <c r="E24" i="94"/>
  <c r="E26" i="94"/>
  <c r="E28" i="94"/>
  <c r="F24" i="94"/>
  <c r="D28" i="94"/>
  <c r="F28" i="94"/>
  <c r="E42" i="94"/>
  <c r="E45" i="94"/>
  <c r="E49" i="94"/>
  <c r="D50" i="94"/>
  <c r="F50" i="94"/>
  <c r="D96" i="91" s="1"/>
  <c r="E96" i="91" s="1"/>
  <c r="D52" i="94"/>
  <c r="E52" i="94"/>
  <c r="F52" i="94"/>
  <c r="D54" i="94"/>
  <c r="E54" i="94"/>
  <c r="F54" i="94"/>
  <c r="F57" i="94"/>
  <c r="D57" i="94"/>
  <c r="E57" i="94"/>
  <c r="E61" i="94"/>
  <c r="F61" i="94"/>
  <c r="D101" i="91" s="1"/>
  <c r="E101" i="91" s="1"/>
  <c r="D67" i="94"/>
  <c r="E67" i="94"/>
  <c r="F67" i="94"/>
  <c r="D71" i="94"/>
  <c r="D73" i="94"/>
  <c r="E71" i="94"/>
  <c r="F71" i="94"/>
  <c r="E73" i="94"/>
  <c r="F73" i="94"/>
  <c r="E77" i="94"/>
  <c r="D81" i="94"/>
  <c r="E81" i="94"/>
  <c r="F81" i="94"/>
  <c r="E6" i="88"/>
  <c r="E9" i="88"/>
  <c r="E7" i="88"/>
  <c r="C8" i="88"/>
  <c r="D8" i="88"/>
  <c r="E10" i="88"/>
  <c r="C11" i="88"/>
  <c r="D11" i="88"/>
  <c r="E14" i="88"/>
  <c r="F29" i="52"/>
  <c r="I29" i="52"/>
  <c r="N9" i="83"/>
  <c r="S9" i="83" s="1"/>
  <c r="I9" i="83"/>
  <c r="O9" i="83" s="1"/>
  <c r="T9" i="83"/>
  <c r="O26" i="83"/>
  <c r="T79" i="83"/>
  <c r="D69" i="98" s="1"/>
  <c r="D68" i="98" s="1"/>
  <c r="T81" i="83"/>
  <c r="P11" i="82"/>
  <c r="T11" i="82"/>
  <c r="AN11" i="82"/>
  <c r="AR11" i="82"/>
  <c r="P19" i="82"/>
  <c r="T19" i="82"/>
  <c r="AN19" i="82"/>
  <c r="AR19" i="82"/>
  <c r="P32" i="82"/>
  <c r="T32" i="82"/>
  <c r="P33" i="82"/>
  <c r="T33" i="82"/>
  <c r="P42" i="82"/>
  <c r="T42" i="82"/>
  <c r="BK49" i="82"/>
  <c r="B18" i="81"/>
  <c r="B26" i="81" s="1"/>
  <c r="B34" i="81" s="1"/>
  <c r="B42" i="81" s="1"/>
  <c r="B50" i="81" s="1"/>
  <c r="B58" i="81" s="1"/>
  <c r="E19" i="81"/>
  <c r="E20" i="81"/>
  <c r="E21" i="81"/>
  <c r="E22" i="81"/>
  <c r="F22" i="81" s="1"/>
  <c r="E23" i="81"/>
  <c r="B86" i="81"/>
  <c r="B94" i="81"/>
  <c r="B101" i="81" s="1"/>
  <c r="B108" i="81" s="1"/>
  <c r="B115" i="81" s="1"/>
  <c r="B122" i="81" s="1"/>
  <c r="B129" i="81" s="1"/>
  <c r="B136" i="81" s="1"/>
  <c r="B143" i="81" s="1"/>
  <c r="N18" i="80"/>
  <c r="N19" i="80"/>
  <c r="B8" i="39"/>
  <c r="C7" i="58"/>
  <c r="C38" i="58"/>
  <c r="C39" i="58"/>
  <c r="C105" i="57" s="1"/>
  <c r="C7" i="57"/>
  <c r="B103" i="57"/>
  <c r="B104" i="57"/>
  <c r="C108" i="57"/>
  <c r="F57" i="36"/>
  <c r="H57" i="36"/>
  <c r="F58" i="36"/>
  <c r="J19" i="99" s="1"/>
  <c r="J13" i="99" s="1"/>
  <c r="J47" i="99" s="1"/>
  <c r="H58" i="36"/>
  <c r="J21" i="99" s="1"/>
  <c r="D59" i="36"/>
  <c r="E59" i="36"/>
  <c r="F59" i="36"/>
  <c r="H5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6" i="96"/>
  <c r="F48" i="96"/>
  <c r="F49" i="96"/>
  <c r="E54" i="96"/>
  <c r="D61" i="96"/>
  <c r="E61" i="96"/>
  <c r="F62" i="96"/>
  <c r="F61" i="96" s="1"/>
  <c r="D65" i="96"/>
  <c r="D64" i="96" s="1"/>
  <c r="E65" i="96"/>
  <c r="E64" i="96" s="1"/>
  <c r="F66" i="96"/>
  <c r="F65" i="96" s="1"/>
  <c r="F68" i="96"/>
  <c r="D69" i="96"/>
  <c r="E69" i="96"/>
  <c r="F70" i="96"/>
  <c r="F69" i="96" s="1"/>
  <c r="F74" i="96"/>
  <c r="F79" i="96"/>
  <c r="F80" i="96"/>
  <c r="F81" i="96"/>
  <c r="F96" i="96"/>
  <c r="F97" i="96"/>
  <c r="F102" i="96"/>
  <c r="F103" i="96"/>
  <c r="F133" i="96"/>
  <c r="F138" i="96"/>
  <c r="F144" i="96"/>
  <c r="F153" i="96"/>
  <c r="F159" i="96"/>
  <c r="F162" i="96"/>
  <c r="F164" i="96"/>
  <c r="F174" i="96"/>
  <c r="F175" i="96"/>
  <c r="F176" i="96"/>
  <c r="F178" i="96"/>
  <c r="F179" i="96"/>
  <c r="F180" i="96"/>
  <c r="F181" i="96"/>
  <c r="E182" i="96"/>
  <c r="E163" i="96" s="1"/>
  <c r="F183" i="96"/>
  <c r="F184" i="96"/>
  <c r="F186" i="96"/>
  <c r="D187" i="96"/>
  <c r="E187" i="96"/>
  <c r="F188" i="96"/>
  <c r="F187" i="96" s="1"/>
  <c r="E18" i="53"/>
  <c r="E26" i="53" s="1"/>
  <c r="L18" i="53"/>
  <c r="L26" i="53" s="1"/>
  <c r="J18" i="53"/>
  <c r="J26" i="53" s="1"/>
  <c r="N12" i="53"/>
  <c r="D29" i="52"/>
  <c r="B25" i="53"/>
  <c r="D8" i="96"/>
  <c r="F27" i="96"/>
  <c r="F18" i="53"/>
  <c r="N25" i="80"/>
  <c r="O25" i="80" s="1"/>
  <c r="I18" i="53"/>
  <c r="I26" i="53" s="1"/>
  <c r="G18" i="53"/>
  <c r="G26" i="53" s="1"/>
  <c r="F147" i="81"/>
  <c r="C18" i="53"/>
  <c r="C26" i="53" s="1"/>
  <c r="F173" i="96"/>
  <c r="F157" i="96"/>
  <c r="N20" i="80"/>
  <c r="E46" i="81"/>
  <c r="F46" i="81" s="1"/>
  <c r="E54" i="81"/>
  <c r="F54" i="81" s="1"/>
  <c r="E112" i="81"/>
  <c r="N10" i="53"/>
  <c r="L27" i="99"/>
  <c r="L20" i="99"/>
  <c r="G20" i="99"/>
  <c r="J19" i="80"/>
  <c r="C84" i="81"/>
  <c r="F140" i="81"/>
  <c r="C145" i="81"/>
  <c r="F145" i="81" s="1"/>
  <c r="X72" i="83"/>
  <c r="U61" i="83"/>
  <c r="Y62" i="83"/>
  <c r="Y65" i="83"/>
  <c r="Y57" i="83"/>
  <c r="U41" i="83"/>
  <c r="X61" i="83"/>
  <c r="X62" i="83"/>
  <c r="C26" i="83"/>
  <c r="I23" i="83"/>
  <c r="U24" i="83"/>
  <c r="Y24" i="83"/>
  <c r="AU45" i="82"/>
  <c r="D58" i="36"/>
  <c r="U27" i="83"/>
  <c r="U64" i="83"/>
  <c r="F83" i="96"/>
  <c r="AV45" i="82"/>
  <c r="I20" i="80"/>
  <c r="I14" i="80" s="1"/>
  <c r="H22" i="36"/>
  <c r="D22" i="36"/>
  <c r="I16" i="80"/>
  <c r="I10" i="80" s="1"/>
  <c r="Y64" i="83"/>
  <c r="Y36" i="83"/>
  <c r="X44" i="83"/>
  <c r="D46" i="36"/>
  <c r="D34" i="52"/>
  <c r="D35" i="52" s="1"/>
  <c r="D36" i="52" s="1"/>
  <c r="I18" i="80"/>
  <c r="I12" i="80" s="1"/>
  <c r="Y58" i="83"/>
  <c r="Y11" i="83"/>
  <c r="S76" i="83"/>
  <c r="X40" i="83"/>
  <c r="D57" i="36"/>
  <c r="D57" i="97" s="1"/>
  <c r="I26" i="83"/>
  <c r="P76" i="83"/>
  <c r="BK84" i="82"/>
  <c r="X64" i="83"/>
  <c r="H29" i="36"/>
  <c r="U44" i="83"/>
  <c r="D54" i="96"/>
  <c r="D73" i="96"/>
  <c r="F88" i="96"/>
  <c r="H62" i="36"/>
  <c r="H60" i="36" s="1"/>
  <c r="C62" i="81" s="1"/>
  <c r="BL31" i="82"/>
  <c r="AX45" i="82"/>
  <c r="F137" i="96"/>
  <c r="D50" i="36"/>
  <c r="P15" i="53" s="1"/>
  <c r="D60" i="36"/>
  <c r="BL43" i="82"/>
  <c r="I28" i="99"/>
  <c r="I15" i="99" s="1"/>
  <c r="I49" i="99" s="1"/>
  <c r="M16" i="80"/>
  <c r="BL36" i="82"/>
  <c r="W27" i="83"/>
  <c r="J22" i="80"/>
  <c r="O22" i="80" s="1"/>
  <c r="B37" i="99"/>
  <c r="B31" i="99" s="1"/>
  <c r="X27" i="83"/>
  <c r="F29" i="36"/>
  <c r="AL45" i="82"/>
  <c r="F18" i="80"/>
  <c r="F76" i="96"/>
  <c r="BK85" i="82"/>
  <c r="F34" i="52"/>
  <c r="Y44" i="83"/>
  <c r="E70" i="36"/>
  <c r="N17" i="53"/>
  <c r="BN45" i="82" l="1"/>
  <c r="P24" i="53"/>
  <c r="J68" i="36"/>
  <c r="Q12" i="52"/>
  <c r="P47" i="80"/>
  <c r="E11" i="88"/>
  <c r="AI92" i="82"/>
  <c r="AI96" i="82" s="1"/>
  <c r="AI98" i="82" s="1"/>
  <c r="B73" i="81"/>
  <c r="B87" i="81" s="1"/>
  <c r="E8" i="88"/>
  <c r="E78" i="94"/>
  <c r="E82" i="94" s="1"/>
  <c r="C33" i="90"/>
  <c r="D20" i="91"/>
  <c r="D18" i="91" s="1"/>
  <c r="D17" i="91" s="1"/>
  <c r="D7" i="91" s="1"/>
  <c r="G21" i="95"/>
  <c r="P21" i="95" s="1"/>
  <c r="E25" i="90"/>
  <c r="P25" i="95"/>
  <c r="P19" i="95"/>
  <c r="C25" i="90"/>
  <c r="I27" i="95"/>
  <c r="I36" i="95" s="1"/>
  <c r="H36" i="95"/>
  <c r="C11" i="98"/>
  <c r="C6" i="98" s="1"/>
  <c r="AU28" i="82"/>
  <c r="G13" i="100"/>
  <c r="G15" i="95"/>
  <c r="O26" i="95"/>
  <c r="E20" i="91"/>
  <c r="E18" i="91" s="1"/>
  <c r="E17" i="91" s="1"/>
  <c r="E7" i="91" s="1"/>
  <c r="D15" i="95"/>
  <c r="C82" i="98" s="1"/>
  <c r="M27" i="95"/>
  <c r="M36" i="95" s="1"/>
  <c r="M15" i="95"/>
  <c r="M33" i="95" s="1"/>
  <c r="D18" i="98"/>
  <c r="S40" i="98"/>
  <c r="D12" i="88"/>
  <c r="D15" i="88" s="1"/>
  <c r="G77" i="98"/>
  <c r="D77" i="98"/>
  <c r="L36" i="95"/>
  <c r="F27" i="95"/>
  <c r="F29" i="95" s="1"/>
  <c r="H29" i="95"/>
  <c r="P11" i="53"/>
  <c r="D22" i="97"/>
  <c r="E58" i="94"/>
  <c r="D29" i="97"/>
  <c r="P12" i="53"/>
  <c r="P14" i="53"/>
  <c r="D46" i="97"/>
  <c r="J22" i="95"/>
  <c r="P22" i="95" s="1"/>
  <c r="J17" i="99"/>
  <c r="J11" i="99" s="1"/>
  <c r="J45" i="99" s="1"/>
  <c r="D58" i="97"/>
  <c r="F47" i="98"/>
  <c r="F41" i="98" s="1"/>
  <c r="C11" i="52"/>
  <c r="C59" i="81"/>
  <c r="F59" i="81" s="1"/>
  <c r="P17" i="53"/>
  <c r="N38" i="80"/>
  <c r="P13" i="53"/>
  <c r="D40" i="97"/>
  <c r="C123" i="81"/>
  <c r="F123" i="81" s="1"/>
  <c r="D123" i="57"/>
  <c r="B82" i="81"/>
  <c r="B83" i="81"/>
  <c r="B97" i="81"/>
  <c r="B104" i="81" s="1"/>
  <c r="B111" i="81" s="1"/>
  <c r="B118" i="81" s="1"/>
  <c r="B125" i="81" s="1"/>
  <c r="B132" i="81" s="1"/>
  <c r="B139" i="81" s="1"/>
  <c r="B146" i="81" s="1"/>
  <c r="D68" i="97"/>
  <c r="O15" i="53"/>
  <c r="C17" i="102"/>
  <c r="O12" i="53"/>
  <c r="C11" i="102"/>
  <c r="G64" i="97"/>
  <c r="G83" i="97" s="1"/>
  <c r="E64" i="97"/>
  <c r="E83" i="97" s="1"/>
  <c r="O15" i="95"/>
  <c r="G55" i="97"/>
  <c r="G54" i="97" s="1"/>
  <c r="G63" i="97" s="1"/>
  <c r="D41" i="98"/>
  <c r="I40" i="98" s="1"/>
  <c r="F28" i="98"/>
  <c r="G28" i="98"/>
  <c r="C12" i="88"/>
  <c r="C15" i="88" s="1"/>
  <c r="F78" i="94"/>
  <c r="F82" i="94" s="1"/>
  <c r="F11" i="98"/>
  <c r="F6" i="98" s="1"/>
  <c r="L46" i="80"/>
  <c r="E46" i="80"/>
  <c r="P42" i="80"/>
  <c r="D10" i="81"/>
  <c r="AA45" i="82"/>
  <c r="AA92" i="82" s="1"/>
  <c r="BL70" i="82"/>
  <c r="D42" i="81"/>
  <c r="E42" i="81" s="1"/>
  <c r="F42" i="81" s="1"/>
  <c r="T91" i="83"/>
  <c r="F39" i="99"/>
  <c r="F33" i="99" s="1"/>
  <c r="F38" i="99"/>
  <c r="F32" i="99" s="1"/>
  <c r="F18" i="99"/>
  <c r="F12" i="99" s="1"/>
  <c r="T61" i="83"/>
  <c r="I43" i="80"/>
  <c r="C62" i="36"/>
  <c r="C60" i="36" s="1"/>
  <c r="O17" i="53" s="1"/>
  <c r="K23" i="99"/>
  <c r="K10" i="99" s="1"/>
  <c r="K44" i="99" s="1"/>
  <c r="L18" i="99"/>
  <c r="L12" i="99" s="1"/>
  <c r="L46" i="99" s="1"/>
  <c r="J12" i="99"/>
  <c r="J46" i="99" s="1"/>
  <c r="I46" i="80"/>
  <c r="O19" i="80"/>
  <c r="J13" i="80"/>
  <c r="P43" i="80"/>
  <c r="I45" i="80"/>
  <c r="I47" i="80"/>
  <c r="G14" i="99"/>
  <c r="F76" i="81"/>
  <c r="F90" i="81" s="1"/>
  <c r="D70" i="81"/>
  <c r="E70" i="81" s="1"/>
  <c r="G54" i="81" s="1"/>
  <c r="B76" i="81"/>
  <c r="B90" i="81" s="1"/>
  <c r="B99" i="81"/>
  <c r="B106" i="81" s="1"/>
  <c r="B113" i="81" s="1"/>
  <c r="B120" i="81" s="1"/>
  <c r="B127" i="81" s="1"/>
  <c r="B134" i="81" s="1"/>
  <c r="B141" i="81" s="1"/>
  <c r="B148" i="81" s="1"/>
  <c r="D46" i="80"/>
  <c r="B84" i="81"/>
  <c r="M27" i="99"/>
  <c r="H41" i="98"/>
  <c r="H40" i="98" s="1"/>
  <c r="H39" i="98" s="1"/>
  <c r="H108" i="98" s="1"/>
  <c r="H6" i="98"/>
  <c r="P18" i="95"/>
  <c r="O17" i="95"/>
  <c r="N17" i="95"/>
  <c r="N27" i="95" s="1"/>
  <c r="P16" i="95"/>
  <c r="K36" i="95"/>
  <c r="P11" i="95"/>
  <c r="T44" i="83"/>
  <c r="F58" i="94"/>
  <c r="D100" i="91" s="1"/>
  <c r="E100" i="91" s="1"/>
  <c r="E33" i="90"/>
  <c r="D33" i="90"/>
  <c r="G41" i="98"/>
  <c r="C28" i="98"/>
  <c r="P24" i="95"/>
  <c r="X77" i="83"/>
  <c r="G69" i="98" s="1"/>
  <c r="G68" i="98" s="1"/>
  <c r="F9" i="88"/>
  <c r="G9" i="88" s="1"/>
  <c r="E50" i="94"/>
  <c r="D29" i="94"/>
  <c r="D62" i="94" s="1"/>
  <c r="E19" i="94"/>
  <c r="F64" i="97"/>
  <c r="F83" i="97" s="1"/>
  <c r="D30" i="98"/>
  <c r="D29" i="98" s="1"/>
  <c r="D28" i="98" s="1"/>
  <c r="E11" i="98"/>
  <c r="E6" i="98" s="1"/>
  <c r="L29" i="95"/>
  <c r="AC83" i="82"/>
  <c r="T41" i="83"/>
  <c r="E36" i="81"/>
  <c r="F21" i="99"/>
  <c r="F15" i="99" s="1"/>
  <c r="F49" i="99" s="1"/>
  <c r="E47" i="81"/>
  <c r="F47" i="81" s="1"/>
  <c r="E132" i="81"/>
  <c r="G15" i="56"/>
  <c r="BL46" i="82"/>
  <c r="P26" i="95"/>
  <c r="G40" i="99"/>
  <c r="M40" i="99" s="1"/>
  <c r="B34" i="99"/>
  <c r="B48" i="99" s="1"/>
  <c r="M10" i="80"/>
  <c r="M43" i="80" s="1"/>
  <c r="L21" i="99"/>
  <c r="J15" i="99"/>
  <c r="J49" i="99" s="1"/>
  <c r="K29" i="95"/>
  <c r="P12" i="95"/>
  <c r="AT28" i="82"/>
  <c r="AU92" i="82"/>
  <c r="M22" i="99"/>
  <c r="P46" i="80"/>
  <c r="D78" i="94"/>
  <c r="D82" i="94" s="1"/>
  <c r="J17" i="95"/>
  <c r="E29" i="94"/>
  <c r="E77" i="98"/>
  <c r="H28" i="98"/>
  <c r="C144" i="81"/>
  <c r="F144" i="81" s="1"/>
  <c r="C96" i="58"/>
  <c r="M46" i="80"/>
  <c r="G46" i="80"/>
  <c r="N32" i="80"/>
  <c r="P45" i="80"/>
  <c r="C46" i="80"/>
  <c r="F46" i="80"/>
  <c r="B46" i="80"/>
  <c r="H46" i="80"/>
  <c r="N13" i="80"/>
  <c r="L14" i="99"/>
  <c r="K46" i="80"/>
  <c r="B81" i="81"/>
  <c r="B74" i="81"/>
  <c r="B88" i="81" s="1"/>
  <c r="M29" i="99"/>
  <c r="J38" i="80"/>
  <c r="B85" i="81"/>
  <c r="F84" i="81"/>
  <c r="T27" i="83"/>
  <c r="E45" i="81"/>
  <c r="F45" i="81" s="1"/>
  <c r="Y77" i="83"/>
  <c r="D120" i="81" s="1"/>
  <c r="K39" i="80" s="1"/>
  <c r="E43" i="81"/>
  <c r="F43" i="81" s="1"/>
  <c r="E130" i="81"/>
  <c r="T36" i="83"/>
  <c r="F17" i="99"/>
  <c r="F11" i="99" s="1"/>
  <c r="F37" i="99"/>
  <c r="F31" i="99" s="1"/>
  <c r="T77" i="83"/>
  <c r="F19" i="99"/>
  <c r="F13" i="99" s="1"/>
  <c r="E39" i="81"/>
  <c r="F57" i="96"/>
  <c r="F64" i="96"/>
  <c r="F63" i="96" s="1"/>
  <c r="BE28" i="82"/>
  <c r="AO28" i="82"/>
  <c r="AP28" i="82"/>
  <c r="D63" i="96"/>
  <c r="F182" i="96"/>
  <c r="F163" i="96" s="1"/>
  <c r="E63" i="96"/>
  <c r="AF92" i="82"/>
  <c r="AF96" i="82" s="1"/>
  <c r="AF98" i="82" s="1"/>
  <c r="BK80" i="82"/>
  <c r="AL92" i="82"/>
  <c r="AL96" i="82" s="1"/>
  <c r="AL98" i="82" s="1"/>
  <c r="C124" i="81"/>
  <c r="C125" i="81"/>
  <c r="E18" i="80" s="1"/>
  <c r="E12" i="80" s="1"/>
  <c r="E45" i="80" s="1"/>
  <c r="AV92" i="82"/>
  <c r="AJ96" i="82"/>
  <c r="AJ98" i="82" s="1"/>
  <c r="R92" i="82"/>
  <c r="AM28" i="82"/>
  <c r="O28" i="82"/>
  <c r="AP92" i="82"/>
  <c r="C33" i="82"/>
  <c r="C83" i="82"/>
  <c r="BK83" i="82" s="1"/>
  <c r="BH92" i="82"/>
  <c r="BH96" i="82" s="1"/>
  <c r="BH98" i="82" s="1"/>
  <c r="AO92" i="82"/>
  <c r="C66" i="58"/>
  <c r="C70" i="57"/>
  <c r="C22" i="36" s="1"/>
  <c r="D56" i="36"/>
  <c r="C35" i="81" s="1"/>
  <c r="F35" i="81" s="1"/>
  <c r="O14" i="53"/>
  <c r="C12" i="57"/>
  <c r="C11" i="57" s="1"/>
  <c r="C29" i="57"/>
  <c r="C27" i="57" s="1"/>
  <c r="C25" i="57" s="1"/>
  <c r="D72" i="96"/>
  <c r="D189" i="96" s="1"/>
  <c r="F8" i="96"/>
  <c r="F39" i="80"/>
  <c r="F33" i="80" s="1"/>
  <c r="U26" i="83"/>
  <c r="D119" i="57" s="1"/>
  <c r="Y26" i="83"/>
  <c r="H119" i="57" s="1"/>
  <c r="Y23" i="83"/>
  <c r="D99" i="81" s="1"/>
  <c r="E99" i="81" s="1"/>
  <c r="F28" i="80"/>
  <c r="E131" i="81"/>
  <c r="D15" i="81"/>
  <c r="E13" i="81"/>
  <c r="B39" i="99"/>
  <c r="M26" i="80"/>
  <c r="M14" i="80" s="1"/>
  <c r="M47" i="80" s="1"/>
  <c r="C45" i="57"/>
  <c r="E11" i="81"/>
  <c r="H84" i="81"/>
  <c r="F112" i="81"/>
  <c r="G84" i="81" s="1"/>
  <c r="D7" i="96"/>
  <c r="F42" i="96"/>
  <c r="F37" i="96"/>
  <c r="F31" i="96"/>
  <c r="E7" i="96"/>
  <c r="D25" i="90"/>
  <c r="P20" i="95"/>
  <c r="U23" i="83"/>
  <c r="D116" i="57" s="1"/>
  <c r="E36" i="95"/>
  <c r="U77" i="83"/>
  <c r="AV28" i="82"/>
  <c r="M20" i="99"/>
  <c r="AR28" i="82"/>
  <c r="T28" i="82"/>
  <c r="F55" i="97"/>
  <c r="F54" i="97" s="1"/>
  <c r="F63" i="97" s="1"/>
  <c r="D17" i="95"/>
  <c r="B27" i="95"/>
  <c r="B36" i="95" s="1"/>
  <c r="AN28" i="82"/>
  <c r="P28" i="82"/>
  <c r="F29" i="94"/>
  <c r="E55" i="97"/>
  <c r="E54" i="97" s="1"/>
  <c r="E63" i="97" s="1"/>
  <c r="P23" i="95"/>
  <c r="O22" i="95"/>
  <c r="E29" i="95"/>
  <c r="J15" i="95"/>
  <c r="N15" i="95"/>
  <c r="H16" i="80"/>
  <c r="H10" i="80" s="1"/>
  <c r="H43" i="80" s="1"/>
  <c r="AN92" i="82"/>
  <c r="AX92" i="82"/>
  <c r="BJ92" i="82"/>
  <c r="BJ96" i="82" s="1"/>
  <c r="BJ98" i="82" s="1"/>
  <c r="I42" i="80"/>
  <c r="L92" i="82"/>
  <c r="L96" i="82" s="1"/>
  <c r="L98" i="82" s="1"/>
  <c r="G35" i="39"/>
  <c r="F26" i="80" s="1"/>
  <c r="J26" i="80" s="1"/>
  <c r="C13" i="58"/>
  <c r="C16" i="36" s="1"/>
  <c r="O10" i="53" s="1"/>
  <c r="AR92" i="82"/>
  <c r="X57" i="83"/>
  <c r="E35" i="39"/>
  <c r="P92" i="82"/>
  <c r="B38" i="99"/>
  <c r="E28" i="98"/>
  <c r="P14" i="95"/>
  <c r="P10" i="95"/>
  <c r="AT92" i="82"/>
  <c r="D44" i="99"/>
  <c r="C78" i="36"/>
  <c r="H15" i="80" s="1"/>
  <c r="H9" i="80" s="1"/>
  <c r="H42" i="80" s="1"/>
  <c r="D77" i="97"/>
  <c r="D76" i="97" s="1"/>
  <c r="C73" i="83"/>
  <c r="C80" i="83" s="1"/>
  <c r="C58" i="36"/>
  <c r="J16" i="99"/>
  <c r="L16" i="99" s="1"/>
  <c r="AH92" i="82"/>
  <c r="AH96" i="82" s="1"/>
  <c r="AH98" i="82" s="1"/>
  <c r="BK42" i="82"/>
  <c r="K26" i="53"/>
  <c r="F26" i="53"/>
  <c r="H56" i="36"/>
  <c r="C39" i="81" s="1"/>
  <c r="C31" i="81" s="1"/>
  <c r="D16" i="36"/>
  <c r="M24" i="80"/>
  <c r="M12" i="80" s="1"/>
  <c r="M45" i="80" s="1"/>
  <c r="C35" i="58"/>
  <c r="F60" i="36"/>
  <c r="C61" i="81" s="1"/>
  <c r="F61" i="81" s="1"/>
  <c r="H72" i="36"/>
  <c r="C45" i="58"/>
  <c r="C44" i="58" s="1"/>
  <c r="H15" i="102" s="1"/>
  <c r="C30" i="81"/>
  <c r="F30" i="81" s="1"/>
  <c r="F62" i="81"/>
  <c r="C148" i="81"/>
  <c r="F148" i="81" s="1"/>
  <c r="C85" i="97"/>
  <c r="L16" i="80"/>
  <c r="D72" i="36"/>
  <c r="L26" i="80"/>
  <c r="L14" i="80" s="1"/>
  <c r="L47" i="80" s="1"/>
  <c r="H28" i="99"/>
  <c r="H15" i="99" s="1"/>
  <c r="H49" i="99" s="1"/>
  <c r="H42" i="58"/>
  <c r="C23" i="81"/>
  <c r="F23" i="81" s="1"/>
  <c r="K26" i="80"/>
  <c r="D71" i="36"/>
  <c r="D71" i="97" s="1"/>
  <c r="F40" i="36"/>
  <c r="I26" i="99"/>
  <c r="I13" i="99" s="1"/>
  <c r="I47" i="99" s="1"/>
  <c r="C40" i="36"/>
  <c r="C16" i="102" s="1"/>
  <c r="E40" i="36"/>
  <c r="C20" i="81" s="1"/>
  <c r="F20" i="81" s="1"/>
  <c r="D62" i="97"/>
  <c r="D60" i="97" s="1"/>
  <c r="F56" i="36"/>
  <c r="H20" i="80"/>
  <c r="H14" i="80" s="1"/>
  <c r="H47" i="80" s="1"/>
  <c r="N32" i="52"/>
  <c r="AG28" i="82"/>
  <c r="BK11" i="82"/>
  <c r="BF83" i="82"/>
  <c r="BF92" i="82" s="1"/>
  <c r="BF96" i="82" s="1"/>
  <c r="BF98" i="82" s="1"/>
  <c r="C123" i="57"/>
  <c r="H12" i="102" s="1"/>
  <c r="C122" i="81"/>
  <c r="I92" i="82"/>
  <c r="BL32" i="82"/>
  <c r="AD92" i="82"/>
  <c r="BL11" i="82"/>
  <c r="BL33" i="82"/>
  <c r="BL39" i="82"/>
  <c r="BL49" i="82"/>
  <c r="AM92" i="82"/>
  <c r="BL80" i="82"/>
  <c r="C104" i="81"/>
  <c r="C18" i="80" s="1"/>
  <c r="C12" i="80" s="1"/>
  <c r="H118" i="57"/>
  <c r="C106" i="81" s="1"/>
  <c r="C19" i="82"/>
  <c r="BK43" i="82"/>
  <c r="T92" i="82"/>
  <c r="AX28" i="82"/>
  <c r="Z92" i="82"/>
  <c r="Z96" i="82" s="1"/>
  <c r="Z98" i="82" s="1"/>
  <c r="N92" i="82"/>
  <c r="X92" i="82"/>
  <c r="X96" i="82" s="1"/>
  <c r="X98" i="82" s="1"/>
  <c r="BL42" i="82"/>
  <c r="AS45" i="82"/>
  <c r="AS92" i="82" s="1"/>
  <c r="BK62" i="82"/>
  <c r="I28" i="82"/>
  <c r="AA28" i="82"/>
  <c r="Q92" i="82"/>
  <c r="W92" i="82"/>
  <c r="W96" i="82" s="1"/>
  <c r="W98" i="82" s="1"/>
  <c r="O92" i="82"/>
  <c r="AS28" i="82"/>
  <c r="C127" i="81"/>
  <c r="F127" i="81" s="1"/>
  <c r="T64" i="83"/>
  <c r="T26" i="83"/>
  <c r="D101" i="81" s="1"/>
  <c r="C34" i="80" s="1"/>
  <c r="B11" i="39"/>
  <c r="B10" i="39" s="1"/>
  <c r="B9" i="39" s="1"/>
  <c r="F36" i="99"/>
  <c r="F16" i="99" s="1"/>
  <c r="F10" i="99" s="1"/>
  <c r="D9" i="36"/>
  <c r="D112" i="57"/>
  <c r="F20" i="80"/>
  <c r="H26" i="99"/>
  <c r="H13" i="99" s="1"/>
  <c r="H47" i="99" s="1"/>
  <c r="F42" i="58"/>
  <c r="J21" i="80"/>
  <c r="C146" i="81"/>
  <c r="F146" i="81" s="1"/>
  <c r="F22" i="36"/>
  <c r="BL97" i="82"/>
  <c r="K16" i="80"/>
  <c r="K10" i="80" s="1"/>
  <c r="C116" i="81"/>
  <c r="K24" i="80"/>
  <c r="X36" i="83"/>
  <c r="BL19" i="82"/>
  <c r="H10" i="99"/>
  <c r="H44" i="99" s="1"/>
  <c r="H8" i="36"/>
  <c r="U73" i="83"/>
  <c r="D122" i="57" s="1"/>
  <c r="E47" i="98"/>
  <c r="E41" i="98" s="1"/>
  <c r="C41" i="98"/>
  <c r="C40" i="98" s="1"/>
  <c r="P13" i="95"/>
  <c r="F10" i="88"/>
  <c r="G10" i="88" s="1"/>
  <c r="G11" i="98"/>
  <c r="G6" i="98" s="1"/>
  <c r="L19" i="99"/>
  <c r="D11" i="98"/>
  <c r="P40" i="98"/>
  <c r="F77" i="98"/>
  <c r="C36" i="95"/>
  <c r="E57" i="36"/>
  <c r="E56" i="36" s="1"/>
  <c r="E55" i="36" s="1"/>
  <c r="E54" i="36" s="1"/>
  <c r="C76" i="36"/>
  <c r="C82" i="58"/>
  <c r="X11" i="83"/>
  <c r="X24" i="83"/>
  <c r="X26" i="83" s="1"/>
  <c r="E73" i="96"/>
  <c r="E72" i="96" s="1"/>
  <c r="E189" i="96" s="1"/>
  <c r="F75" i="96"/>
  <c r="F73" i="96" s="1"/>
  <c r="L29" i="52"/>
  <c r="N29" i="52" s="1"/>
  <c r="N28" i="52"/>
  <c r="BE92" i="82"/>
  <c r="C32" i="82"/>
  <c r="BK32" i="82" s="1"/>
  <c r="C118" i="57" s="1"/>
  <c r="C101" i="81" s="1"/>
  <c r="C15" i="80" s="1"/>
  <c r="F13" i="100"/>
  <c r="E44" i="81"/>
  <c r="I73" i="83"/>
  <c r="AG92" i="82"/>
  <c r="T23" i="83"/>
  <c r="I140" i="82"/>
  <c r="W26" i="83"/>
  <c r="E29" i="36"/>
  <c r="E22" i="36"/>
  <c r="O73" i="83"/>
  <c r="O76" i="83" s="1"/>
  <c r="W77" i="83"/>
  <c r="K36" i="80" s="1"/>
  <c r="U92" i="82"/>
  <c r="C45" i="82"/>
  <c r="F24" i="80" l="1"/>
  <c r="J24" i="80" s="1"/>
  <c r="E67" i="39"/>
  <c r="F125" i="57" s="1"/>
  <c r="E12" i="88"/>
  <c r="E13" i="88" s="1"/>
  <c r="G27" i="95"/>
  <c r="G36" i="95" s="1"/>
  <c r="AC45" i="82"/>
  <c r="I29" i="95"/>
  <c r="J30" i="95" s="1"/>
  <c r="J32" i="95" s="1"/>
  <c r="L17" i="99"/>
  <c r="D6" i="98"/>
  <c r="D38" i="98" s="1"/>
  <c r="AU96" i="82"/>
  <c r="AU98" i="82" s="1"/>
  <c r="G33" i="95"/>
  <c r="C34" i="90"/>
  <c r="E34" i="90"/>
  <c r="O27" i="95"/>
  <c r="O29" i="95" s="1"/>
  <c r="C79" i="98"/>
  <c r="C78" i="98" s="1"/>
  <c r="C77" i="98" s="1"/>
  <c r="C39" i="98" s="1"/>
  <c r="C108" i="98" s="1"/>
  <c r="F38" i="98"/>
  <c r="C38" i="98"/>
  <c r="M29" i="95"/>
  <c r="D13" i="88"/>
  <c r="N29" i="95"/>
  <c r="E16" i="80"/>
  <c r="E10" i="80" s="1"/>
  <c r="E43" i="80" s="1"/>
  <c r="J27" i="95"/>
  <c r="J36" i="95" s="1"/>
  <c r="P15" i="95"/>
  <c r="B29" i="95"/>
  <c r="D33" i="95" s="1"/>
  <c r="B6" i="92"/>
  <c r="G38" i="98"/>
  <c r="E38" i="98"/>
  <c r="D34" i="90"/>
  <c r="G30" i="95"/>
  <c r="G32" i="95" s="1"/>
  <c r="AP96" i="82"/>
  <c r="AP98" i="82" s="1"/>
  <c r="F36" i="95"/>
  <c r="O36" i="95" s="1"/>
  <c r="C19" i="81"/>
  <c r="F19" i="81" s="1"/>
  <c r="P10" i="53"/>
  <c r="D16" i="97"/>
  <c r="L15" i="80"/>
  <c r="L9" i="80" s="1"/>
  <c r="L42" i="80" s="1"/>
  <c r="H16" i="102"/>
  <c r="P9" i="53"/>
  <c r="D9" i="97"/>
  <c r="D72" i="97"/>
  <c r="P21" i="53"/>
  <c r="D118" i="57"/>
  <c r="D117" i="57" s="1"/>
  <c r="M15" i="80"/>
  <c r="M9" i="80" s="1"/>
  <c r="M42" i="80" s="1"/>
  <c r="H17" i="102"/>
  <c r="AB45" i="82"/>
  <c r="AB92" i="82" s="1"/>
  <c r="AB96" i="82" s="1"/>
  <c r="AB98" i="82" s="1"/>
  <c r="C56" i="36"/>
  <c r="C34" i="81" s="1"/>
  <c r="C22" i="102"/>
  <c r="C20" i="102" s="1"/>
  <c r="C19" i="102" s="1"/>
  <c r="C18" i="102" s="1"/>
  <c r="O11" i="53"/>
  <c r="C10" i="102"/>
  <c r="F86" i="97"/>
  <c r="B38" i="39"/>
  <c r="B36" i="39" s="1"/>
  <c r="B35" i="39" s="1"/>
  <c r="B67" i="39" s="1"/>
  <c r="C125" i="57" s="1"/>
  <c r="C15" i="102"/>
  <c r="C14" i="102" s="1"/>
  <c r="G86" i="97"/>
  <c r="O140" i="82"/>
  <c r="C135" i="57" s="1"/>
  <c r="AA145" i="82"/>
  <c r="BE96" i="82"/>
  <c r="BE98" i="82" s="1"/>
  <c r="O96" i="82"/>
  <c r="O98" i="82" s="1"/>
  <c r="BK70" i="82"/>
  <c r="C58" i="81"/>
  <c r="F58" i="81" s="1"/>
  <c r="C72" i="36"/>
  <c r="E86" i="97"/>
  <c r="E15" i="88"/>
  <c r="E62" i="94"/>
  <c r="M30" i="95"/>
  <c r="M32" i="95" s="1"/>
  <c r="C13" i="88"/>
  <c r="H38" i="98"/>
  <c r="H109" i="98" s="1"/>
  <c r="D40" i="98"/>
  <c r="D39" i="98" s="1"/>
  <c r="D108" i="98" s="1"/>
  <c r="N36" i="95"/>
  <c r="G40" i="98"/>
  <c r="G39" i="98" s="1"/>
  <c r="G108" i="98" s="1"/>
  <c r="F47" i="99"/>
  <c r="C36" i="99"/>
  <c r="C30" i="99" s="1"/>
  <c r="C44" i="99" s="1"/>
  <c r="AS96" i="82"/>
  <c r="AS98" i="82" s="1"/>
  <c r="AT96" i="82"/>
  <c r="AT98" i="82" s="1"/>
  <c r="C76" i="83"/>
  <c r="K37" i="80"/>
  <c r="F46" i="99"/>
  <c r="N36" i="80"/>
  <c r="K30" i="80"/>
  <c r="E15" i="80"/>
  <c r="E9" i="80" s="1"/>
  <c r="E42" i="80" s="1"/>
  <c r="E17" i="80"/>
  <c r="E11" i="80" s="1"/>
  <c r="E44" i="80" s="1"/>
  <c r="G34" i="99"/>
  <c r="G48" i="99" s="1"/>
  <c r="N46" i="80"/>
  <c r="E120" i="81"/>
  <c r="E10" i="81"/>
  <c r="B36" i="99"/>
  <c r="B30" i="99" s="1"/>
  <c r="C8" i="58"/>
  <c r="C42" i="58" s="1"/>
  <c r="Q96" i="82"/>
  <c r="Q98" i="82" s="1"/>
  <c r="F125" i="81"/>
  <c r="R96" i="82"/>
  <c r="R98" i="82" s="1"/>
  <c r="M14" i="99"/>
  <c r="L48" i="99"/>
  <c r="B32" i="99"/>
  <c r="B33" i="99"/>
  <c r="F45" i="99"/>
  <c r="L10" i="80"/>
  <c r="N10" i="80" s="1"/>
  <c r="C77" i="36"/>
  <c r="O23" i="53" s="1"/>
  <c r="O24" i="53"/>
  <c r="O13" i="80"/>
  <c r="O38" i="80"/>
  <c r="J32" i="80"/>
  <c r="D106" i="81"/>
  <c r="C39" i="80" s="1"/>
  <c r="C33" i="80" s="1"/>
  <c r="C119" i="57"/>
  <c r="C117" i="57" s="1"/>
  <c r="H10" i="102" s="1"/>
  <c r="D102" i="81"/>
  <c r="E102" i="81" s="1"/>
  <c r="D115" i="81"/>
  <c r="E69" i="98"/>
  <c r="E68" i="98" s="1"/>
  <c r="E40" i="98" s="1"/>
  <c r="E39" i="98" s="1"/>
  <c r="E108" i="98" s="1"/>
  <c r="D95" i="81"/>
  <c r="B35" i="80" s="1"/>
  <c r="D71" i="96"/>
  <c r="D191" i="96" s="1"/>
  <c r="BK33" i="82"/>
  <c r="F72" i="96"/>
  <c r="F189" i="96" s="1"/>
  <c r="F7" i="96"/>
  <c r="F71" i="96" s="1"/>
  <c r="AM96" i="82"/>
  <c r="AM98" i="82" s="1"/>
  <c r="AV96" i="82"/>
  <c r="AV98" i="82" s="1"/>
  <c r="AO96" i="82"/>
  <c r="AO98" i="82" s="1"/>
  <c r="T96" i="82"/>
  <c r="T98" i="82" s="1"/>
  <c r="E71" i="96"/>
  <c r="E192" i="96" s="1"/>
  <c r="D94" i="58"/>
  <c r="F124" i="81"/>
  <c r="O141" i="82"/>
  <c r="U96" i="82"/>
  <c r="U98" i="82" s="1"/>
  <c r="AG96" i="82"/>
  <c r="AG98" i="82" s="1"/>
  <c r="P96" i="82"/>
  <c r="P98" i="82" s="1"/>
  <c r="BL85" i="82"/>
  <c r="H85" i="82"/>
  <c r="AX96" i="82"/>
  <c r="AX98" i="82" s="1"/>
  <c r="E20" i="80"/>
  <c r="E14" i="80" s="1"/>
  <c r="E47" i="80" s="1"/>
  <c r="C27" i="81"/>
  <c r="C10" i="57"/>
  <c r="G67" i="39"/>
  <c r="D55" i="36"/>
  <c r="D8" i="36"/>
  <c r="C84" i="97"/>
  <c r="J10" i="99"/>
  <c r="J44" i="99" s="1"/>
  <c r="F39" i="81"/>
  <c r="H116" i="57"/>
  <c r="B39" i="80"/>
  <c r="B33" i="80" s="1"/>
  <c r="W23" i="83"/>
  <c r="F116" i="57" s="1"/>
  <c r="AN96" i="82"/>
  <c r="AN98" i="82" s="1"/>
  <c r="E15" i="81"/>
  <c r="C15" i="81" s="1"/>
  <c r="B41" i="99"/>
  <c r="F8" i="36"/>
  <c r="E12" i="81"/>
  <c r="C12" i="81" s="1"/>
  <c r="B18" i="99" s="1"/>
  <c r="H18" i="80"/>
  <c r="H12" i="80" s="1"/>
  <c r="H45" i="80" s="1"/>
  <c r="C36" i="81"/>
  <c r="C28" i="81" s="1"/>
  <c r="L24" i="99"/>
  <c r="F12" i="80"/>
  <c r="F45" i="80" s="1"/>
  <c r="AA96" i="82"/>
  <c r="AA98" i="82" s="1"/>
  <c r="F14" i="80"/>
  <c r="F47" i="80" s="1"/>
  <c r="C120" i="81"/>
  <c r="C11" i="81"/>
  <c r="F11" i="81" s="1"/>
  <c r="F30" i="99"/>
  <c r="F44" i="99" s="1"/>
  <c r="AD96" i="82"/>
  <c r="AD98" i="82" s="1"/>
  <c r="F72" i="36"/>
  <c r="D56" i="97"/>
  <c r="D55" i="97" s="1"/>
  <c r="D54" i="97" s="1"/>
  <c r="J33" i="95"/>
  <c r="AR96" i="82"/>
  <c r="AR98" i="82" s="1"/>
  <c r="M80" i="83"/>
  <c r="H15" i="56"/>
  <c r="K16" i="56" s="1"/>
  <c r="K15" i="56"/>
  <c r="D95" i="91"/>
  <c r="B12" i="92"/>
  <c r="F62" i="94"/>
  <c r="D27" i="95"/>
  <c r="P17" i="95"/>
  <c r="P27" i="95" s="1"/>
  <c r="D116" i="81"/>
  <c r="F69" i="98"/>
  <c r="F68" i="98" s="1"/>
  <c r="F40" i="98" s="1"/>
  <c r="F39" i="98" s="1"/>
  <c r="F108" i="98" s="1"/>
  <c r="O13" i="53"/>
  <c r="C115" i="81"/>
  <c r="K15" i="80"/>
  <c r="I23" i="99"/>
  <c r="I10" i="99" s="1"/>
  <c r="I44" i="99" s="1"/>
  <c r="H55" i="36"/>
  <c r="H54" i="36" s="1"/>
  <c r="H63" i="36" s="1"/>
  <c r="D7" i="92" s="1"/>
  <c r="C21" i="81"/>
  <c r="F21" i="81" s="1"/>
  <c r="D70" i="36"/>
  <c r="L24" i="80"/>
  <c r="L12" i="80" s="1"/>
  <c r="L45" i="80" s="1"/>
  <c r="F93" i="58"/>
  <c r="F94" i="58" s="1"/>
  <c r="F71" i="36"/>
  <c r="C70" i="81"/>
  <c r="F70" i="81" s="1"/>
  <c r="K14" i="80"/>
  <c r="N14" i="80" s="1"/>
  <c r="N26" i="80"/>
  <c r="O26" i="80" s="1"/>
  <c r="N21" i="80"/>
  <c r="O21" i="80" s="1"/>
  <c r="C37" i="81"/>
  <c r="F55" i="36"/>
  <c r="F54" i="36" s="1"/>
  <c r="E8" i="36"/>
  <c r="E63" i="36" s="1"/>
  <c r="L28" i="99"/>
  <c r="L15" i="99" s="1"/>
  <c r="L49" i="99" s="1"/>
  <c r="H71" i="36"/>
  <c r="H70" i="36" s="1"/>
  <c r="H93" i="58"/>
  <c r="H94" i="58" s="1"/>
  <c r="C97" i="81"/>
  <c r="B18" i="80" s="1"/>
  <c r="H115" i="57"/>
  <c r="C99" i="81" s="1"/>
  <c r="H117" i="57"/>
  <c r="I96" i="82"/>
  <c r="I98" i="82" s="1"/>
  <c r="F122" i="81"/>
  <c r="N96" i="82"/>
  <c r="N98" i="82" s="1"/>
  <c r="B8" i="52"/>
  <c r="B16" i="52" s="1"/>
  <c r="C28" i="82"/>
  <c r="BK28" i="82" s="1"/>
  <c r="C115" i="57" s="1"/>
  <c r="C94" i="81" s="1"/>
  <c r="B15" i="80" s="1"/>
  <c r="BK19" i="82"/>
  <c r="E101" i="81"/>
  <c r="F101" i="81" s="1"/>
  <c r="D94" i="81"/>
  <c r="B34" i="80" s="1"/>
  <c r="C116" i="57"/>
  <c r="K34" i="80"/>
  <c r="E117" i="81"/>
  <c r="F117" i="81" s="1"/>
  <c r="C18" i="81"/>
  <c r="F18" i="81" s="1"/>
  <c r="G29" i="95"/>
  <c r="K12" i="80"/>
  <c r="M15" i="56"/>
  <c r="F44" i="81"/>
  <c r="H80" i="83"/>
  <c r="Y73" i="83"/>
  <c r="N24" i="53"/>
  <c r="D109" i="81"/>
  <c r="N16" i="80"/>
  <c r="O16" i="80" s="1"/>
  <c r="L26" i="99"/>
  <c r="M26" i="99" s="1"/>
  <c r="Q76" i="83"/>
  <c r="Q80" i="83"/>
  <c r="E117" i="57"/>
  <c r="T73" i="83"/>
  <c r="T76" i="83" s="1"/>
  <c r="T80" i="83" s="1"/>
  <c r="I76" i="83"/>
  <c r="F117" i="57"/>
  <c r="C97" i="82"/>
  <c r="BK97" i="82" s="1"/>
  <c r="Y27" i="83"/>
  <c r="H112" i="57"/>
  <c r="N39" i="80"/>
  <c r="K33" i="80"/>
  <c r="C13" i="81"/>
  <c r="F112" i="57"/>
  <c r="C36" i="80"/>
  <c r="C30" i="80" s="1"/>
  <c r="C86" i="36"/>
  <c r="C73" i="36"/>
  <c r="C143" i="81" s="1"/>
  <c r="F143" i="81" s="1"/>
  <c r="W73" i="83"/>
  <c r="F122" i="57" s="1"/>
  <c r="C71" i="36"/>
  <c r="C43" i="58"/>
  <c r="C93" i="58" s="1"/>
  <c r="R76" i="83"/>
  <c r="R80" i="83"/>
  <c r="X23" i="83"/>
  <c r="I41" i="98"/>
  <c r="T40" i="98"/>
  <c r="U40" i="98" s="1"/>
  <c r="I80" i="83"/>
  <c r="U76" i="83"/>
  <c r="BL28" i="82"/>
  <c r="D115" i="57" s="1"/>
  <c r="D114" i="57" s="1"/>
  <c r="X73" i="83"/>
  <c r="G80" i="83"/>
  <c r="O80" i="83"/>
  <c r="C20" i="80"/>
  <c r="C14" i="80" s="1"/>
  <c r="H70" i="82"/>
  <c r="C92" i="82"/>
  <c r="BK45" i="82"/>
  <c r="H45" i="82" l="1"/>
  <c r="BP45" i="82" s="1"/>
  <c r="BP70" i="82"/>
  <c r="AC92" i="82"/>
  <c r="BM92" i="82" s="1"/>
  <c r="E121" i="57" s="1"/>
  <c r="BM45" i="82"/>
  <c r="E114" i="57"/>
  <c r="E96" i="82"/>
  <c r="C109" i="98"/>
  <c r="P30" i="95"/>
  <c r="P32" i="95" s="1"/>
  <c r="D109" i="98"/>
  <c r="P33" i="95"/>
  <c r="F109" i="98"/>
  <c r="G109" i="98"/>
  <c r="C97" i="58"/>
  <c r="D30" i="95"/>
  <c r="D32" i="95" s="1"/>
  <c r="P34" i="95" s="1"/>
  <c r="C55" i="36"/>
  <c r="O16" i="53" s="1"/>
  <c r="B7" i="92"/>
  <c r="B8" i="92" s="1"/>
  <c r="J29" i="95"/>
  <c r="P29" i="95"/>
  <c r="E109" i="98"/>
  <c r="H14" i="102"/>
  <c r="D54" i="36"/>
  <c r="D63" i="36" s="1"/>
  <c r="P16" i="53"/>
  <c r="P18" i="53" s="1"/>
  <c r="M34" i="99"/>
  <c r="BL92" i="82"/>
  <c r="D121" i="57" s="1"/>
  <c r="D120" i="57" s="1"/>
  <c r="D113" i="57" s="1"/>
  <c r="BL45" i="82"/>
  <c r="C102" i="81"/>
  <c r="C16" i="80" s="1"/>
  <c r="C10" i="80" s="1"/>
  <c r="E106" i="81"/>
  <c r="F106" i="81" s="1"/>
  <c r="J93" i="58"/>
  <c r="F95" i="82"/>
  <c r="BN95" i="82" s="1"/>
  <c r="F124" i="57"/>
  <c r="H95" i="82"/>
  <c r="H125" i="57"/>
  <c r="H124" i="57" s="1"/>
  <c r="O21" i="53"/>
  <c r="C94" i="58"/>
  <c r="E118" i="81"/>
  <c r="F118" i="81" s="1"/>
  <c r="C9" i="57"/>
  <c r="C8" i="57" s="1"/>
  <c r="K31" i="80"/>
  <c r="N31" i="80" s="1"/>
  <c r="N37" i="80"/>
  <c r="N30" i="80"/>
  <c r="N44" i="80" s="1"/>
  <c r="K44" i="80"/>
  <c r="F17" i="80"/>
  <c r="F11" i="80" s="1"/>
  <c r="F44" i="80" s="1"/>
  <c r="M48" i="99"/>
  <c r="F120" i="81"/>
  <c r="G18" i="99"/>
  <c r="B12" i="99"/>
  <c r="B46" i="99" s="1"/>
  <c r="W76" i="83"/>
  <c r="B36" i="80"/>
  <c r="C35" i="80"/>
  <c r="C29" i="80" s="1"/>
  <c r="C103" i="81"/>
  <c r="C17" i="80" s="1"/>
  <c r="C11" i="80" s="1"/>
  <c r="C44" i="80" s="1"/>
  <c r="C134" i="81"/>
  <c r="F134" i="81" s="1"/>
  <c r="L43" i="80"/>
  <c r="B35" i="99"/>
  <c r="M24" i="99"/>
  <c r="L11" i="99"/>
  <c r="L13" i="99"/>
  <c r="L47" i="99" s="1"/>
  <c r="J46" i="80"/>
  <c r="O32" i="80"/>
  <c r="O46" i="80" s="1"/>
  <c r="E95" i="81"/>
  <c r="D81" i="81"/>
  <c r="E81" i="81" s="1"/>
  <c r="E115" i="81"/>
  <c r="F115" i="81" s="1"/>
  <c r="L23" i="99"/>
  <c r="L10" i="99" s="1"/>
  <c r="L44" i="99" s="1"/>
  <c r="F191" i="96"/>
  <c r="G189" i="96"/>
  <c r="G71" i="96"/>
  <c r="E191" i="96"/>
  <c r="BL83" i="82"/>
  <c r="H83" i="82"/>
  <c r="N24" i="80"/>
  <c r="O24" i="80" s="1"/>
  <c r="F63" i="36"/>
  <c r="J63" i="36" s="1"/>
  <c r="B17" i="99"/>
  <c r="B11" i="99" s="1"/>
  <c r="B45" i="99" s="1"/>
  <c r="F36" i="81"/>
  <c r="C67" i="81"/>
  <c r="C47" i="80"/>
  <c r="C132" i="81"/>
  <c r="F132" i="81" s="1"/>
  <c r="E94" i="58"/>
  <c r="C16" i="52"/>
  <c r="F70" i="36"/>
  <c r="H114" i="57"/>
  <c r="E116" i="81"/>
  <c r="F116" i="81" s="1"/>
  <c r="K35" i="80"/>
  <c r="B13" i="92"/>
  <c r="C14" i="92"/>
  <c r="N15" i="80"/>
  <c r="K9" i="80"/>
  <c r="N9" i="80" s="1"/>
  <c r="E95" i="91"/>
  <c r="E102" i="91" s="1"/>
  <c r="D102" i="91"/>
  <c r="D36" i="95"/>
  <c r="P36" i="95" s="1"/>
  <c r="D29" i="95"/>
  <c r="C129" i="81"/>
  <c r="F129" i="81" s="1"/>
  <c r="F15" i="80"/>
  <c r="F9" i="80" s="1"/>
  <c r="F42" i="80" s="1"/>
  <c r="C95" i="58"/>
  <c r="M28" i="99"/>
  <c r="C29" i="81"/>
  <c r="C69" i="81" s="1"/>
  <c r="F37" i="81"/>
  <c r="AC96" i="82"/>
  <c r="AC98" i="82" s="1"/>
  <c r="C124" i="57"/>
  <c r="H13" i="102" s="1"/>
  <c r="C95" i="82"/>
  <c r="BK95" i="82" s="1"/>
  <c r="C131" i="81"/>
  <c r="F131" i="81" s="1"/>
  <c r="C95" i="81"/>
  <c r="B29" i="80"/>
  <c r="T92" i="83"/>
  <c r="C67" i="36"/>
  <c r="D67" i="36"/>
  <c r="D67" i="97" s="1"/>
  <c r="U80" i="83"/>
  <c r="C68" i="81"/>
  <c r="F12" i="81"/>
  <c r="D36" i="80"/>
  <c r="D30" i="80" s="1"/>
  <c r="C28" i="80"/>
  <c r="E103" i="81"/>
  <c r="B9" i="80"/>
  <c r="C122" i="57"/>
  <c r="D108" i="81"/>
  <c r="D34" i="80" s="1"/>
  <c r="F99" i="81"/>
  <c r="B20" i="80"/>
  <c r="B14" i="80" s="1"/>
  <c r="B47" i="80" s="1"/>
  <c r="E94" i="81"/>
  <c r="C70" i="36"/>
  <c r="E104" i="81"/>
  <c r="F104" i="81" s="1"/>
  <c r="C37" i="80"/>
  <c r="C31" i="80" s="1"/>
  <c r="C45" i="80" s="1"/>
  <c r="M26" i="53"/>
  <c r="N25" i="53"/>
  <c r="C114" i="57"/>
  <c r="H9" i="102" s="1"/>
  <c r="F114" i="57"/>
  <c r="X76" i="83"/>
  <c r="C26" i="81"/>
  <c r="F34" i="81"/>
  <c r="F13" i="81"/>
  <c r="B19" i="99"/>
  <c r="B13" i="99" s="1"/>
  <c r="B47" i="99" s="1"/>
  <c r="D113" i="81"/>
  <c r="H122" i="57"/>
  <c r="Y76" i="83"/>
  <c r="N12" i="80"/>
  <c r="D73" i="97"/>
  <c r="D85" i="97"/>
  <c r="K47" i="80"/>
  <c r="N33" i="80"/>
  <c r="C71" i="81"/>
  <c r="F15" i="81"/>
  <c r="B21" i="99"/>
  <c r="B15" i="99" s="1"/>
  <c r="C9" i="80"/>
  <c r="D35" i="80"/>
  <c r="D29" i="80" s="1"/>
  <c r="E109" i="81"/>
  <c r="K28" i="80"/>
  <c r="N34" i="80"/>
  <c r="BK92" i="82"/>
  <c r="B12" i="80"/>
  <c r="E98" i="82" l="1"/>
  <c r="BM98" i="82" s="1"/>
  <c r="BM96" i="82"/>
  <c r="W80" i="83"/>
  <c r="W92" i="83" s="1"/>
  <c r="W93" i="83" s="1"/>
  <c r="F67" i="36"/>
  <c r="C9" i="36"/>
  <c r="O9" i="53" s="1"/>
  <c r="O18" i="53" s="1"/>
  <c r="B16" i="53"/>
  <c r="B18" i="53" s="1"/>
  <c r="B26" i="53" s="1"/>
  <c r="B27" i="53" s="1"/>
  <c r="C27" i="53" s="1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C54" i="36"/>
  <c r="N45" i="80"/>
  <c r="K45" i="80"/>
  <c r="C109" i="81"/>
  <c r="D16" i="80" s="1"/>
  <c r="D10" i="80" s="1"/>
  <c r="D43" i="80" s="1"/>
  <c r="C43" i="80"/>
  <c r="F102" i="81"/>
  <c r="E96" i="81"/>
  <c r="D82" i="81"/>
  <c r="E82" i="81" s="1"/>
  <c r="B30" i="80"/>
  <c r="J36" i="80"/>
  <c r="M18" i="99"/>
  <c r="G12" i="99"/>
  <c r="M23" i="99"/>
  <c r="F103" i="81"/>
  <c r="B49" i="99"/>
  <c r="C96" i="81"/>
  <c r="L45" i="99"/>
  <c r="F10" i="80"/>
  <c r="F43" i="80" s="1"/>
  <c r="D50" i="81"/>
  <c r="D26" i="81" s="1"/>
  <c r="T93" i="83"/>
  <c r="G17" i="99"/>
  <c r="G11" i="99" s="1"/>
  <c r="C96" i="82"/>
  <c r="BK96" i="82" s="1"/>
  <c r="C66" i="36" s="1"/>
  <c r="U92" i="83"/>
  <c r="C130" i="81"/>
  <c r="F130" i="81" s="1"/>
  <c r="D133" i="57"/>
  <c r="N35" i="80"/>
  <c r="K29" i="80"/>
  <c r="H81" i="81"/>
  <c r="D80" i="81"/>
  <c r="E80" i="81" s="1"/>
  <c r="C42" i="80"/>
  <c r="N47" i="80"/>
  <c r="D85" i="81"/>
  <c r="E85" i="81" s="1"/>
  <c r="E113" i="81"/>
  <c r="H85" i="81" s="1"/>
  <c r="D39" i="80"/>
  <c r="D37" i="80"/>
  <c r="D31" i="80" s="1"/>
  <c r="E111" i="81"/>
  <c r="J35" i="80"/>
  <c r="J34" i="80"/>
  <c r="B28" i="80"/>
  <c r="B42" i="80" s="1"/>
  <c r="G19" i="99"/>
  <c r="G13" i="99" s="1"/>
  <c r="M13" i="99" s="1"/>
  <c r="C112" i="57"/>
  <c r="C10" i="81"/>
  <c r="B16" i="99" s="1"/>
  <c r="G16" i="99" s="1"/>
  <c r="N28" i="80"/>
  <c r="K42" i="80"/>
  <c r="D8" i="97"/>
  <c r="D63" i="97" s="1"/>
  <c r="Y80" i="83"/>
  <c r="Y90" i="83" s="1"/>
  <c r="H67" i="36"/>
  <c r="X80" i="83"/>
  <c r="X90" i="83" s="1"/>
  <c r="F94" i="81"/>
  <c r="B16" i="80"/>
  <c r="F95" i="81"/>
  <c r="G21" i="99"/>
  <c r="G15" i="99" s="1"/>
  <c r="M15" i="99" s="1"/>
  <c r="D83" i="81"/>
  <c r="E83" i="81" s="1"/>
  <c r="E97" i="81"/>
  <c r="B37" i="80"/>
  <c r="D70" i="97"/>
  <c r="E108" i="81"/>
  <c r="H80" i="81" s="1"/>
  <c r="D28" i="80"/>
  <c r="E110" i="81"/>
  <c r="C121" i="57"/>
  <c r="H92" i="82"/>
  <c r="BP92" i="82" s="1"/>
  <c r="F92" i="82"/>
  <c r="BN92" i="82" s="1"/>
  <c r="F121" i="57" s="1"/>
  <c r="N16" i="53" l="1"/>
  <c r="N18" i="53" s="1"/>
  <c r="N26" i="53" s="1"/>
  <c r="N27" i="53" s="1"/>
  <c r="H82" i="81"/>
  <c r="C8" i="36"/>
  <c r="C63" i="36" s="1"/>
  <c r="L63" i="36" s="1"/>
  <c r="C9" i="102"/>
  <c r="C8" i="102" s="1"/>
  <c r="C7" i="102" s="1"/>
  <c r="C25" i="102" s="1"/>
  <c r="F109" i="81"/>
  <c r="O36" i="80"/>
  <c r="J30" i="80"/>
  <c r="O30" i="80" s="1"/>
  <c r="F96" i="81"/>
  <c r="B17" i="80"/>
  <c r="M12" i="99"/>
  <c r="E66" i="36"/>
  <c r="E65" i="36" s="1"/>
  <c r="E64" i="36" s="1"/>
  <c r="E84" i="36" s="1"/>
  <c r="E120" i="57"/>
  <c r="E113" i="57" s="1"/>
  <c r="E133" i="57" s="1"/>
  <c r="E52" i="81"/>
  <c r="M17" i="99"/>
  <c r="M11" i="99"/>
  <c r="E50" i="81"/>
  <c r="F72" i="81" s="1"/>
  <c r="E36" i="99"/>
  <c r="E30" i="99" s="1"/>
  <c r="E44" i="99" s="1"/>
  <c r="D51" i="81"/>
  <c r="E37" i="99" s="1"/>
  <c r="E31" i="99" s="1"/>
  <c r="E45" i="99" s="1"/>
  <c r="U93" i="83"/>
  <c r="C98" i="82"/>
  <c r="BK98" i="82" s="1"/>
  <c r="D134" i="57"/>
  <c r="D137" i="57" s="1"/>
  <c r="B10" i="99"/>
  <c r="B44" i="99" s="1"/>
  <c r="I94" i="81"/>
  <c r="BL95" i="82"/>
  <c r="N29" i="80"/>
  <c r="N43" i="80" s="1"/>
  <c r="K43" i="80"/>
  <c r="B31" i="80"/>
  <c r="B45" i="80" s="1"/>
  <c r="J37" i="80"/>
  <c r="H83" i="81"/>
  <c r="F97" i="81"/>
  <c r="M21" i="99"/>
  <c r="J29" i="80"/>
  <c r="O35" i="80"/>
  <c r="J28" i="80"/>
  <c r="O28" i="80" s="1"/>
  <c r="O34" i="80"/>
  <c r="D55" i="81"/>
  <c r="N42" i="80"/>
  <c r="D66" i="81"/>
  <c r="E66" i="81" s="1"/>
  <c r="G50" i="81" s="1"/>
  <c r="E26" i="81"/>
  <c r="F26" i="81" s="1"/>
  <c r="M19" i="99"/>
  <c r="G10" i="99"/>
  <c r="M16" i="99"/>
  <c r="B10" i="80"/>
  <c r="F10" i="81"/>
  <c r="C66" i="81"/>
  <c r="D33" i="80"/>
  <c r="J39" i="80"/>
  <c r="H96" i="82"/>
  <c r="BP96" i="82" s="1"/>
  <c r="H121" i="57"/>
  <c r="C65" i="36"/>
  <c r="F96" i="82"/>
  <c r="BN96" i="82" s="1"/>
  <c r="C108" i="81"/>
  <c r="D15" i="80" s="1"/>
  <c r="C120" i="57"/>
  <c r="H11" i="102" s="1"/>
  <c r="H8" i="102" s="1"/>
  <c r="H7" i="102" s="1"/>
  <c r="H25" i="102" s="1"/>
  <c r="C88" i="36" l="1"/>
  <c r="F50" i="81"/>
  <c r="G15" i="80" s="1"/>
  <c r="G9" i="80" s="1"/>
  <c r="G42" i="80" s="1"/>
  <c r="C110" i="81"/>
  <c r="F74" i="81"/>
  <c r="G17" i="80"/>
  <c r="G11" i="80" s="1"/>
  <c r="G44" i="80" s="1"/>
  <c r="B11" i="80"/>
  <c r="D28" i="81"/>
  <c r="D68" i="81" s="1"/>
  <c r="E68" i="81" s="1"/>
  <c r="G52" i="81" s="1"/>
  <c r="E90" i="36"/>
  <c r="E87" i="36"/>
  <c r="E38" i="99"/>
  <c r="G38" i="99" s="1"/>
  <c r="M38" i="99" s="1"/>
  <c r="G36" i="99"/>
  <c r="G30" i="99" s="1"/>
  <c r="M30" i="99" s="1"/>
  <c r="O29" i="80"/>
  <c r="D27" i="81"/>
  <c r="E27" i="81" s="1"/>
  <c r="F27" i="81" s="1"/>
  <c r="E51" i="81"/>
  <c r="F51" i="81" s="1"/>
  <c r="G37" i="99"/>
  <c r="G31" i="99" s="1"/>
  <c r="G45" i="99" s="1"/>
  <c r="F52" i="81"/>
  <c r="C64" i="36"/>
  <c r="C84" i="36" s="1"/>
  <c r="O20" i="53"/>
  <c r="O27" i="53" s="1"/>
  <c r="O28" i="53" s="1"/>
  <c r="BL96" i="82"/>
  <c r="D66" i="36" s="1"/>
  <c r="BL98" i="82"/>
  <c r="B43" i="80"/>
  <c r="O39" i="80"/>
  <c r="J33" i="80"/>
  <c r="O33" i="80" s="1"/>
  <c r="F86" i="81"/>
  <c r="C136" i="81"/>
  <c r="F136" i="81" s="1"/>
  <c r="M10" i="99"/>
  <c r="E53" i="81"/>
  <c r="E39" i="99"/>
  <c r="D29" i="81"/>
  <c r="D31" i="81"/>
  <c r="E41" i="99"/>
  <c r="E55" i="81"/>
  <c r="J31" i="80"/>
  <c r="O31" i="80" s="1"/>
  <c r="O37" i="80"/>
  <c r="F66" i="81"/>
  <c r="H98" i="82"/>
  <c r="BP98" i="82" s="1"/>
  <c r="H66" i="36"/>
  <c r="H65" i="36" s="1"/>
  <c r="H64" i="36" s="1"/>
  <c r="H84" i="36" s="1"/>
  <c r="C134" i="57"/>
  <c r="C137" i="57" s="1"/>
  <c r="C113" i="57"/>
  <c r="C133" i="57" s="1"/>
  <c r="F98" i="82"/>
  <c r="BN98" i="82" s="1"/>
  <c r="F66" i="36"/>
  <c r="F65" i="36" s="1"/>
  <c r="F64" i="36" s="1"/>
  <c r="F84" i="36" s="1"/>
  <c r="C113" i="81"/>
  <c r="H120" i="57"/>
  <c r="F108" i="81"/>
  <c r="C111" i="81"/>
  <c r="F120" i="57"/>
  <c r="I84" i="36" l="1"/>
  <c r="J84" i="36"/>
  <c r="I63" i="36"/>
  <c r="D65" i="36"/>
  <c r="D66" i="97"/>
  <c r="D65" i="97" s="1"/>
  <c r="D64" i="97" s="1"/>
  <c r="D83" i="97" s="1"/>
  <c r="C89" i="36"/>
  <c r="C138" i="81"/>
  <c r="F138" i="81" s="1"/>
  <c r="F88" i="81"/>
  <c r="F110" i="81"/>
  <c r="D17" i="80"/>
  <c r="B44" i="80"/>
  <c r="F68" i="81"/>
  <c r="E28" i="81"/>
  <c r="F28" i="81" s="1"/>
  <c r="E32" i="99"/>
  <c r="E46" i="99" s="1"/>
  <c r="G32" i="99"/>
  <c r="E33" i="99"/>
  <c r="E47" i="99" s="1"/>
  <c r="G39" i="99"/>
  <c r="M39" i="99" s="1"/>
  <c r="M31" i="99"/>
  <c r="M45" i="99"/>
  <c r="E35" i="99"/>
  <c r="E49" i="99" s="1"/>
  <c r="G41" i="99"/>
  <c r="M41" i="99" s="1"/>
  <c r="M36" i="99"/>
  <c r="G16" i="80"/>
  <c r="G10" i="80" s="1"/>
  <c r="G43" i="80" s="1"/>
  <c r="D67" i="81"/>
  <c r="E67" i="81" s="1"/>
  <c r="G51" i="81" s="1"/>
  <c r="F73" i="81"/>
  <c r="M37" i="99"/>
  <c r="C90" i="36"/>
  <c r="C85" i="36"/>
  <c r="C87" i="36"/>
  <c r="C80" i="81"/>
  <c r="F80" i="81" s="1"/>
  <c r="G80" i="81"/>
  <c r="I80" i="81"/>
  <c r="D69" i="81"/>
  <c r="E69" i="81" s="1"/>
  <c r="E29" i="81"/>
  <c r="F29" i="81" s="1"/>
  <c r="F77" i="81"/>
  <c r="G20" i="80"/>
  <c r="G14" i="80" s="1"/>
  <c r="G47" i="80" s="1"/>
  <c r="F55" i="81"/>
  <c r="G44" i="99"/>
  <c r="M44" i="99" s="1"/>
  <c r="F53" i="81"/>
  <c r="F75" i="81"/>
  <c r="G18" i="80"/>
  <c r="G12" i="80" s="1"/>
  <c r="G45" i="80" s="1"/>
  <c r="E31" i="81"/>
  <c r="F31" i="81" s="1"/>
  <c r="D71" i="81"/>
  <c r="E71" i="81" s="1"/>
  <c r="F111" i="81"/>
  <c r="D18" i="80"/>
  <c r="H113" i="57"/>
  <c r="H133" i="57" s="1"/>
  <c r="H134" i="57"/>
  <c r="D9" i="80"/>
  <c r="J15" i="80"/>
  <c r="O15" i="80" s="1"/>
  <c r="D20" i="80"/>
  <c r="F113" i="81"/>
  <c r="F90" i="36"/>
  <c r="F87" i="36"/>
  <c r="H90" i="36"/>
  <c r="D9" i="92"/>
  <c r="D10" i="92" s="1"/>
  <c r="D14" i="92" s="1"/>
  <c r="H87" i="36"/>
  <c r="B9" i="92"/>
  <c r="B10" i="92" s="1"/>
  <c r="H85" i="36"/>
  <c r="F113" i="57"/>
  <c r="F134" i="57"/>
  <c r="F133" i="57" l="1"/>
  <c r="D64" i="36"/>
  <c r="D84" i="36" s="1"/>
  <c r="H189" i="96" s="1"/>
  <c r="P20" i="53"/>
  <c r="P27" i="53" s="1"/>
  <c r="D86" i="97"/>
  <c r="D84" i="97"/>
  <c r="E134" i="57"/>
  <c r="G82" i="81"/>
  <c r="C82" i="81"/>
  <c r="F82" i="81" s="1"/>
  <c r="M32" i="99"/>
  <c r="G46" i="99"/>
  <c r="M46" i="99" s="1"/>
  <c r="D11" i="80"/>
  <c r="J17" i="80"/>
  <c r="G35" i="99"/>
  <c r="G49" i="99" s="1"/>
  <c r="M49" i="99" s="1"/>
  <c r="G33" i="99"/>
  <c r="G47" i="99" s="1"/>
  <c r="M47" i="99" s="1"/>
  <c r="F87" i="81"/>
  <c r="J16" i="80"/>
  <c r="J10" i="80"/>
  <c r="F67" i="81"/>
  <c r="F78" i="81" s="1"/>
  <c r="C137" i="81"/>
  <c r="G53" i="81"/>
  <c r="F69" i="81"/>
  <c r="F89" i="81"/>
  <c r="C139" i="81"/>
  <c r="G55" i="81"/>
  <c r="F71" i="81"/>
  <c r="F91" i="81"/>
  <c r="C141" i="81"/>
  <c r="D14" i="80"/>
  <c r="J20" i="80"/>
  <c r="O20" i="80" s="1"/>
  <c r="D42" i="80"/>
  <c r="J9" i="80"/>
  <c r="D12" i="80"/>
  <c r="J18" i="80"/>
  <c r="O18" i="80" s="1"/>
  <c r="D90" i="36" l="1"/>
  <c r="H71" i="96"/>
  <c r="D87" i="36"/>
  <c r="M35" i="99"/>
  <c r="D44" i="80"/>
  <c r="J11" i="80"/>
  <c r="M33" i="99"/>
  <c r="J43" i="80"/>
  <c r="O10" i="80"/>
  <c r="O43" i="80" s="1"/>
  <c r="F137" i="81"/>
  <c r="G81" i="81" s="1"/>
  <c r="C81" i="81"/>
  <c r="F81" i="81" s="1"/>
  <c r="F92" i="81" s="1"/>
  <c r="F141" i="81"/>
  <c r="G85" i="81" s="1"/>
  <c r="C85" i="81"/>
  <c r="F85" i="81" s="1"/>
  <c r="F139" i="81"/>
  <c r="G83" i="81" s="1"/>
  <c r="C83" i="81"/>
  <c r="F83" i="81" s="1"/>
  <c r="D45" i="80"/>
  <c r="J12" i="80"/>
  <c r="D47" i="80"/>
  <c r="J14" i="80"/>
  <c r="J42" i="80"/>
  <c r="O9" i="80"/>
  <c r="O42" i="80" s="1"/>
  <c r="K84" i="36" l="1"/>
  <c r="J44" i="80"/>
  <c r="O11" i="80"/>
  <c r="O44" i="80" s="1"/>
  <c r="O14" i="80"/>
  <c r="O47" i="80" s="1"/>
  <c r="J47" i="80"/>
  <c r="O12" i="80"/>
  <c r="O45" i="80" s="1"/>
  <c r="J45" i="80"/>
</calcChain>
</file>

<file path=xl/sharedStrings.xml><?xml version="1.0" encoding="utf-8"?>
<sst xmlns="http://schemas.openxmlformats.org/spreadsheetml/2006/main" count="2197" uniqueCount="1430">
  <si>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</si>
  <si>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</si>
  <si>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</si>
  <si>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</si>
  <si>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</si>
  <si>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</si>
  <si>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</si>
  <si>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</si>
  <si>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</si>
  <si>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</si>
  <si>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</si>
  <si>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</si>
  <si>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</si>
  <si>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</si>
  <si>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</si>
  <si>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</si>
  <si>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</si>
  <si>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</si>
  <si>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</si>
  <si>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</si>
  <si>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</si>
  <si>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</si>
  <si>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</si>
  <si>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</si>
  <si>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</si>
  <si>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</si>
  <si>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</si>
  <si>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</si>
  <si>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</si>
  <si>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</si>
  <si>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</si>
  <si>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</si>
  <si>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</si>
  <si>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</si>
  <si>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</si>
  <si>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</si>
  <si>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</si>
  <si>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</si>
  <si>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</si>
  <si>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</si>
  <si>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</si>
  <si>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</si>
  <si>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</si>
  <si>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</si>
  <si>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</si>
  <si>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</si>
  <si>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</si>
  <si>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</si>
  <si>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</si>
  <si>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</si>
  <si>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</si>
  <si>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</si>
  <si>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</si>
  <si>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</si>
  <si>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</si>
  <si>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</si>
  <si>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</si>
  <si>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</si>
  <si>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</si>
  <si>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</si>
  <si>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</si>
  <si>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</si>
  <si>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</si>
  <si>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</si>
  <si>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</si>
  <si>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</si>
  <si>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</si>
  <si>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</si>
  <si>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</si>
  <si>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</si>
  <si>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</si>
  <si>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</si>
  <si>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</si>
  <si>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</si>
  <si>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</si>
  <si>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</si>
  <si>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</si>
  <si>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</si>
  <si>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</si>
  <si>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</si>
  <si>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</si>
  <si>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</si>
  <si>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</si>
  <si>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</si>
  <si>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</si>
  <si>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</si>
  <si>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</si>
  <si>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</si>
  <si>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</si>
  <si>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</si>
  <si>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</si>
  <si>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</si>
  <si>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</si>
  <si>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</si>
  <si>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</si>
  <si>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</si>
  <si>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</si>
  <si>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</si>
  <si>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</si>
  <si>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</si>
  <si>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</si>
  <si>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</si>
  <si>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</si>
  <si>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</si>
  <si>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</si>
  <si>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</si>
  <si>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</si>
  <si>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</si>
  <si>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</si>
  <si>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</si>
  <si>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</si>
  <si>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</si>
  <si>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</si>
  <si>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</si>
  <si>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</si>
  <si>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</si>
  <si>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</si>
  <si>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</si>
  <si>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</si>
  <si>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</si>
  <si>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</si>
  <si>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</si>
  <si>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</si>
  <si>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</si>
  <si>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</si>
  <si>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</si>
  <si>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</si>
  <si>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</si>
  <si>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</si>
  <si>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</si>
  <si>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</si>
  <si>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</si>
  <si>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</si>
  <si>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</si>
  <si>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</si>
  <si>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</si>
  <si>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</si>
  <si>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</si>
  <si>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</si>
  <si>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</si>
  <si>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</si>
  <si>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</si>
  <si>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</si>
  <si>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</si>
  <si>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</si>
  <si>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</si>
  <si>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</si>
  <si>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</si>
  <si>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</si>
  <si>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</si>
  <si>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</si>
  <si>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</si>
  <si>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</si>
  <si>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</si>
  <si>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</si>
  <si>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</si>
  <si>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</si>
  <si>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</si>
  <si>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</si>
  <si>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</si>
  <si>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</si>
  <si>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</si>
  <si>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</si>
  <si>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</si>
  <si>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</si>
  <si>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</si>
  <si>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</si>
  <si>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</si>
  <si>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</si>
  <si>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</si>
  <si>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</si>
  <si>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</si>
  <si>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</si>
  <si>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</si>
  <si>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</si>
  <si>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</si>
  <si>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</si>
  <si>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</si>
  <si>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</si>
  <si>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</si>
  <si>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</si>
  <si>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</si>
  <si>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</si>
  <si>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</si>
  <si>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</si>
  <si>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</si>
  <si>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</si>
  <si>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</si>
  <si>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</si>
  <si>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</si>
  <si>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</si>
  <si>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</si>
  <si>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</si>
  <si>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</si>
  <si>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</si>
  <si>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</si>
  <si>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</si>
  <si>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</si>
  <si>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</si>
  <si>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</si>
  <si>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</si>
  <si>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</si>
  <si>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</si>
  <si>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</si>
  <si>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</si>
  <si>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</si>
  <si>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</si>
  <si>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</si>
  <si>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</si>
  <si>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</si>
  <si>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</si>
  <si>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</si>
  <si>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</si>
  <si>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</si>
  <si>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</si>
  <si>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</si>
  <si>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</si>
  <si>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</si>
  <si>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</si>
  <si>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</si>
  <si>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</si>
  <si>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</si>
  <si>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</si>
  <si>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</si>
  <si>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</si>
  <si>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</si>
  <si>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</si>
  <si>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</si>
  <si>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</si>
  <si>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</si>
  <si>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</si>
  <si>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</si>
  <si>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</si>
  <si>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</si>
  <si>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</si>
  <si>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</si>
  <si>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</si>
  <si>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</si>
  <si>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</si>
  <si>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</si>
  <si>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</si>
  <si>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</si>
  <si>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</si>
  <si>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</si>
  <si>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</si>
  <si>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</si>
  <si>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</si>
  <si>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</si>
  <si>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</si>
  <si>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</si>
  <si>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</si>
  <si>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</si>
  <si>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</si>
  <si>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</si>
  <si>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</si>
  <si>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</si>
  <si>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</si>
  <si>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</si>
  <si>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</si>
  <si>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</si>
  <si>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</si>
  <si>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</si>
  <si>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</si>
  <si>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</si>
  <si>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</si>
  <si>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</si>
  <si>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</si>
  <si>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</si>
  <si>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</si>
  <si>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</si>
  <si>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</si>
  <si>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</si>
  <si>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</si>
  <si>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</si>
  <si>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</si>
  <si>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</si>
  <si>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</si>
  <si>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</si>
  <si>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</si>
  <si>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</si>
  <si>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</si>
  <si>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</si>
  <si>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</si>
  <si>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</si>
  <si>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</si>
  <si>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</si>
  <si>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</si>
  <si>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</si>
  <si>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</si>
  <si>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</si>
  <si>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</si>
  <si>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</si>
  <si>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</si>
  <si>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</si>
  <si>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</si>
  <si>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</si>
  <si>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</si>
  <si>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</si>
  <si>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</si>
  <si>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</si>
  <si>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</si>
  <si>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</si>
  <si>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</si>
  <si>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</si>
  <si>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</si>
  <si>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</si>
  <si>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</si>
  <si>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</si>
  <si>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</si>
  <si>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</si>
  <si>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</si>
  <si>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</si>
  <si>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</si>
  <si>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</si>
  <si>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</si>
  <si>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</si>
  <si>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</si>
  <si>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</si>
  <si>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</si>
  <si>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</si>
  <si>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</si>
  <si>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</si>
  <si>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</si>
  <si>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</si>
  <si>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</si>
  <si>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</si>
  <si>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</si>
  <si>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</si>
  <si>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</si>
  <si>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</si>
  <si>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</si>
  <si>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</si>
  <si>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</si>
  <si>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</si>
  <si>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</si>
  <si>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</si>
  <si>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</si>
  <si>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</si>
  <si>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</si>
  <si>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</si>
  <si>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</si>
  <si>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</si>
  <si>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</si>
  <si>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</si>
  <si>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</si>
  <si>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</si>
  <si>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</si>
  <si>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</si>
  <si>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</si>
  <si>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</si>
  <si>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</si>
  <si>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</si>
  <si>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</si>
  <si>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</si>
  <si>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</si>
  <si>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</si>
  <si>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</si>
  <si>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</si>
  <si>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</si>
  <si>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</si>
  <si>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</si>
  <si>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</si>
  <si>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</si>
  <si>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</si>
  <si>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</si>
  <si>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</si>
  <si>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</si>
  <si>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</si>
  <si>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</si>
  <si>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</si>
  <si>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</si>
  <si>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</si>
  <si>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</si>
  <si>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</si>
  <si>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</si>
  <si>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</si>
  <si>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</si>
  <si>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</si>
  <si>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</si>
  <si>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</si>
  <si>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</si>
  <si>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</si>
  <si>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</si>
  <si>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</si>
  <si>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</si>
  <si>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</si>
  <si>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</si>
  <si>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</si>
  <si>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</si>
  <si>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</si>
  <si>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</si>
  <si>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</si>
  <si>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</si>
  <si>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</si>
  <si>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</si>
  <si>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</si>
  <si>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</si>
  <si>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</si>
  <si>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</si>
  <si>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</si>
  <si>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</si>
  <si>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</si>
  <si>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</si>
  <si>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</si>
  <si>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</si>
  <si>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</si>
  <si>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</si>
  <si>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</si>
  <si>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</si>
  <si>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</si>
  <si>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</si>
  <si>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</si>
  <si>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</si>
  <si>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</si>
  <si>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</si>
  <si>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</si>
  <si>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</si>
  <si>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</si>
  <si>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</si>
  <si>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</si>
  <si>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</si>
  <si>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</si>
  <si>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</si>
  <si>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</si>
  <si>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</si>
  <si>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</si>
  <si>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</si>
  <si>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</si>
  <si>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</si>
  <si>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</si>
  <si>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</si>
  <si>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</si>
  <si>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</si>
  <si>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</si>
  <si>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</si>
  <si>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</si>
  <si>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</si>
  <si>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</si>
  <si>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</si>
  <si>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</si>
  <si>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</si>
  <si>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</si>
  <si>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</si>
  <si>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</si>
  <si>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</si>
  <si>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</si>
  <si>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</si>
  <si>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</si>
  <si>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</si>
  <si>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</si>
  <si>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</si>
  <si>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</si>
  <si>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</si>
  <si>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</si>
  <si>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Cafeteria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</si>
  <si>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</si>
  <si>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</si>
  <si>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</si>
  <si>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</si>
  <si>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</si>
  <si>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</si>
  <si>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</si>
  <si>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</si>
  <si>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</si>
  <si>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</si>
  <si>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</si>
  <si>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</si>
  <si>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</si>
  <si>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</si>
  <si>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</si>
  <si>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</si>
  <si>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</si>
  <si>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</si>
  <si>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</si>
  <si>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</si>
  <si>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</si>
  <si>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</si>
  <si>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</si>
  <si>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</si>
  <si>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</si>
  <si>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</si>
  <si>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</si>
  <si>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</si>
  <si>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</si>
  <si>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</si>
  <si>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 DBRHÖT működési hozzájárulás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</si>
  <si>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</si>
  <si>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</si>
  <si>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</si>
  <si>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</si>
  <si>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</si>
  <si>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</si>
  <si>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</si>
  <si>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</si>
  <si>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</si>
  <si>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</si>
  <si>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</si>
  <si>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</si>
  <si>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</si>
  <si>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</si>
  <si>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</si>
  <si>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</si>
  <si>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</si>
  <si>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</si>
  <si>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</si>
  <si>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</si>
  <si>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</si>
  <si>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</si>
  <si>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</si>
  <si>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</si>
  <si>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</si>
  <si>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</si>
  <si>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</si>
  <si>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</si>
  <si>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</si>
  <si>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</si>
  <si>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</si>
  <si>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</si>
  <si>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</si>
  <si>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</si>
  <si>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</si>
  <si>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</si>
  <si>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</si>
  <si>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</si>
  <si>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</si>
  <si>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</si>
  <si>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</si>
  <si>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</si>
  <si>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</si>
  <si>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</si>
  <si>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</si>
  <si>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</si>
  <si>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</si>
  <si>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</si>
  <si>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</si>
  <si>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</si>
  <si>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</si>
  <si>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</si>
  <si>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</si>
  <si>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</si>
  <si>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</si>
  <si>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</si>
  <si>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</si>
  <si>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</si>
  <si>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</si>
  <si>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</si>
  <si>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</si>
  <si>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</si>
  <si>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</si>
  <si>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</si>
  <si>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</si>
  <si>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</si>
  <si>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</si>
  <si>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</si>
  <si>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</si>
  <si>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</si>
  <si>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</si>
  <si>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</si>
  <si>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</si>
  <si>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</si>
  <si>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</si>
  <si>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</si>
  <si>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</si>
  <si>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</si>
  <si>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</si>
  <si>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</si>
  <si>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</si>
  <si>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</si>
  <si>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</si>
  <si>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</si>
  <si>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</si>
  <si>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</si>
  <si>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</si>
  <si>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</si>
  <si>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</si>
  <si>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</si>
  <si>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</si>
  <si>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</si>
  <si>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</si>
  <si>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</si>
  <si>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</si>
  <si>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</si>
  <si>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</si>
  <si>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</si>
  <si>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</si>
  <si>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</si>
  <si>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</si>
  <si>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</si>
  <si>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</si>
  <si>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</si>
  <si>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</si>
  <si>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</si>
  <si>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</si>
  <si>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</si>
  <si>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</si>
  <si>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</si>
  <si>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</si>
  <si>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</si>
  <si>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</si>
  <si>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</si>
  <si>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</si>
  <si>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</si>
  <si>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</si>
  <si>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</si>
  <si>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</si>
  <si>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</si>
  <si>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</si>
  <si>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</si>
  <si>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</si>
  <si>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</si>
  <si>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</si>
  <si>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</si>
  <si>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</si>
  <si>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</si>
  <si>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</si>
  <si>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</si>
  <si>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</si>
  <si>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</si>
  <si>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</si>
  <si>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</si>
  <si>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</si>
  <si>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</si>
  <si>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</si>
  <si>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</si>
  <si>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</si>
  <si>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</si>
  <si>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</si>
  <si>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</si>
  <si>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</si>
  <si>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</si>
  <si>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</si>
  <si>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</si>
  <si>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</si>
  <si>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</si>
  <si>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</si>
  <si>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</si>
  <si>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</si>
  <si>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</si>
  <si>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</si>
  <si>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</si>
  <si>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</si>
  <si>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</si>
  <si>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</si>
  <si>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</si>
  <si>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</si>
  <si>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</si>
  <si>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</si>
  <si>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</si>
  <si>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</si>
  <si>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</si>
  <si>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</si>
  <si>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</si>
  <si>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</si>
  <si>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</si>
  <si>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</si>
  <si>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</si>
  <si>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</si>
  <si>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</si>
  <si>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</si>
  <si>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</si>
  <si>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</si>
  <si>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</si>
  <si>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</si>
  <si>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</si>
  <si>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</si>
  <si>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</si>
  <si>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</si>
  <si>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</si>
  <si>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</si>
  <si>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</si>
  <si>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</si>
  <si>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</si>
  <si>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</si>
  <si>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</si>
  <si>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</si>
  <si>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</si>
  <si>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</si>
  <si>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</si>
  <si>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</si>
  <si>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</si>
  <si>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</si>
  <si>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</si>
  <si>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</si>
  <si>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</si>
  <si>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</si>
  <si>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</si>
  <si>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</si>
  <si>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</si>
  <si>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</si>
  <si>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</si>
  <si>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</si>
  <si>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</si>
  <si>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</si>
  <si>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</si>
  <si>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</si>
  <si>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</si>
  <si>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</si>
  <si>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</si>
  <si>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</si>
  <si>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</si>
  <si>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</si>
  <si>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</si>
  <si>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</si>
  <si>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</si>
  <si>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</si>
  <si>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</si>
  <si>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</si>
  <si>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</si>
  <si>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</si>
  <si>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</si>
  <si>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</si>
  <si>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</si>
  <si>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</si>
  <si>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</si>
  <si>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</si>
  <si>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</si>
  <si>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</si>
  <si>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</si>
  <si>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</si>
  <si>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</si>
  <si>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</si>
  <si>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</si>
  <si>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Felhalmozási célú pénzeszközátadás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</si>
  <si>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</si>
  <si>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</si>
  <si>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</si>
  <si>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</si>
  <si>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</si>
  <si>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</si>
  <si>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</si>
  <si>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</si>
  <si>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</si>
  <si>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</si>
  <si>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</si>
  <si>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</si>
  <si>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</si>
  <si>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</si>
  <si>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</si>
  <si>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</si>
  <si>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</si>
  <si>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</si>
  <si>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</si>
  <si>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</si>
  <si>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</si>
  <si>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</si>
  <si>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</si>
  <si>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</si>
  <si>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</si>
  <si>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</si>
  <si>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</si>
  <si>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</si>
  <si>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</si>
  <si>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</si>
  <si>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</si>
  <si>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</si>
  <si>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</si>
  <si>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 xml:space="preserve">Beruházások 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</si>
  <si>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</si>
  <si>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</si>
  <si>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</si>
  <si>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</si>
  <si>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</si>
  <si>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</si>
  <si>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</si>
  <si>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</si>
  <si>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</si>
  <si>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</si>
  <si>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</si>
  <si>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</si>
  <si>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</si>
  <si>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</si>
  <si>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</si>
  <si>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</si>
  <si>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</si>
  <si>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</si>
  <si>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</si>
  <si>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</si>
  <si>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</si>
  <si>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</si>
  <si>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</si>
  <si>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</si>
  <si>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</si>
  <si>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</si>
  <si>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</si>
  <si>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</si>
  <si>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</si>
  <si>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</si>
  <si>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</si>
  <si>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</si>
  <si>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</si>
  <si>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</si>
  <si>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</si>
  <si>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</si>
  <si>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</si>
  <si>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</si>
  <si>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</si>
  <si>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</si>
  <si>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</si>
  <si>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</si>
  <si>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</si>
  <si>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</si>
  <si>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</si>
  <si>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</si>
  <si>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</si>
  <si>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</si>
  <si>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</si>
  <si>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</si>
  <si>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</si>
  <si>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</si>
  <si>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</si>
  <si>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>B351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</si>
  <si>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</si>
  <si>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</si>
  <si>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</si>
  <si>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</si>
  <si>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</si>
  <si>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</si>
  <si>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</si>
  <si>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</si>
  <si>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</si>
  <si>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</si>
  <si>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</si>
  <si>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</si>
  <si>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</si>
  <si>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>lakás</t>
  </si>
  <si>
    <t>(Pub-Lik előtti terület +)</t>
  </si>
  <si>
    <t xml:space="preserve">        Műszaki jellegű szolgáltatások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</si>
  <si>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</si>
  <si>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</si>
  <si>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</si>
  <si>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</si>
  <si>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</si>
  <si>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</si>
  <si>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</si>
  <si>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</si>
  <si>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</si>
  <si>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</si>
  <si>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</si>
  <si>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</si>
  <si>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</si>
  <si>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</si>
  <si>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</si>
  <si>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</si>
  <si>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</si>
  <si>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</si>
  <si>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</si>
  <si>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</si>
  <si>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</si>
  <si>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</si>
  <si>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</si>
  <si>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</si>
  <si>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</si>
  <si>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</si>
  <si>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</si>
  <si>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</si>
  <si>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</si>
  <si>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</si>
  <si>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</si>
  <si>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</si>
  <si>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</si>
  <si>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</si>
  <si>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</si>
  <si>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</si>
  <si>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</si>
  <si>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</si>
  <si>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</si>
  <si>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</si>
  <si>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</si>
  <si>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</si>
  <si>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</si>
  <si>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</si>
  <si>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</si>
  <si>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</si>
  <si>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</si>
  <si>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</si>
  <si>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</si>
  <si>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</si>
  <si>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</si>
  <si>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</si>
  <si>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</si>
  <si>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</si>
  <si>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</si>
  <si>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</si>
  <si>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</si>
  <si>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</si>
  <si>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</si>
  <si>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</si>
  <si>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</si>
  <si>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</si>
  <si>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</si>
  <si>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</si>
  <si>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</si>
  <si>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</si>
  <si>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</si>
  <si>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</si>
  <si>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</si>
  <si>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</si>
  <si>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</si>
  <si>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</si>
  <si>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</si>
  <si>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</si>
  <si>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</si>
  <si>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</si>
  <si>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</si>
  <si>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</si>
  <si>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</si>
  <si>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</si>
  <si>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</si>
  <si>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</si>
  <si>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</si>
  <si>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</si>
  <si>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</si>
  <si>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</si>
  <si>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</si>
  <si>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</si>
  <si>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Kiküldetések: EFOP (átcsoportosítás K1101-re)</t>
  </si>
  <si>
    <t xml:space="preserve">     2. Egyéb működési célú pénzeszközátadás </t>
  </si>
  <si>
    <t>intézmény finanszírozás növelése</t>
  </si>
  <si>
    <t xml:space="preserve">     Pénzeszközátadás társulásban közösen ellátott feladatokra (labor, ügyelet, TV ktgnövekedés)</t>
  </si>
  <si>
    <t>Teljesítés 2021.12.31.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</si>
  <si>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</si>
  <si>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</si>
  <si>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</si>
  <si>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</si>
  <si>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teljesítés 2021.12.31</t>
  </si>
  <si>
    <t>mód.előir.
2021. .hó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</si>
  <si>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</si>
  <si>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</si>
  <si>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</si>
  <si>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</si>
  <si>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</si>
  <si>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</si>
  <si>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</si>
  <si>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</si>
  <si>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</si>
  <si>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</si>
  <si>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</si>
  <si>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</si>
  <si>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</si>
  <si>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</si>
  <si>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</si>
  <si>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</si>
  <si>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</si>
  <si>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</si>
  <si>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</si>
  <si>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</si>
  <si>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</si>
  <si>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</si>
  <si>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</si>
  <si>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</si>
  <si>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</si>
  <si>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</si>
  <si>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</si>
  <si>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</si>
  <si>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</si>
  <si>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</si>
  <si>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</si>
  <si>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</si>
  <si>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</si>
  <si>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</si>
  <si>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</si>
  <si>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</si>
  <si>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</si>
  <si>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</si>
  <si>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</si>
  <si>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</si>
  <si>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</si>
  <si>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</si>
  <si>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</si>
  <si>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</si>
  <si>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>074031 Család és nővédelmi egészségügyi gondozás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</si>
  <si>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</si>
  <si>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</si>
  <si>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</si>
  <si>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</si>
  <si>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</si>
  <si>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</si>
  <si>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</si>
  <si>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</si>
  <si>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</si>
  <si>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</si>
  <si>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</si>
  <si>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</si>
  <si>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 2020. évi áthúzódó bérkompenzáció</t>
  </si>
  <si>
    <t xml:space="preserve">          2.2. Idegenforgalmi adó</t>
  </si>
  <si>
    <t xml:space="preserve">        Főszerkesztői feladatok ellátása</t>
  </si>
  <si>
    <t>működési egyenleg</t>
  </si>
  <si>
    <t xml:space="preserve">Egyéb elvonások, befizetések </t>
  </si>
  <si>
    <t>Települések</t>
  </si>
  <si>
    <t>Lakosságszám 
(fő)</t>
  </si>
  <si>
    <t xml:space="preserve">TKT 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</si>
  <si>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</si>
  <si>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</si>
  <si>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</si>
  <si>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</si>
  <si>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</si>
  <si>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</si>
  <si>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</si>
  <si>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</si>
  <si>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</si>
  <si>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</si>
  <si>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</si>
  <si>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</si>
  <si>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</si>
  <si>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</si>
  <si>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</si>
  <si>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</si>
  <si>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</si>
  <si>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</si>
  <si>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</si>
  <si>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</si>
  <si>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</si>
  <si>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</si>
  <si>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</si>
  <si>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</si>
  <si>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</si>
  <si>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</si>
  <si>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előző év
</t>
  </si>
  <si>
    <t>Bölcsőde fejlesztés</t>
  </si>
  <si>
    <t xml:space="preserve">          Ágazati pótlék</t>
  </si>
  <si>
    <t xml:space="preserve">           Táncművészeti szervek támogatása (Előadó és Alkotóművészetért Alapítvány)</t>
  </si>
  <si>
    <t xml:space="preserve">     Szociális étkeztetés állami támogatás átadása (májusi felmérés)</t>
  </si>
  <si>
    <t xml:space="preserve">            Szociális ágazati pótlék</t>
  </si>
  <si>
    <t xml:space="preserve">     Egyéb személyi juttatás: védőnő OEP fin.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</si>
  <si>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</si>
  <si>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</si>
  <si>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</si>
  <si>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</si>
  <si>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</si>
  <si>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</si>
  <si>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</si>
  <si>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</si>
  <si>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</si>
  <si>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</si>
  <si>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</si>
  <si>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</si>
  <si>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</si>
  <si>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</si>
  <si>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</si>
  <si>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Idegenforgalmi adó bevételek</t>
  </si>
  <si>
    <t xml:space="preserve">     Bírság és pótlék bevételek</t>
  </si>
  <si>
    <t xml:space="preserve">         3.2. Felhalmozási célú támogatások ÁHK-re</t>
  </si>
  <si>
    <t>K89</t>
  </si>
  <si>
    <t xml:space="preserve">     Kiszámlázott ÁFA</t>
  </si>
  <si>
    <t>K335</t>
  </si>
  <si>
    <t xml:space="preserve">     Murva elterítés (útjavítás)</t>
  </si>
  <si>
    <t xml:space="preserve">      Bajcsy-Zs. u. járdaszegély építése (szivattyúpark pályázaton kívüli rész)</t>
  </si>
  <si>
    <t xml:space="preserve">     Működési célú tartalék</t>
  </si>
  <si>
    <t xml:space="preserve">     Idegenforgalmi adóhoz kapcsolódó kieg.tám. (2020. évről 2.532 e Ft) átcsop.B116-ra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</si>
  <si>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</si>
  <si>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</si>
  <si>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</si>
  <si>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</si>
  <si>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>11. melléklet</t>
  </si>
  <si>
    <t>1 Ft kerekítés</t>
  </si>
  <si>
    <t xml:space="preserve">          Állami támogatás visszatérítése TKT-tól</t>
  </si>
  <si>
    <t xml:space="preserve">     3. K507 Működési célú garancia- és kezességvállalásból származó kifizetés államházt.-on kívülre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</si>
  <si>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</si>
  <si>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</si>
  <si>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</si>
  <si>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</si>
  <si>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</si>
  <si>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Projekt eredeti összköltsége
(Bföldvárra jutó)
további a konzorciumi partnereknél</t>
  </si>
  <si>
    <t xml:space="preserve">          Kulturális támogatás bérfejesztés fedezetére</t>
  </si>
  <si>
    <t xml:space="preserve">      1. Egyéb felh.-i célú tám. visszafizetés</t>
  </si>
  <si>
    <t xml:space="preserve">      2. Felhalmozási célú támogatások államháztartáson kívülre</t>
  </si>
  <si>
    <t xml:space="preserve">14.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</si>
  <si>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</si>
  <si>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</si>
  <si>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</si>
  <si>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</si>
  <si>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</si>
  <si>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</si>
  <si>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</si>
  <si>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</si>
  <si>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</si>
  <si>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</si>
  <si>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</si>
  <si>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</si>
  <si>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</si>
  <si>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</si>
  <si>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</si>
  <si>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</si>
  <si>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</si>
  <si>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</si>
  <si>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</si>
  <si>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</si>
  <si>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</si>
  <si>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</si>
  <si>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</si>
  <si>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</si>
  <si>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</si>
  <si>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</si>
  <si>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</si>
  <si>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</si>
  <si>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</si>
  <si>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</si>
  <si>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</si>
  <si>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 xml:space="preserve">      MFP: óvoda játszóudvar fejlesztés </t>
  </si>
  <si>
    <t xml:space="preserve">     MFP: útfelújítás támogatása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</si>
  <si>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</si>
  <si>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</si>
  <si>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</si>
  <si>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Automata defibrillátor beszerzés (Keleti strand; Kisfaludy) (45/2022.(III.24.))</t>
  </si>
  <si>
    <t xml:space="preserve">      Partfal megerősítése (Kemping utca) (67/2022.(V.6.))</t>
  </si>
  <si>
    <t xml:space="preserve">      Városháza előtti tér (parkoló, park) felújítása (68/2022.(V.6.))</t>
  </si>
  <si>
    <t xml:space="preserve">     Lakossági víz és csatornaszolgáltatás pályázat támogatása 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</si>
  <si>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</si>
  <si>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</si>
  <si>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</si>
  <si>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Iskola energetikai korszerűsítése támogatás (előleg)</t>
  </si>
  <si>
    <t xml:space="preserve">     Közvetített szolgáltatások </t>
  </si>
  <si>
    <t xml:space="preserve">     Közvetített szolgáltatások ellenértéke (TRE mód.)</t>
  </si>
  <si>
    <t>K353</t>
  </si>
  <si>
    <t xml:space="preserve">    Polgármester illetménye, jutalma</t>
  </si>
  <si>
    <t>K333</t>
  </si>
  <si>
    <t xml:space="preserve">        Rovarirtás, kártevőírtás, gyepmester</t>
  </si>
  <si>
    <t xml:space="preserve">     Közvilágítás üzemeltetési költség</t>
  </si>
  <si>
    <t xml:space="preserve">     Villamos biztonsági felülvizsgálat</t>
  </si>
  <si>
    <t xml:space="preserve">        Egyéb (füvesítés, zöldter.karb.,kamerarend., telepvez., szakvélemény)</t>
  </si>
  <si>
    <t xml:space="preserve">     Egyéb szolgáltatások: szakvélemény veszélyes fák (átcsoportosítás K336-ról)</t>
  </si>
  <si>
    <t xml:space="preserve">     Reklám- és propagandakiadások: szórólapok készítése (Nyugati strand) saját forrás</t>
  </si>
  <si>
    <t xml:space="preserve">     Reklám- és propagandakiadások: nyilvánosság (Nyugati strand)</t>
  </si>
  <si>
    <t xml:space="preserve">2022. évi szoc.tűzifa támogatás visszafizetés </t>
  </si>
  <si>
    <t xml:space="preserve">     2021. évi szoc.tűzifa támogatás visszafizetés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</si>
  <si>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</si>
  <si>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</si>
  <si>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Munka- és tűzvédelmi Társulás tagdíj (átcsoportosítás K5021, 512-re)</t>
  </si>
  <si>
    <t xml:space="preserve">     BURSA támogatás (átcsoportosítás K512-ről)</t>
  </si>
  <si>
    <t xml:space="preserve">     BURSA támogatás (átcsoportosítás K506-ra)</t>
  </si>
  <si>
    <t>Finanszírozás</t>
  </si>
  <si>
    <t xml:space="preserve">     Reprezentáció (átcsoportosítás K1101-re)</t>
  </si>
  <si>
    <t>K321</t>
  </si>
  <si>
    <t xml:space="preserve">     Irodaszer beszerzés (választás átcsoportosítás K123-ról)</t>
  </si>
  <si>
    <t xml:space="preserve">     Üzemeltetési anyagok: emléklap, alkatrész, porzsák</t>
  </si>
  <si>
    <t xml:space="preserve">     Jubileumi jutalom (2 fő)</t>
  </si>
  <si>
    <t xml:space="preserve">           Fénymásolók (Alba-Kontakt)</t>
  </si>
  <si>
    <t xml:space="preserve">          WinSzoc program (Abacus)</t>
  </si>
  <si>
    <t xml:space="preserve">     Postaköltség</t>
  </si>
  <si>
    <t xml:space="preserve">     Egyéb szakmai szolgáltatások (átcsoportosítás K337-re)</t>
  </si>
  <si>
    <t xml:space="preserve">     Egyéb szolgáltatások (átcsoportosítás K336-ról)</t>
  </si>
  <si>
    <t>több éves kihatással járó feladatai</t>
  </si>
  <si>
    <t xml:space="preserve">     Közvetített szolgáltatások ellenértéke (menekültek étkeztetése)</t>
  </si>
  <si>
    <t>K48</t>
  </si>
  <si>
    <t xml:space="preserve">     Ellátottak juttatása</t>
  </si>
  <si>
    <t>Köznevelési intézmény energetikai korszerűsítése Balatonföldváron</t>
  </si>
  <si>
    <t xml:space="preserve">   Tartalék felhasználás (céltartalék)</t>
  </si>
  <si>
    <t>mód.ei.          2022.10.hó</t>
  </si>
  <si>
    <t xml:space="preserve">     Felhalmozási célú tartalék </t>
  </si>
  <si>
    <t xml:space="preserve">     Személyi gondozás (októberi felmérés: póttámogatás)</t>
  </si>
  <si>
    <t xml:space="preserve">     Szociális célú tüzelőanyag vásárlásához kapcsolódó támogatás </t>
  </si>
  <si>
    <t xml:space="preserve">     Szociális célú tűzifa szállítási költsége</t>
  </si>
  <si>
    <t xml:space="preserve">     Településrendezési eszközök módosításából származó bevétel</t>
  </si>
  <si>
    <t xml:space="preserve">     Tulajdonosi bevételek: bérleti díjak</t>
  </si>
  <si>
    <t xml:space="preserve">     Ellátási díjak (szoc.étk.díj bev.)</t>
  </si>
  <si>
    <t xml:space="preserve">     Biztosító által fizetett kártérítés (kilátó viharkár)</t>
  </si>
  <si>
    <t>K1104</t>
  </si>
  <si>
    <t xml:space="preserve">     Készenléti, ügyeleti, helyettesítési díj, túlóra (átcsop. K1101-ről)</t>
  </si>
  <si>
    <t xml:space="preserve">     Alkalmazottak illetménye (átcsop. K122, K1104-re)</t>
  </si>
  <si>
    <t xml:space="preserve">     Informatikai szolgáltatás </t>
  </si>
  <si>
    <t xml:space="preserve">     Közüzemi díjak (hőszivattyú, szerverszoba, piac, rendelők)</t>
  </si>
  <si>
    <t xml:space="preserve">     Műszaki ellenőrzés (Bölcsőde pályázat) (átcsop. K351-ről)</t>
  </si>
  <si>
    <t xml:space="preserve">     Reklám- és propagandakiadások: reklám, hírlevél</t>
  </si>
  <si>
    <t>B116</t>
  </si>
  <si>
    <t xml:space="preserve">     Egyéb működési célú támogatások (átcsop. B116-ról)</t>
  </si>
  <si>
    <t xml:space="preserve">               Működési hozzájárulás (EFI iroda állami támogatás csökkentés miatt)</t>
  </si>
  <si>
    <t xml:space="preserve">       MFP támogatás visszafizetése</t>
  </si>
  <si>
    <t xml:space="preserve">        MFP (útfelújítás): tervdok. elkészítése, műszaki ell.</t>
  </si>
  <si>
    <t>Népszámlálás támogatása</t>
  </si>
  <si>
    <t xml:space="preserve">     Népszámlálás támogatása (Hivatal)</t>
  </si>
  <si>
    <t xml:space="preserve">     Megbízási díjak (népszámlálás)</t>
  </si>
  <si>
    <t xml:space="preserve">     Belső ellenőrzés (2021. 12 hó)</t>
  </si>
  <si>
    <t xml:space="preserve">     Egyéb személyi juttatás (bérkomp., betegsz., szabi megv, megbíz.)</t>
  </si>
  <si>
    <t xml:space="preserve">     Megbízási díj (anyakönyvvezető helyettesítés)</t>
  </si>
  <si>
    <t xml:space="preserve">     Választások támogatása (átcsop. B411-re)</t>
  </si>
  <si>
    <t xml:space="preserve">     Közüzemi díj visszatérítés</t>
  </si>
  <si>
    <t xml:space="preserve">     Jutalom (választás átcsop. K123-ről)</t>
  </si>
  <si>
    <t xml:space="preserve">     Tiszteletdíjak (választás átcsoportosítás K1104, K1103-ra)</t>
  </si>
  <si>
    <t xml:space="preserve">     Cafeteria (átcsoportosítás K1109-re)</t>
  </si>
  <si>
    <t xml:space="preserve">     Közlekedési költségtérítés (átcsoportosítás K1107-ről)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</si>
  <si>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</si>
  <si>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</si>
  <si>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</si>
  <si>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Telefonköltség (átcsoportosítás K334-re)</t>
  </si>
  <si>
    <t xml:space="preserve">     Egyéb dologi kiadások (átcsop. K334-re)</t>
  </si>
  <si>
    <t xml:space="preserve">     Foglalkozás egészségügyi ellátás (átcsop. K312-ről)</t>
  </si>
  <si>
    <t xml:space="preserve">     Külső adatvédelmi tisztviselő (átcsop. K312-ről)</t>
  </si>
  <si>
    <t xml:space="preserve">     Üzemanyag beszerzés (átcsop. K336-ra)</t>
  </si>
  <si>
    <t xml:space="preserve">     Marketing (Zöld város)</t>
  </si>
  <si>
    <t xml:space="preserve">     Polgármesteri, képviselői tiszteletdíjak</t>
  </si>
  <si>
    <t xml:space="preserve">     Egyéb személyi juttatás </t>
  </si>
  <si>
    <t xml:space="preserve">     Pénzeszközátvétel önkormányzatoktól </t>
  </si>
  <si>
    <t xml:space="preserve">     Elszámolásból származó bevételek (szoc. allami elszámolás többlet átcsop. B16-ra)</t>
  </si>
  <si>
    <t xml:space="preserve">     Alkalmazottak illetménye (átcsop. K1105, K1113, K2-re)</t>
  </si>
  <si>
    <t>2023. évi összevont mérlege</t>
  </si>
  <si>
    <t>2023. évi működési célú bevételei, kiadásai</t>
  </si>
  <si>
    <t xml:space="preserve">      1. Egyéb működési célú átvett pénzeszközök (Földvár kártya értékesítés terv. bevétele 2023. évi)</t>
  </si>
  <si>
    <t>2023. évi felhalmozási bevételei, kiadásai</t>
  </si>
  <si>
    <t xml:space="preserve">      2. Ingatlanok értékesítése, lakásrészletek befizetései </t>
  </si>
  <si>
    <t>2023. évi működési célú támogatásai, pénzeszközátadásai, közvetett támogatásai</t>
  </si>
  <si>
    <t xml:space="preserve">               Ágazati pótlék átadás</t>
  </si>
  <si>
    <t xml:space="preserve">2022. évi lakossági víz támogatás visszafizetés </t>
  </si>
  <si>
    <r>
      <rPr>
        <b/>
        <i/>
        <u/>
        <sz val="14"/>
        <rFont val="Times New Roman"/>
        <family val="1"/>
        <charset val="238"/>
      </rPr>
      <t>Balatonföldvár Város Önkormányzatának 2023.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</si>
  <si>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2023. év)</t>
  </si>
  <si>
    <t xml:space="preserve">       Kötelező (eredeti előirányzat 2023. év)</t>
  </si>
  <si>
    <t xml:space="preserve">       Nem kötelező (eredeti előirányzat 2023. év)</t>
  </si>
  <si>
    <t xml:space="preserve">       Államigazgatási feladatok (eredeti előirányzat 2023. év)</t>
  </si>
  <si>
    <t>Önk.mindösszesen (eredeti előirányzat 2023. év)</t>
  </si>
  <si>
    <t>Balatonföldvár Város Önkormányzatának 2023. évi kiadásai intézményenként, kiemelt előirányzatonként, 
feladatonkénti bontásban</t>
  </si>
  <si>
    <t>KÖH (eredeti előirányzat 2023. év)</t>
  </si>
  <si>
    <t xml:space="preserve">Balatonföldvár Város Önkormányzatának 2023. évi intézményi szintű összes kiadásai, intézményfinanszírozása
</t>
  </si>
  <si>
    <t>2023. évi költségvetési kiadásainak részletezése kormányzati funkciók szerint</t>
  </si>
  <si>
    <t>107051 Szociális étkeztetés;      107060 Ellátottak pénzbeli juttatásai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</si>
  <si>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</si>
  <si>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</si>
  <si>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062020 Településfejlesztési projektek és támogatásuk;                                        066020 Város-, községgazdálkodási egyéb szolgáltatások</t>
  </si>
  <si>
    <t xml:space="preserve">        Egyéb dologi kiadások</t>
  </si>
  <si>
    <t>Bevétel összesen</t>
  </si>
  <si>
    <t>2022 és korábbi évek</t>
  </si>
  <si>
    <t>2023. évi adósságot keletkeztető ügyleteiből eredő fizetési kötelezettségek, várható saját bevételek</t>
  </si>
  <si>
    <t>2027 és további évek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</si>
  <si>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2023. évi bevétel-kiadási előirányzat-felhasználási ütemterve</t>
    </r>
  </si>
  <si>
    <t>2023-2026. évi gördülő tervezése</t>
  </si>
  <si>
    <t>2023. évi Európai Uniós forrásból finanszírozott támogatással megvalósuló projektek kiadásai, 
projekt megvalósításhoz történő önkormányzati hozzájárulásai</t>
  </si>
  <si>
    <t xml:space="preserve">          Rendszer és szoftvertanácsadás (IRIS Rendszerház)</t>
  </si>
  <si>
    <t xml:space="preserve">        Külső adatvédelmi tisztviselő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</si>
  <si>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</si>
  <si>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</si>
  <si>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t xml:space="preserve">          Egyéb informatikai szolgáltatások (e-szigno, e-hiteles tullap)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</si>
  <si>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</si>
  <si>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3. Egyéb közhatalmi bevételek (igazgatási szolgáltatási díj, bírságok)</t>
  </si>
  <si>
    <t xml:space="preserve">      8. Kamatbevételek </t>
  </si>
  <si>
    <t xml:space="preserve">     11. Egyéb működési bevételek (pl.: perktg B.szemes) </t>
  </si>
  <si>
    <t>2023. évi eredeti ei.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</si>
  <si>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</si>
  <si>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</si>
  <si>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</si>
  <si>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</si>
  <si>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</si>
  <si>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Szemétszállítás, veszélyes hulladék</t>
  </si>
  <si>
    <t xml:space="preserve">             Tagdíjak (Települési Önkormányzatok Országos Szövetsége, Balatoni Szövetség…..)</t>
  </si>
  <si>
    <t xml:space="preserve">              DRV Zrt. lakossági víz és csatornaszolgáltatás támogatás továbbutalása (2023. évi)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</si>
  <si>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</si>
  <si>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</si>
  <si>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</si>
  <si>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Megbízási díj (belső ellenőr)</t>
  </si>
  <si>
    <t xml:space="preserve">     Népszámlálás díjazása</t>
  </si>
  <si>
    <t xml:space="preserve">     Megbízási díjak: népszámlálás</t>
  </si>
  <si>
    <t>620 népszav.</t>
  </si>
  <si>
    <t xml:space="preserve">           1.1.5. Közvilágítás kiegészítő támogatása</t>
  </si>
  <si>
    <t>Szolidaritási hozzájárulás</t>
  </si>
  <si>
    <t>Boldog Békeidők</t>
  </si>
  <si>
    <t xml:space="preserve">    Informatikai szolgáltatások  (NTAK rendszer, szoftver védőnő)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</si>
  <si>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</si>
  <si>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(zöld város)</t>
  </si>
  <si>
    <t>Szemléletformálás (zöld város)</t>
  </si>
  <si>
    <t xml:space="preserve">           Köznevelési intézmény energetikai korszerűsítése (TOP_PLUSZ-2.1.1-21-SO1-2022-00005)</t>
  </si>
  <si>
    <t>Közbeszerzés (iskola energetika)</t>
  </si>
  <si>
    <t>Műszaki ellenőrzés (iskola energetika)</t>
  </si>
  <si>
    <t>Szemléletformálás (iskola energetika)</t>
  </si>
  <si>
    <t>Energetikai szakértő (iskola energetika)</t>
  </si>
  <si>
    <t>Kiviteli tervek (Boldog Békeidők)</t>
  </si>
  <si>
    <t>Engedélyes terv (Boldog Békeidők)</t>
  </si>
  <si>
    <t xml:space="preserve">           Partfal megerősítése (I. ütem)</t>
  </si>
  <si>
    <t>Tervezés (parfal megerősítés II.ütem)</t>
  </si>
  <si>
    <t>Műszaki ellenőrzés (parfal megerősítés I.ütem)</t>
  </si>
  <si>
    <t>Geodéziai feladatok (bölcsőde)</t>
  </si>
  <si>
    <t>Tendertervek elkészítése (2023. évi út- és járdafelújítások)</t>
  </si>
  <si>
    <t>Világítástervezés (központi park felújítás)</t>
  </si>
  <si>
    <t>Műszaki ellenőri feladatok (2023. évi út- és járdafelújítások, park felújítás)</t>
  </si>
  <si>
    <t>iskola energetika: 227588560; zöldváros: 275688734; bölcsőde: 15433244</t>
  </si>
  <si>
    <t xml:space="preserve">          Szakirányú oktatás adókedvezményének visszaigénylése (Hivatal)</t>
  </si>
  <si>
    <t xml:space="preserve">             Városháza mögötti terület térburkolása</t>
  </si>
  <si>
    <t xml:space="preserve">           Tourinform épületének belső átalakítása</t>
  </si>
  <si>
    <t>Tervezői művezetés (zöld város)</t>
  </si>
  <si>
    <t>Közbeszerzői díj (parti sétány felújítás)</t>
  </si>
  <si>
    <t>Közbeszerzés ktg.-e (2023. évi út- és járdafelújítások, park felújítás)</t>
  </si>
  <si>
    <t xml:space="preserve">Állami támogatás visszafizetés </t>
  </si>
  <si>
    <t xml:space="preserve">    Megbízási díj (városi zenekari feladatok)</t>
  </si>
  <si>
    <t xml:space="preserve">          2022. évi állami normatíva elszámolás intézmény általi visszafizetés</t>
  </si>
  <si>
    <t xml:space="preserve">               2022. évi normatíva elszámolás többlettámogatás átadása (szoc./személyi gondozás és óvoda)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</si>
  <si>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(2022. évi állami normatíva elszámolás kieg.támogatással)</t>
    </r>
  </si>
  <si>
    <t xml:space="preserve">          Pénzeszközátvétel önkormányzatoktól (Hivatal)</t>
  </si>
  <si>
    <t>30000 Kelta sétány megvilágítás</t>
  </si>
  <si>
    <t>2021. évi Ovi visszafiz.</t>
  </si>
  <si>
    <t xml:space="preserve">        - ebből házi segítségnyújtás</t>
  </si>
  <si>
    <t xml:space="preserve">           Települési önkormányzatok kulturális feladatainak bérjellegű támogatása</t>
  </si>
  <si>
    <t xml:space="preserve">        Intarzia szakkör </t>
  </si>
  <si>
    <t xml:space="preserve">      2. 2022. évi lakossági víz tám. elszámolás (DRV-től)</t>
  </si>
  <si>
    <t xml:space="preserve"> +360 Elek Dezső emelése</t>
  </si>
  <si>
    <t>havi 30 e Ft</t>
  </si>
  <si>
    <t xml:space="preserve">    1. Működési célú pénzeszközátadások, támogatások </t>
  </si>
  <si>
    <t xml:space="preserve">        2.1. Működési célú folyószámlahitel</t>
  </si>
  <si>
    <t>Költségfelosztás 2023. Összesítő (2023.02.01.)</t>
  </si>
  <si>
    <t>2022. évi hozzájárulás (módosított)</t>
  </si>
  <si>
    <t>2022. évi
 hátralék</t>
  </si>
  <si>
    <t>EFI (végkielégítés)</t>
  </si>
  <si>
    <t>Házi segítség
nyújtás 
2023</t>
  </si>
  <si>
    <t xml:space="preserve">     Alkalmazottak illetménye, illetménykiegészítése (32+4 fő)</t>
  </si>
  <si>
    <t>2023. évi költségvetést érintő kiadás</t>
  </si>
  <si>
    <t>Boldog Békeidők nyarai Balatonföldváron</t>
  </si>
  <si>
    <t>(TOP_Plusz-1.1.3-21-SO1-2022-00009)</t>
  </si>
  <si>
    <t>2023. évi költségvetés érintő várható önerő összege</t>
  </si>
  <si>
    <t>2022. évi várható teljesítés</t>
  </si>
  <si>
    <t>2021. évi
 teljesítés</t>
  </si>
  <si>
    <t>TOP-1.4.1-19-SO1-2019-00013</t>
  </si>
  <si>
    <t>TOP_Plusz-2.1.1-21-SO1-2022-00005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</si>
  <si>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</si>
  <si>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</si>
  <si>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>Balatonföldvár Város Önkormányzat bevételeinek és kiadásainak mérlegszerű kimutatása
2021-2023. év</t>
  </si>
  <si>
    <t xml:space="preserve">2023. évi költségvetésének módosítása - indoklás </t>
  </si>
  <si>
    <t>Módosított előirányzat 2023.06.havi</t>
  </si>
  <si>
    <t>1. melléklet a 2/2023.(II.24.) önkormányzati rendelethez</t>
  </si>
  <si>
    <t>2. melléklet a 2/2023.(II.24.) önkormányzati rendelethez</t>
  </si>
  <si>
    <t>3. melléklet a 2/2023.(II.24.) önkormányzati rendelethez</t>
  </si>
  <si>
    <t>4. melléklet a 2/2023.(II.24.) önkormányzati rendelethez</t>
  </si>
  <si>
    <t>mód.ei.          2023.06.hó</t>
  </si>
  <si>
    <t>8. melléklet a 2/2023.(II.24.) önkormányzati rendelethez</t>
  </si>
  <si>
    <t>9. melléklet a 2/2023.(II.24.) önkormányzati rendelethez</t>
  </si>
  <si>
    <t xml:space="preserve">             Vitorlás cirkáló megvétele (43/2023. (III.16.))</t>
  </si>
  <si>
    <t xml:space="preserve">      3. Felhalmozási célú tartalék (-ebből 675.428 e Ft céltartalék: Boldog Békeidők )</t>
  </si>
  <si>
    <t xml:space="preserve">        3.3. Felhalmozási célú tartalék (céltartalék)</t>
  </si>
  <si>
    <t xml:space="preserve">              Bölcsőde fejlesztés (TOP-1.4.1-19-SO1-20169-00013) (eszközbeszerzés) (60/2023. (IV.21.))</t>
  </si>
  <si>
    <t xml:space="preserve">     Felhalmozási célú céltartalék (Boldog Békeidők pályázat)</t>
  </si>
  <si>
    <t xml:space="preserve">     Megbízási díjak: Boldog Békeidők pályázat</t>
  </si>
  <si>
    <t xml:space="preserve">     Kiviteli tervek: Boldog Békeidők</t>
  </si>
  <si>
    <t xml:space="preserve">          Boldog Békeidők Nyarai Balatonföldváron TOP_PLUSZ-1.1.3-21-SO1-2022-00009</t>
  </si>
  <si>
    <t xml:space="preserve">     Elszámolt áramdíj visszatérítés</t>
  </si>
  <si>
    <t xml:space="preserve">     Kamatkiadások </t>
  </si>
  <si>
    <t xml:space="preserve">     2022. évi lakossági víz támogatás visszafizetés </t>
  </si>
  <si>
    <t xml:space="preserve">     Kikötő használati díj</t>
  </si>
  <si>
    <t xml:space="preserve">     Igazságügyi szakértő: zöld város (átcsop. K351-ről)</t>
  </si>
  <si>
    <t xml:space="preserve">     Szúnyoggyérítés 2023. évi költsége (különbözet)</t>
  </si>
  <si>
    <t xml:space="preserve">     2023. évi tagdíjak</t>
  </si>
  <si>
    <t xml:space="preserve">     Üzemeltetési anyagok beszerzése</t>
  </si>
  <si>
    <t xml:space="preserve">     Ügyvédi díj (átcsop. K337-ről)</t>
  </si>
  <si>
    <t>Beruházási célú hitel (zöld város pályázat)</t>
  </si>
  <si>
    <t xml:space="preserve">2023.06. havi ei.mód. </t>
  </si>
  <si>
    <t xml:space="preserve">     Jogi szolgáltatás (átcsop. K351-re)</t>
  </si>
  <si>
    <t xml:space="preserve">       Kötelező (módosított előirányzat 2023.06. havi)</t>
  </si>
  <si>
    <t>Módosított előirányzat 2023.06.hó</t>
  </si>
  <si>
    <t xml:space="preserve">     Fizetendő ÁFA: Zöld város projekt</t>
  </si>
  <si>
    <t>K911</t>
  </si>
  <si>
    <t xml:space="preserve">    Hitel törlesztés (OTP  fejlesztési hitelek)</t>
  </si>
  <si>
    <t xml:space="preserve">     Kezelési díj, közjegyzői díj (hitel)</t>
  </si>
  <si>
    <t>2024. évi  terv</t>
  </si>
  <si>
    <t>2025. évi  terv</t>
  </si>
  <si>
    <t>2026. évi  terv</t>
  </si>
  <si>
    <t>Boldog Békeidők Nyarai Balatonföldváron</t>
  </si>
  <si>
    <t xml:space="preserve">Balatonföldvár "Zöld város program" és környezetének rendezése </t>
  </si>
  <si>
    <t xml:space="preserve">    Megbízási díj (helyettesítési fel. ellátása, piacfelügyelet, pályázat)</t>
  </si>
  <si>
    <t xml:space="preserve">     Szociális ágazati pótlék (átcsop. B115-ről) </t>
  </si>
  <si>
    <t xml:space="preserve">     Szociális ágazati pótlék (átcsop. B113-ra) </t>
  </si>
  <si>
    <t xml:space="preserve">    Beruházási hitel felvétele (90/2023.(VI.14.))</t>
  </si>
  <si>
    <t xml:space="preserve">         2.1. Beruházási hitel felvétele (90/2023. (VI.14.))</t>
  </si>
  <si>
    <t>Önkormányzat (módosított előirányzat 2023.06.havi)</t>
  </si>
  <si>
    <t xml:space="preserve">       Nem kötelező (módosított előirányzat 2023.06. havi)</t>
  </si>
  <si>
    <t>KÖH (módosított előirányzat 2023.06. havi)</t>
  </si>
  <si>
    <t>Önk.mindösszesen (módosított ei. 2023.06. havi)</t>
  </si>
  <si>
    <t>5. melléklet a 2/2023.(II.24.) önkormányzati rendelethez</t>
  </si>
  <si>
    <t>6. melléklet a 2/2023.(II.24.) önkormányzati rendelethez</t>
  </si>
  <si>
    <t>7. melléklet a 2/2023.(II.24.) önkormányzati rendelethez</t>
  </si>
  <si>
    <t>10. melléklet a 2/2023.(II.24.) önkormányzati rendelethez</t>
  </si>
  <si>
    <t>11. melléklet a 2/2023.(II.24.) önkormányzati rendelethez</t>
  </si>
  <si>
    <t>12. melléklet a 2/2023.(II.24.) önkormányzati rendelethez</t>
  </si>
  <si>
    <t>13. melléklet a 2/2023.(II.24.) önkormányzati rendelethez</t>
  </si>
  <si>
    <t xml:space="preserve">   Beruházási célú hitel felvétele</t>
  </si>
  <si>
    <t>Tájékoztatás, nyilvánosság (zöld város)</t>
  </si>
  <si>
    <t>a 18/2023.(VII.27.) önkormányzati rendelethez</t>
  </si>
  <si>
    <t>mód.ei.          2023.07.hó</t>
  </si>
  <si>
    <t>Módosított előirányzat 2023.07.havi</t>
  </si>
  <si>
    <t xml:space="preserve">          "Balatonföldvár zöld város program megval.-a" és környezetének rendezése </t>
  </si>
  <si>
    <t xml:space="preserve">          "Balatonföldvár zöld város program megval.-a" és környezetének rendezése (TOP-2.1.2-15-2016-00002)</t>
  </si>
  <si>
    <t xml:space="preserve">          "Balatonföldvár zöld város program megval.-a" opciós munkák</t>
  </si>
  <si>
    <t xml:space="preserve">4. melléklet </t>
  </si>
  <si>
    <t>a 2/2023.(II.24.) önkormányzati rendelethez</t>
  </si>
  <si>
    <t>mód.ei.          2023.09.hó</t>
  </si>
  <si>
    <r>
      <t xml:space="preserve">             1.3.2.1. Család- és gyermekjóléti szolgálat </t>
    </r>
    <r>
      <rPr>
        <sz val="8"/>
        <rFont val="Times New Roman"/>
        <family val="1"/>
        <charset val="238"/>
      </rPr>
      <t>(TKT)</t>
    </r>
  </si>
  <si>
    <t>Módosított előirányzat 2023.09.havi</t>
  </si>
  <si>
    <t>8. melléklet</t>
  </si>
  <si>
    <t xml:space="preserve">          Vis maior támogatás: partfal stabilizáció (42/2023.(III.16.))</t>
  </si>
  <si>
    <t xml:space="preserve">        Vis maior: tervek, műszaki tev., talajmechanika</t>
  </si>
  <si>
    <t xml:space="preserve">           Útfelújítások</t>
  </si>
  <si>
    <t xml:space="preserve">             Kisértékű tárgyi eszköz beszerzés</t>
  </si>
  <si>
    <t>a 20/2023.(IX.29.) önkormányzati rendelethez</t>
  </si>
  <si>
    <t xml:space="preserve">    Vis maior támogatás: partfal stabilizáció (42/2023. (III.16.))</t>
  </si>
  <si>
    <t xml:space="preserve">     Vis maior: tervek, műszaki tevékenység, talajmechanika (109/2023.(VII.26.))</t>
  </si>
  <si>
    <t xml:space="preserve">     Vegyszeres homlozattisztítás (112/2023. (VII.26.))</t>
  </si>
  <si>
    <t xml:space="preserve">     Vitorlás klubház értékesítése (114/2023. (VII.26.))</t>
  </si>
  <si>
    <t xml:space="preserve">      Útfelújítások</t>
  </si>
  <si>
    <t xml:space="preserve">     Útburkolat jelek felfestése (117/2023. (VII.28.))</t>
  </si>
  <si>
    <t xml:space="preserve">     Hatósági terv benyújtása (fövenyes strand) (118/2023. (VII.28.))</t>
  </si>
  <si>
    <t xml:space="preserve">     Közvilágítás kiegészítő támogatása (májusi felmérés)</t>
  </si>
  <si>
    <t xml:space="preserve">     Települési önk.-ok egyes köznevelési feladatainak tám.-a (óvoda) (májusi felmérés)</t>
  </si>
  <si>
    <t xml:space="preserve">     Intézményi gyermekétkeztetés - üzemeltetési támogatás (májusi felmérés)</t>
  </si>
  <si>
    <t xml:space="preserve">     Szociális étkeztetés (kiegészítő támogatás)</t>
  </si>
  <si>
    <t xml:space="preserve">     Intézményi gyermekétkeztetés - bértámogatás (kiegészítő támogatás)</t>
  </si>
  <si>
    <t xml:space="preserve">     Személyi gondozás (kiegészítő támogatás)</t>
  </si>
  <si>
    <t xml:space="preserve">     Települési önk.-ok nyilvános könyvtári és a közművelődési feladatainak tám.-a (kieg.tám.)</t>
  </si>
  <si>
    <t xml:space="preserve">     Köznevelési feladatok támogatás (májusi felmérés, kieg.tám.)</t>
  </si>
  <si>
    <t xml:space="preserve">     Gyermekétkeztetési feladatok támogatás továbbadása (májusi felmérés, kieg.tám.alapján)</t>
  </si>
  <si>
    <t xml:space="preserve">     Család és gyermekjóléti feladatok, házi segítségnyújtás támogatás továbbadása</t>
  </si>
  <si>
    <t xml:space="preserve">     Közösségi ház + Kulipintyó:  állami támogatás továbbadása (kulturális feladatok)</t>
  </si>
  <si>
    <t xml:space="preserve">     Vásárolt élelmezés (kieg.tám.alapján)</t>
  </si>
  <si>
    <t xml:space="preserve">     Szakmai anyagok beszerzése </t>
  </si>
  <si>
    <t xml:space="preserve">     Irodaszer, nyomtatvány</t>
  </si>
  <si>
    <t xml:space="preserve">     Tisztítószer</t>
  </si>
  <si>
    <t xml:space="preserve">     Egyéb dologi kiadás</t>
  </si>
  <si>
    <t xml:space="preserve">      Számítástechnikai szoftverek,  egyéb tárgyi e. beszerzése </t>
  </si>
  <si>
    <t xml:space="preserve">      Kisértékű tárgyi eszköz beszerzés</t>
  </si>
  <si>
    <t xml:space="preserve">     Működési célú támogatások</t>
  </si>
  <si>
    <t xml:space="preserve">     Perköltség megtérítése</t>
  </si>
  <si>
    <t xml:space="preserve">           Partfalomlás helyreállítása (vis maior)</t>
  </si>
  <si>
    <t xml:space="preserve">      Partfalomlás helyreállítása (vis maior)</t>
  </si>
  <si>
    <t xml:space="preserve">      3. Városi rendezvény támogatása OTP Bank Nyrt.</t>
  </si>
  <si>
    <t xml:space="preserve">      Városi rendezvény támogatása OTP Bank Nyrt.</t>
  </si>
  <si>
    <t xml:space="preserve">     Városi rendezvény: tűzijáték (OTP Bank Nyrt támogatása)</t>
  </si>
  <si>
    <t>Önkormányzat (módosított előirányzat 2023.09.havi)</t>
  </si>
  <si>
    <t xml:space="preserve">       Kötelező (módosított előirányzat 2023.09. havi)</t>
  </si>
  <si>
    <t xml:space="preserve">       Nem kötelező (módosított előirányzat 2023.09. havi)</t>
  </si>
  <si>
    <t>Módosított előirányzat 2023.09.hó</t>
  </si>
  <si>
    <t>Módosított előirányzat 2023.07.hó</t>
  </si>
  <si>
    <t xml:space="preserve">       Kötelező (módosított előirányzat 2023.07. havi)</t>
  </si>
  <si>
    <t>Önkormányzat (módosított előirányzat 2023.07.havi)</t>
  </si>
  <si>
    <t xml:space="preserve">       Nem kötelező (módosított előirányzat 2023.07. havi)</t>
  </si>
  <si>
    <t>KÖH (módosított előirányzat 2023.07. havi)</t>
  </si>
  <si>
    <t>KÖH (módosított előirányzat 2023.09. havi)</t>
  </si>
  <si>
    <t>Önk.mindösszesen (módosított ei. 2023.07. havi)</t>
  </si>
  <si>
    <t>Önk.mindösszesen (módosított ei. 2023.09. havi)</t>
  </si>
  <si>
    <t>10.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</si>
</sst>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7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1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21" fillId="0" borderId="0" applyFill="0" applyBorder="0" applyAlignment="0" applyProtection="0"/>
    <xf numFmtId="0" fontId="12" fillId="0" borderId="0"/>
    <xf numFmtId="0" fontId="12" fillId="0" borderId="0"/>
    <xf numFmtId="0" fontId="70" fillId="0" borderId="0"/>
    <xf numFmtId="0" fontId="52" fillId="0" borderId="0"/>
    <xf numFmtId="0" fontId="54" fillId="0" borderId="0"/>
    <xf numFmtId="0" fontId="63" fillId="0" borderId="0"/>
    <xf numFmtId="0" fontId="21" fillId="0" borderId="0"/>
    <xf numFmtId="0" fontId="7" fillId="0" borderId="0"/>
    <xf numFmtId="0" fontId="66" fillId="0" borderId="0"/>
    <xf numFmtId="0" fontId="12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12" fillId="0" borderId="0" applyFont="0" applyFill="0" applyBorder="0" applyAlignment="0" applyProtection="0"/>
  </cellStyleXfs>
  <cellXfs count="927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11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0" fontId="13" fillId="0" borderId="0" xfId="0" applyFont="1"/>
    <xf numFmtId="0" fontId="3" fillId="2" borderId="0" xfId="0" applyFont="1" applyFill="1" applyAlignment="1">
      <alignment horizontal="right"/>
    </xf>
    <xf numFmtId="3" fontId="3" fillId="0" borderId="1" xfId="0" applyNumberFormat="1" applyFont="1" applyBorder="1"/>
    <xf numFmtId="0" fontId="3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left" vertical="center"/>
    </xf>
    <xf numFmtId="0" fontId="6" fillId="0" borderId="2" xfId="0" applyFont="1" applyBorder="1"/>
    <xf numFmtId="0" fontId="5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16" fillId="0" borderId="0" xfId="0" applyFont="1"/>
    <xf numFmtId="3" fontId="16" fillId="0" borderId="0" xfId="0" applyNumberFormat="1" applyFont="1"/>
    <xf numFmtId="0" fontId="13" fillId="0" borderId="3" xfId="0" applyFont="1" applyBorder="1"/>
    <xf numFmtId="0" fontId="3" fillId="0" borderId="1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0" fontId="15" fillId="2" borderId="0" xfId="0" applyFont="1" applyFill="1"/>
    <xf numFmtId="3" fontId="20" fillId="0" borderId="1" xfId="0" applyNumberFormat="1" applyFont="1" applyBorder="1"/>
    <xf numFmtId="3" fontId="18" fillId="0" borderId="1" xfId="0" applyNumberFormat="1" applyFont="1" applyBorder="1" applyAlignment="1">
      <alignment horizontal="right"/>
    </xf>
    <xf numFmtId="3" fontId="13" fillId="0" borderId="0" xfId="0" applyNumberFormat="1" applyFont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2" fillId="0" borderId="0" xfId="0" applyFont="1"/>
    <xf numFmtId="0" fontId="20" fillId="0" borderId="0" xfId="0" applyFont="1"/>
    <xf numFmtId="0" fontId="3" fillId="0" borderId="3" xfId="0" applyFont="1" applyBorder="1" applyAlignment="1">
      <alignment horizontal="left" vertical="center"/>
    </xf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0" borderId="0" xfId="0" applyFont="1" applyAlignment="1">
      <alignment horizontal="right"/>
    </xf>
    <xf numFmtId="0" fontId="3" fillId="6" borderId="0" xfId="0" applyFont="1" applyFill="1"/>
    <xf numFmtId="3" fontId="3" fillId="0" borderId="0" xfId="0" applyNumberFormat="1" applyFont="1" applyAlignment="1">
      <alignment horizontal="right"/>
    </xf>
    <xf numFmtId="0" fontId="23" fillId="2" borderId="0" xfId="0" applyFont="1" applyFill="1" applyAlignment="1">
      <alignment horizontal="right"/>
    </xf>
    <xf numFmtId="3" fontId="0" fillId="0" borderId="1" xfId="0" applyNumberFormat="1" applyBorder="1"/>
    <xf numFmtId="0" fontId="25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2" xfId="2" applyNumberFormat="1" applyFont="1" applyFill="1" applyBorder="1" applyAlignment="1">
      <alignment horizontal="right" vertical="center"/>
    </xf>
    <xf numFmtId="3" fontId="28" fillId="0" borderId="7" xfId="0" applyNumberFormat="1" applyFont="1" applyBorder="1" applyAlignment="1">
      <alignment vertical="center"/>
    </xf>
    <xf numFmtId="0" fontId="17" fillId="3" borderId="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9" fontId="16" fillId="0" borderId="0" xfId="0" applyNumberFormat="1" applyFont="1"/>
    <xf numFmtId="3" fontId="0" fillId="0" borderId="0" xfId="0" applyNumberFormat="1"/>
    <xf numFmtId="0" fontId="6" fillId="5" borderId="4" xfId="0" applyFon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/>
    <xf numFmtId="0" fontId="8" fillId="0" borderId="1" xfId="0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3" fillId="6" borderId="0" xfId="0" applyFont="1" applyFill="1" applyAlignment="1">
      <alignment horizontal="right"/>
    </xf>
    <xf numFmtId="0" fontId="7" fillId="2" borderId="0" xfId="0" applyFont="1" applyFill="1"/>
    <xf numFmtId="0" fontId="36" fillId="2" borderId="0" xfId="0" applyFont="1" applyFill="1"/>
    <xf numFmtId="0" fontId="23" fillId="2" borderId="0" xfId="0" applyFont="1" applyFill="1"/>
    <xf numFmtId="0" fontId="36" fillId="2" borderId="0" xfId="0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3" fontId="39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0" fontId="9" fillId="2" borderId="1" xfId="0" applyFont="1" applyFill="1" applyBorder="1"/>
    <xf numFmtId="3" fontId="36" fillId="0" borderId="0" xfId="0" applyNumberFormat="1" applyFont="1"/>
    <xf numFmtId="0" fontId="36" fillId="0" borderId="0" xfId="0" applyFont="1"/>
    <xf numFmtId="0" fontId="42" fillId="2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0" fillId="0" borderId="11" xfId="0" applyBorder="1"/>
    <xf numFmtId="3" fontId="9" fillId="0" borderId="12" xfId="0" applyNumberFormat="1" applyFont="1" applyBorder="1"/>
    <xf numFmtId="0" fontId="9" fillId="0" borderId="11" xfId="0" applyFont="1" applyBorder="1"/>
    <xf numFmtId="3" fontId="9" fillId="0" borderId="1" xfId="0" applyNumberFormat="1" applyFont="1" applyBorder="1"/>
    <xf numFmtId="0" fontId="9" fillId="0" borderId="13" xfId="0" applyFont="1" applyBorder="1"/>
    <xf numFmtId="3" fontId="9" fillId="2" borderId="8" xfId="0" applyNumberFormat="1" applyFont="1" applyFill="1" applyBorder="1"/>
    <xf numFmtId="3" fontId="9" fillId="2" borderId="14" xfId="0" applyNumberFormat="1" applyFont="1" applyFill="1" applyBorder="1"/>
    <xf numFmtId="0" fontId="9" fillId="2" borderId="0" xfId="0" applyFont="1" applyFill="1"/>
    <xf numFmtId="0" fontId="43" fillId="2" borderId="0" xfId="0" applyFont="1" applyFill="1"/>
    <xf numFmtId="0" fontId="2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5" borderId="1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3" fontId="6" fillId="7" borderId="2" xfId="0" applyNumberFormat="1" applyFont="1" applyFill="1" applyBorder="1"/>
    <xf numFmtId="3" fontId="23" fillId="0" borderId="3" xfId="0" applyNumberFormat="1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44" fillId="7" borderId="1" xfId="0" applyFont="1" applyFill="1" applyBorder="1"/>
    <xf numFmtId="0" fontId="9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6" fillId="8" borderId="4" xfId="0" applyNumberFormat="1" applyFont="1" applyFill="1" applyBorder="1" applyAlignment="1">
      <alignment horizontal="left" vertical="center"/>
    </xf>
    <xf numFmtId="3" fontId="6" fillId="8" borderId="5" xfId="2" applyNumberFormat="1" applyFont="1" applyFill="1" applyBorder="1" applyAlignment="1">
      <alignment horizontal="right" vertical="center"/>
    </xf>
    <xf numFmtId="3" fontId="6" fillId="8" borderId="6" xfId="0" applyNumberFormat="1" applyFont="1" applyFill="1" applyBorder="1" applyAlignment="1">
      <alignment vertical="center"/>
    </xf>
    <xf numFmtId="3" fontId="29" fillId="8" borderId="5" xfId="2" applyNumberFormat="1" applyFont="1" applyFill="1" applyBorder="1" applyAlignment="1">
      <alignment horizontal="right" vertical="center"/>
    </xf>
    <xf numFmtId="3" fontId="29" fillId="8" borderId="6" xfId="2" applyNumberFormat="1" applyFont="1" applyFill="1" applyBorder="1" applyAlignment="1">
      <alignment horizontal="right" vertical="center"/>
    </xf>
    <xf numFmtId="3" fontId="3" fillId="0" borderId="3" xfId="2" applyNumberFormat="1" applyFont="1" applyFill="1" applyBorder="1" applyAlignment="1">
      <alignment horizontal="right" vertical="center"/>
    </xf>
    <xf numFmtId="3" fontId="16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6" fillId="8" borderId="5" xfId="0" applyNumberFormat="1" applyFont="1" applyFill="1" applyBorder="1" applyAlignment="1">
      <alignment vertical="center"/>
    </xf>
    <xf numFmtId="3" fontId="27" fillId="8" borderId="4" xfId="0" applyNumberFormat="1" applyFont="1" applyFill="1" applyBorder="1" applyAlignment="1">
      <alignment horizontal="left" vertical="center" wrapText="1"/>
    </xf>
    <xf numFmtId="3" fontId="27" fillId="8" borderId="5" xfId="0" applyNumberFormat="1" applyFont="1" applyFill="1" applyBorder="1" applyAlignment="1">
      <alignment vertical="center"/>
    </xf>
    <xf numFmtId="3" fontId="27" fillId="8" borderId="6" xfId="0" applyNumberFormat="1" applyFont="1" applyFill="1" applyBorder="1" applyAlignment="1">
      <alignment vertical="center"/>
    </xf>
    <xf numFmtId="3" fontId="6" fillId="0" borderId="1" xfId="2" applyNumberFormat="1" applyFont="1" applyFill="1" applyBorder="1" applyAlignment="1">
      <alignment horizontal="right" vertical="center"/>
    </xf>
    <xf numFmtId="3" fontId="6" fillId="0" borderId="3" xfId="2" applyNumberFormat="1" applyFont="1" applyFill="1" applyBorder="1" applyAlignment="1">
      <alignment horizontal="right" vertical="center"/>
    </xf>
    <xf numFmtId="3" fontId="6" fillId="8" borderId="6" xfId="2" applyNumberFormat="1" applyFont="1" applyFill="1" applyBorder="1" applyAlignment="1">
      <alignment horizontal="right" vertical="center"/>
    </xf>
    <xf numFmtId="0" fontId="36" fillId="6" borderId="0" xfId="0" applyFont="1" applyFill="1"/>
    <xf numFmtId="0" fontId="37" fillId="2" borderId="0" xfId="0" applyFont="1" applyFill="1"/>
    <xf numFmtId="0" fontId="18" fillId="2" borderId="4" xfId="0" applyFont="1" applyFill="1" applyBorder="1"/>
    <xf numFmtId="0" fontId="18" fillId="2" borderId="5" xfId="0" applyFont="1" applyFill="1" applyBorder="1"/>
    <xf numFmtId="3" fontId="18" fillId="2" borderId="5" xfId="0" applyNumberFormat="1" applyFont="1" applyFill="1" applyBorder="1"/>
    <xf numFmtId="49" fontId="3" fillId="0" borderId="2" xfId="0" applyNumberFormat="1" applyFont="1" applyBorder="1" applyAlignment="1">
      <alignment horizontal="right"/>
    </xf>
    <xf numFmtId="3" fontId="7" fillId="0" borderId="1" xfId="0" applyNumberFormat="1" applyFont="1" applyBorder="1"/>
    <xf numFmtId="0" fontId="3" fillId="0" borderId="16" xfId="0" applyFont="1" applyBorder="1" applyAlignment="1">
      <alignment horizontal="left" vertical="center" wrapText="1"/>
    </xf>
    <xf numFmtId="0" fontId="6" fillId="0" borderId="3" xfId="0" applyFont="1" applyBorder="1"/>
    <xf numFmtId="3" fontId="18" fillId="0" borderId="1" xfId="0" applyNumberFormat="1" applyFont="1" applyBorder="1"/>
    <xf numFmtId="3" fontId="6" fillId="7" borderId="1" xfId="0" applyNumberFormat="1" applyFont="1" applyFill="1" applyBorder="1"/>
    <xf numFmtId="0" fontId="0" fillId="0" borderId="17" xfId="0" applyBorder="1"/>
    <xf numFmtId="0" fontId="23" fillId="0" borderId="1" xfId="0" applyFont="1" applyBorder="1"/>
    <xf numFmtId="0" fontId="6" fillId="7" borderId="2" xfId="0" applyFont="1" applyFill="1" applyBorder="1"/>
    <xf numFmtId="0" fontId="8" fillId="0" borderId="17" xfId="0" applyFont="1" applyBorder="1"/>
    <xf numFmtId="3" fontId="23" fillId="0" borderId="3" xfId="0" applyNumberFormat="1" applyFont="1" applyBorder="1"/>
    <xf numFmtId="3" fontId="4" fillId="7" borderId="5" xfId="0" applyNumberFormat="1" applyFont="1" applyFill="1" applyBorder="1"/>
    <xf numFmtId="0" fontId="10" fillId="7" borderId="4" xfId="0" applyFont="1" applyFill="1" applyBorder="1" applyAlignment="1">
      <alignment horizontal="left"/>
    </xf>
    <xf numFmtId="0" fontId="8" fillId="0" borderId="3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/>
    <xf numFmtId="3" fontId="14" fillId="0" borderId="1" xfId="0" applyNumberFormat="1" applyFont="1" applyBorder="1" applyAlignment="1">
      <alignment horizontal="right"/>
    </xf>
    <xf numFmtId="3" fontId="6" fillId="7" borderId="3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left"/>
    </xf>
    <xf numFmtId="0" fontId="3" fillId="0" borderId="3" xfId="0" applyFont="1" applyBorder="1"/>
    <xf numFmtId="3" fontId="32" fillId="0" borderId="0" xfId="0" applyNumberFormat="1" applyFont="1"/>
    <xf numFmtId="0" fontId="3" fillId="0" borderId="2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3" fontId="4" fillId="0" borderId="2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/>
    <xf numFmtId="0" fontId="4" fillId="0" borderId="2" xfId="0" applyFont="1" applyBorder="1" applyAlignment="1">
      <alignment vertical="center"/>
    </xf>
    <xf numFmtId="3" fontId="16" fillId="0" borderId="1" xfId="0" applyNumberFormat="1" applyFont="1" applyBorder="1" applyAlignment="1">
      <alignment horizontal="right"/>
    </xf>
    <xf numFmtId="0" fontId="3" fillId="6" borderId="0" xfId="0" applyFont="1" applyFill="1" applyAlignment="1">
      <alignment horizontal="right"/>
    </xf>
    <xf numFmtId="0" fontId="41" fillId="3" borderId="18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right"/>
    </xf>
    <xf numFmtId="0" fontId="15" fillId="6" borderId="0" xfId="0" applyFont="1" applyFill="1"/>
    <xf numFmtId="3" fontId="3" fillId="6" borderId="0" xfId="0" applyNumberFormat="1" applyFont="1" applyFill="1" applyAlignment="1">
      <alignment horizontal="right"/>
    </xf>
    <xf numFmtId="0" fontId="16" fillId="6" borderId="0" xfId="0" applyFont="1" applyFill="1"/>
    <xf numFmtId="3" fontId="18" fillId="0" borderId="5" xfId="0" applyNumberFormat="1" applyFont="1" applyBorder="1"/>
    <xf numFmtId="3" fontId="8" fillId="2" borderId="1" xfId="0" applyNumberFormat="1" applyFont="1" applyFill="1" applyBorder="1" applyAlignment="1">
      <alignment horizontal="right"/>
    </xf>
    <xf numFmtId="3" fontId="13" fillId="6" borderId="0" xfId="0" applyNumberFormat="1" applyFont="1" applyFill="1"/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wrapText="1"/>
    </xf>
    <xf numFmtId="3" fontId="6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16" fillId="0" borderId="1" xfId="0" applyNumberFormat="1" applyFont="1" applyBorder="1"/>
    <xf numFmtId="3" fontId="49" fillId="0" borderId="0" xfId="0" applyNumberFormat="1" applyFont="1"/>
    <xf numFmtId="3" fontId="0" fillId="9" borderId="19" xfId="0" applyNumberFormat="1" applyFill="1" applyBorder="1"/>
    <xf numFmtId="0" fontId="6" fillId="0" borderId="4" xfId="0" applyFont="1" applyBorder="1"/>
    <xf numFmtId="0" fontId="6" fillId="0" borderId="0" xfId="0" applyFont="1"/>
    <xf numFmtId="0" fontId="10" fillId="7" borderId="20" xfId="0" applyFont="1" applyFill="1" applyBorder="1" applyAlignment="1">
      <alignment horizontal="left"/>
    </xf>
    <xf numFmtId="3" fontId="4" fillId="7" borderId="21" xfId="0" applyNumberFormat="1" applyFont="1" applyFill="1" applyBorder="1"/>
    <xf numFmtId="0" fontId="71" fillId="0" borderId="0" xfId="0" applyFont="1"/>
    <xf numFmtId="0" fontId="72" fillId="0" borderId="0" xfId="0" applyFont="1"/>
    <xf numFmtId="0" fontId="72" fillId="6" borderId="0" xfId="0" applyFont="1" applyFill="1"/>
    <xf numFmtId="0" fontId="6" fillId="7" borderId="3" xfId="0" applyFont="1" applyFill="1" applyBorder="1"/>
    <xf numFmtId="0" fontId="5" fillId="7" borderId="4" xfId="0" applyFont="1" applyFill="1" applyBorder="1"/>
    <xf numFmtId="0" fontId="33" fillId="0" borderId="1" xfId="0" applyFont="1" applyBorder="1"/>
    <xf numFmtId="0" fontId="5" fillId="7" borderId="7" xfId="0" applyFont="1" applyFill="1" applyBorder="1"/>
    <xf numFmtId="3" fontId="5" fillId="7" borderId="7" xfId="0" applyNumberFormat="1" applyFont="1" applyFill="1" applyBorder="1"/>
    <xf numFmtId="0" fontId="4" fillId="7" borderId="4" xfId="0" applyFont="1" applyFill="1" applyBorder="1"/>
    <xf numFmtId="0" fontId="23" fillId="5" borderId="11" xfId="0" applyFont="1" applyFill="1" applyBorder="1" applyAlignment="1">
      <alignment horizontal="center"/>
    </xf>
    <xf numFmtId="3" fontId="48" fillId="0" borderId="0" xfId="0" applyNumberFormat="1" applyFont="1"/>
    <xf numFmtId="3" fontId="28" fillId="6" borderId="0" xfId="0" applyNumberFormat="1" applyFont="1" applyFill="1" applyAlignment="1">
      <alignment vertical="center"/>
    </xf>
    <xf numFmtId="0" fontId="3" fillId="5" borderId="4" xfId="0" applyFont="1" applyFill="1" applyBorder="1"/>
    <xf numFmtId="0" fontId="10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3" fontId="13" fillId="0" borderId="18" xfId="0" applyNumberFormat="1" applyFont="1" applyBorder="1"/>
    <xf numFmtId="3" fontId="30" fillId="3" borderId="8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/>
    <xf numFmtId="0" fontId="16" fillId="0" borderId="1" xfId="0" applyFont="1" applyBorder="1"/>
    <xf numFmtId="3" fontId="33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3" fontId="3" fillId="0" borderId="3" xfId="0" applyNumberFormat="1" applyFont="1" applyBorder="1" applyAlignment="1">
      <alignment vertical="center" wrapText="1"/>
    </xf>
    <xf numFmtId="0" fontId="0" fillId="0" borderId="5" xfId="0" applyBorder="1"/>
    <xf numFmtId="3" fontId="6" fillId="7" borderId="1" xfId="0" applyNumberFormat="1" applyFont="1" applyFill="1" applyBorder="1" applyAlignment="1">
      <alignment horizontal="right"/>
    </xf>
    <xf numFmtId="3" fontId="6" fillId="7" borderId="2" xfId="0" applyNumberFormat="1" applyFont="1" applyFill="1" applyBorder="1" applyAlignment="1">
      <alignment horizontal="right"/>
    </xf>
    <xf numFmtId="3" fontId="4" fillId="7" borderId="5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34" fillId="0" borderId="1" xfId="0" applyNumberFormat="1" applyFont="1" applyBorder="1"/>
    <xf numFmtId="3" fontId="23" fillId="0" borderId="1" xfId="0" applyNumberFormat="1" applyFont="1" applyBorder="1"/>
    <xf numFmtId="3" fontId="6" fillId="5" borderId="22" xfId="0" applyNumberFormat="1" applyFont="1" applyFill="1" applyBorder="1"/>
    <xf numFmtId="3" fontId="6" fillId="5" borderId="2" xfId="0" applyNumberFormat="1" applyFont="1" applyFill="1" applyBorder="1"/>
    <xf numFmtId="3" fontId="6" fillId="5" borderId="1" xfId="0" applyNumberFormat="1" applyFont="1" applyFill="1" applyBorder="1"/>
    <xf numFmtId="3" fontId="6" fillId="5" borderId="5" xfId="0" applyNumberFormat="1" applyFont="1" applyFill="1" applyBorder="1"/>
    <xf numFmtId="3" fontId="6" fillId="5" borderId="3" xfId="0" applyNumberFormat="1" applyFont="1" applyFill="1" applyBorder="1"/>
    <xf numFmtId="3" fontId="6" fillId="5" borderId="23" xfId="0" applyNumberFormat="1" applyFont="1" applyFill="1" applyBorder="1"/>
    <xf numFmtId="3" fontId="6" fillId="5" borderId="12" xfId="0" applyNumberFormat="1" applyFont="1" applyFill="1" applyBorder="1"/>
    <xf numFmtId="3" fontId="6" fillId="9" borderId="6" xfId="0" applyNumberFormat="1" applyFont="1" applyFill="1" applyBorder="1"/>
    <xf numFmtId="3" fontId="6" fillId="5" borderId="10" xfId="0" applyNumberFormat="1" applyFont="1" applyFill="1" applyBorder="1"/>
    <xf numFmtId="3" fontId="10" fillId="5" borderId="6" xfId="0" applyNumberFormat="1" applyFont="1" applyFill="1" applyBorder="1"/>
    <xf numFmtId="0" fontId="4" fillId="0" borderId="3" xfId="0" applyFont="1" applyBorder="1" applyAlignment="1">
      <alignment horizontal="left" vertical="center"/>
    </xf>
    <xf numFmtId="3" fontId="5" fillId="0" borderId="3" xfId="0" applyNumberFormat="1" applyFont="1" applyBorder="1"/>
    <xf numFmtId="0" fontId="10" fillId="5" borderId="5" xfId="0" applyFont="1" applyFill="1" applyBorder="1" applyAlignment="1">
      <alignment horizontal="center" wrapText="1"/>
    </xf>
    <xf numFmtId="3" fontId="10" fillId="5" borderId="5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3" fontId="4" fillId="5" borderId="5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/>
    <xf numFmtId="3" fontId="6" fillId="0" borderId="3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/>
    </xf>
    <xf numFmtId="3" fontId="3" fillId="9" borderId="1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vertical="center"/>
    </xf>
    <xf numFmtId="3" fontId="23" fillId="0" borderId="0" xfId="0" applyNumberFormat="1" applyFont="1"/>
    <xf numFmtId="0" fontId="73" fillId="0" borderId="0" xfId="0" applyFont="1"/>
    <xf numFmtId="0" fontId="6" fillId="5" borderId="4" xfId="0" applyFont="1" applyFill="1" applyBorder="1"/>
    <xf numFmtId="0" fontId="74" fillId="6" borderId="0" xfId="0" applyFont="1" applyFill="1"/>
    <xf numFmtId="0" fontId="75" fillId="0" borderId="0" xfId="0" applyFont="1"/>
    <xf numFmtId="3" fontId="33" fillId="0" borderId="3" xfId="0" applyNumberFormat="1" applyFont="1" applyBorder="1" applyAlignment="1">
      <alignment horizontal="right"/>
    </xf>
    <xf numFmtId="0" fontId="6" fillId="9" borderId="4" xfId="0" applyFont="1" applyFill="1" applyBorder="1" applyAlignment="1">
      <alignment wrapText="1"/>
    </xf>
    <xf numFmtId="3" fontId="6" fillId="9" borderId="6" xfId="0" applyNumberFormat="1" applyFont="1" applyFill="1" applyBorder="1" applyAlignment="1">
      <alignment vertical="center"/>
    </xf>
    <xf numFmtId="3" fontId="51" fillId="0" borderId="1" xfId="0" applyNumberFormat="1" applyFont="1" applyBorder="1" applyAlignment="1">
      <alignment horizontal="right"/>
    </xf>
    <xf numFmtId="0" fontId="34" fillId="0" borderId="1" xfId="0" applyFont="1" applyBorder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4" fillId="0" borderId="3" xfId="0" applyFont="1" applyBorder="1"/>
    <xf numFmtId="3" fontId="23" fillId="0" borderId="2" xfId="0" applyNumberFormat="1" applyFont="1" applyBorder="1"/>
    <xf numFmtId="3" fontId="34" fillId="0" borderId="2" xfId="0" applyNumberFormat="1" applyFont="1" applyBorder="1"/>
    <xf numFmtId="0" fontId="25" fillId="0" borderId="11" xfId="0" applyFont="1" applyBorder="1"/>
    <xf numFmtId="0" fontId="25" fillId="6" borderId="0" xfId="0" applyFont="1" applyFill="1"/>
    <xf numFmtId="0" fontId="49" fillId="0" borderId="3" xfId="0" applyFont="1" applyBorder="1"/>
    <xf numFmtId="0" fontId="49" fillId="0" borderId="1" xfId="0" applyFont="1" applyBorder="1"/>
    <xf numFmtId="0" fontId="25" fillId="0" borderId="17" xfId="0" applyFont="1" applyBorder="1"/>
    <xf numFmtId="0" fontId="49" fillId="0" borderId="17" xfId="0" applyFont="1" applyBorder="1"/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6" fillId="5" borderId="9" xfId="0" applyFont="1" applyFill="1" applyBorder="1" applyAlignment="1">
      <alignment horizontal="left"/>
    </xf>
    <xf numFmtId="0" fontId="17" fillId="3" borderId="22" xfId="0" applyFont="1" applyFill="1" applyBorder="1" applyAlignment="1">
      <alignment horizontal="center" vertical="center"/>
    </xf>
    <xf numFmtId="3" fontId="33" fillId="9" borderId="24" xfId="0" applyNumberFormat="1" applyFont="1" applyFill="1" applyBorder="1" applyAlignment="1">
      <alignment horizontal="right"/>
    </xf>
    <xf numFmtId="0" fontId="26" fillId="0" borderId="25" xfId="0" applyFont="1" applyBorder="1" applyAlignment="1">
      <alignment horizontal="center" vertical="center" wrapText="1"/>
    </xf>
    <xf numFmtId="0" fontId="25" fillId="0" borderId="26" xfId="0" applyFont="1" applyBorder="1"/>
    <xf numFmtId="3" fontId="3" fillId="8" borderId="3" xfId="0" applyNumberFormat="1" applyFont="1" applyFill="1" applyBorder="1"/>
    <xf numFmtId="3" fontId="6" fillId="8" borderId="1" xfId="0" applyNumberFormat="1" applyFont="1" applyFill="1" applyBorder="1"/>
    <xf numFmtId="0" fontId="8" fillId="0" borderId="0" xfId="0" applyFont="1"/>
    <xf numFmtId="0" fontId="49" fillId="9" borderId="27" xfId="0" applyFont="1" applyFill="1" applyBorder="1"/>
    <xf numFmtId="0" fontId="23" fillId="0" borderId="2" xfId="0" applyFont="1" applyBorder="1" applyAlignment="1">
      <alignment horizontal="center"/>
    </xf>
    <xf numFmtId="0" fontId="3" fillId="5" borderId="11" xfId="0" applyFont="1" applyFill="1" applyBorder="1" applyAlignment="1">
      <alignment horizontal="center" wrapText="1"/>
    </xf>
    <xf numFmtId="3" fontId="6" fillId="8" borderId="4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vertical="center"/>
    </xf>
    <xf numFmtId="3" fontId="32" fillId="0" borderId="16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28" fillId="6" borderId="0" xfId="0" applyNumberFormat="1" applyFont="1" applyFill="1" applyAlignment="1">
      <alignment horizontal="right" vertical="center"/>
    </xf>
    <xf numFmtId="3" fontId="46" fillId="0" borderId="16" xfId="0" applyNumberFormat="1" applyFont="1" applyBorder="1" applyAlignment="1">
      <alignment vertical="center"/>
    </xf>
    <xf numFmtId="3" fontId="31" fillId="0" borderId="16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left" vertical="center" wrapText="1"/>
    </xf>
    <xf numFmtId="3" fontId="6" fillId="0" borderId="10" xfId="2" applyNumberFormat="1" applyFont="1" applyFill="1" applyBorder="1" applyAlignment="1">
      <alignment horizontal="right" vertical="center"/>
    </xf>
    <xf numFmtId="3" fontId="3" fillId="0" borderId="29" xfId="0" applyNumberFormat="1" applyFont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right" vertical="center" wrapText="1"/>
    </xf>
    <xf numFmtId="3" fontId="3" fillId="8" borderId="3" xfId="0" applyNumberFormat="1" applyFont="1" applyFill="1" applyBorder="1" applyAlignment="1">
      <alignment horizontal="right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/>
    </xf>
    <xf numFmtId="3" fontId="4" fillId="5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0" fontId="3" fillId="0" borderId="0" xfId="5" applyFont="1"/>
    <xf numFmtId="0" fontId="3" fillId="0" borderId="0" xfId="5" applyFont="1" applyAlignment="1">
      <alignment horizontal="right"/>
    </xf>
    <xf numFmtId="0" fontId="27" fillId="7" borderId="4" xfId="5" applyFont="1" applyFill="1" applyBorder="1" applyAlignment="1">
      <alignment horizontal="center" vertical="top" wrapText="1"/>
    </xf>
    <xf numFmtId="0" fontId="27" fillId="7" borderId="5" xfId="5" applyFont="1" applyFill="1" applyBorder="1" applyAlignment="1">
      <alignment horizontal="center" vertical="center" wrapText="1"/>
    </xf>
    <xf numFmtId="0" fontId="27" fillId="7" borderId="25" xfId="5" applyFont="1" applyFill="1" applyBorder="1" applyAlignment="1">
      <alignment horizontal="center" vertical="center" wrapText="1"/>
    </xf>
    <xf numFmtId="0" fontId="6" fillId="0" borderId="0" xfId="5" applyFont="1"/>
    <xf numFmtId="0" fontId="3" fillId="0" borderId="9" xfId="5" applyFont="1" applyBorder="1" applyAlignment="1">
      <alignment horizontal="center" vertical="top" wrapText="1"/>
    </xf>
    <xf numFmtId="0" fontId="3" fillId="0" borderId="3" xfId="5" applyFont="1" applyBorder="1" applyAlignment="1">
      <alignment horizontal="left" vertical="top" wrapText="1"/>
    </xf>
    <xf numFmtId="3" fontId="3" fillId="0" borderId="3" xfId="5" applyNumberFormat="1" applyFont="1" applyBorder="1" applyAlignment="1">
      <alignment horizontal="right" vertical="top" wrapText="1"/>
    </xf>
    <xf numFmtId="3" fontId="3" fillId="7" borderId="31" xfId="5" applyNumberFormat="1" applyFont="1" applyFill="1" applyBorder="1" applyAlignment="1">
      <alignment horizontal="right" vertical="top" wrapText="1"/>
    </xf>
    <xf numFmtId="0" fontId="3" fillId="0" borderId="11" xfId="5" applyFont="1" applyBorder="1" applyAlignment="1">
      <alignment horizontal="center" vertical="top" wrapText="1"/>
    </xf>
    <xf numFmtId="0" fontId="3" fillId="0" borderId="1" xfId="5" applyFont="1" applyBorder="1" applyAlignment="1">
      <alignment horizontal="left" vertical="top" wrapText="1"/>
    </xf>
    <xf numFmtId="3" fontId="3" fillId="0" borderId="1" xfId="5" applyNumberFormat="1" applyFont="1" applyBorder="1" applyAlignment="1">
      <alignment horizontal="right" vertical="top" wrapText="1"/>
    </xf>
    <xf numFmtId="3" fontId="3" fillId="7" borderId="32" xfId="5" applyNumberFormat="1" applyFont="1" applyFill="1" applyBorder="1" applyAlignment="1">
      <alignment horizontal="right" vertical="top" wrapText="1"/>
    </xf>
    <xf numFmtId="3" fontId="3" fillId="0" borderId="0" xfId="5" applyNumberFormat="1" applyFont="1"/>
    <xf numFmtId="0" fontId="6" fillId="0" borderId="11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left" vertical="top" wrapText="1"/>
    </xf>
    <xf numFmtId="3" fontId="6" fillId="0" borderId="1" xfId="5" applyNumberFormat="1" applyFont="1" applyBorder="1" applyAlignment="1">
      <alignment horizontal="right" vertical="top" wrapText="1"/>
    </xf>
    <xf numFmtId="3" fontId="6" fillId="7" borderId="32" xfId="5" applyNumberFormat="1" applyFont="1" applyFill="1" applyBorder="1" applyAlignment="1">
      <alignment horizontal="right" vertical="top" wrapText="1"/>
    </xf>
    <xf numFmtId="3" fontId="16" fillId="0" borderId="0" xfId="5" applyNumberFormat="1" applyFont="1"/>
    <xf numFmtId="3" fontId="3" fillId="0" borderId="1" xfId="5" applyNumberFormat="1" applyFont="1" applyBorder="1" applyAlignment="1">
      <alignment horizontal="right" vertical="center" wrapText="1"/>
    </xf>
    <xf numFmtId="3" fontId="3" fillId="7" borderId="32" xfId="5" applyNumberFormat="1" applyFont="1" applyFill="1" applyBorder="1" applyAlignment="1">
      <alignment horizontal="right" vertical="center" wrapText="1"/>
    </xf>
    <xf numFmtId="0" fontId="6" fillId="0" borderId="13" xfId="5" applyFont="1" applyBorder="1" applyAlignment="1">
      <alignment horizontal="center" vertical="top" wrapText="1"/>
    </xf>
    <xf numFmtId="0" fontId="6" fillId="0" borderId="8" xfId="5" applyFont="1" applyBorder="1" applyAlignment="1">
      <alignment horizontal="left" vertical="top" wrapText="1"/>
    </xf>
    <xf numFmtId="3" fontId="6" fillId="0" borderId="8" xfId="5" applyNumberFormat="1" applyFont="1" applyBorder="1" applyAlignment="1">
      <alignment horizontal="right" vertical="top" wrapText="1"/>
    </xf>
    <xf numFmtId="3" fontId="6" fillId="7" borderId="33" xfId="5" applyNumberFormat="1" applyFont="1" applyFill="1" applyBorder="1" applyAlignment="1">
      <alignment horizontal="right" vertical="top" wrapText="1"/>
    </xf>
    <xf numFmtId="0" fontId="27" fillId="7" borderId="1" xfId="5" applyFont="1" applyFill="1" applyBorder="1" applyAlignment="1">
      <alignment horizontal="center" vertical="top" wrapText="1"/>
    </xf>
    <xf numFmtId="0" fontId="27" fillId="7" borderId="1" xfId="5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0" fontId="3" fillId="0" borderId="1" xfId="5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21" fillId="0" borderId="0" xfId="7" applyFont="1" applyAlignment="1">
      <alignment vertical="center"/>
    </xf>
    <xf numFmtId="0" fontId="3" fillId="0" borderId="0" xfId="7" applyFont="1" applyAlignment="1">
      <alignment horizontal="right" vertical="center"/>
    </xf>
    <xf numFmtId="3" fontId="21" fillId="0" borderId="0" xfId="7" applyNumberFormat="1" applyFont="1" applyAlignment="1">
      <alignment vertical="center"/>
    </xf>
    <xf numFmtId="3" fontId="19" fillId="0" borderId="0" xfId="0" applyNumberFormat="1" applyFont="1"/>
    <xf numFmtId="0" fontId="22" fillId="0" borderId="0" xfId="7" applyFont="1" applyAlignment="1">
      <alignment horizontal="right" vertical="center"/>
    </xf>
    <xf numFmtId="0" fontId="3" fillId="0" borderId="13" xfId="7" applyFont="1" applyBorder="1" applyAlignment="1">
      <alignment horizontal="center" vertical="center" wrapText="1"/>
    </xf>
    <xf numFmtId="0" fontId="3" fillId="0" borderId="8" xfId="7" applyFont="1" applyBorder="1" applyAlignment="1">
      <alignment horizontal="center" vertical="center" wrapText="1"/>
    </xf>
    <xf numFmtId="0" fontId="6" fillId="0" borderId="8" xfId="7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0" fontId="33" fillId="0" borderId="3" xfId="7" applyFont="1" applyBorder="1" applyAlignment="1">
      <alignment horizontal="left" vertical="center" wrapText="1"/>
    </xf>
    <xf numFmtId="3" fontId="6" fillId="0" borderId="3" xfId="7" applyNumberFormat="1" applyFont="1" applyBorder="1" applyAlignment="1">
      <alignment horizontal="right" vertical="center" wrapText="1"/>
    </xf>
    <xf numFmtId="0" fontId="3" fillId="0" borderId="1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3" fontId="6" fillId="0" borderId="1" xfId="7" applyNumberFormat="1" applyFont="1" applyBorder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0" fontId="33" fillId="0" borderId="1" xfId="7" applyFont="1" applyBorder="1" applyAlignment="1">
      <alignment horizontal="left" vertical="center" wrapText="1"/>
    </xf>
    <xf numFmtId="0" fontId="33" fillId="0" borderId="1" xfId="7" applyFont="1" applyBorder="1" applyAlignment="1">
      <alignment vertical="center" wrapText="1"/>
    </xf>
    <xf numFmtId="0" fontId="55" fillId="0" borderId="1" xfId="7" applyFont="1" applyBorder="1" applyAlignment="1">
      <alignment horizontal="left" vertical="center" wrapText="1"/>
    </xf>
    <xf numFmtId="3" fontId="57" fillId="0" borderId="0" xfId="7" applyNumberFormat="1" applyFont="1" applyAlignment="1">
      <alignment vertical="center"/>
    </xf>
    <xf numFmtId="3" fontId="16" fillId="0" borderId="1" xfId="7" applyNumberFormat="1" applyFont="1" applyBorder="1" applyAlignment="1">
      <alignment horizontal="right" vertical="center" wrapText="1"/>
    </xf>
    <xf numFmtId="3" fontId="17" fillId="0" borderId="1" xfId="7" applyNumberFormat="1" applyFont="1" applyBorder="1" applyAlignment="1">
      <alignment horizontal="right" vertical="center" wrapText="1"/>
    </xf>
    <xf numFmtId="0" fontId="56" fillId="0" borderId="1" xfId="7" applyFont="1" applyBorder="1" applyAlignment="1">
      <alignment horizontal="left" vertical="center" wrapText="1"/>
    </xf>
    <xf numFmtId="3" fontId="58" fillId="0" borderId="1" xfId="7" applyNumberFormat="1" applyFont="1" applyBorder="1" applyAlignment="1">
      <alignment horizontal="right" vertical="center" wrapText="1"/>
    </xf>
    <xf numFmtId="3" fontId="6" fillId="0" borderId="1" xfId="7" applyNumberFormat="1" applyFont="1" applyBorder="1" applyAlignment="1">
      <alignment horizontal="right" vertical="top" wrapText="1"/>
    </xf>
    <xf numFmtId="3" fontId="56" fillId="0" borderId="1" xfId="7" applyNumberFormat="1" applyFont="1" applyBorder="1" applyAlignment="1">
      <alignment horizontal="right" vertical="center" wrapText="1"/>
    </xf>
    <xf numFmtId="0" fontId="6" fillId="0" borderId="1" xfId="7" applyFont="1" applyBorder="1" applyAlignment="1">
      <alignment horizontal="justify" vertical="center" wrapText="1"/>
    </xf>
    <xf numFmtId="0" fontId="3" fillId="0" borderId="1" xfId="7" applyFont="1" applyBorder="1" applyAlignment="1">
      <alignment horizontal="justify" vertical="center" wrapText="1"/>
    </xf>
    <xf numFmtId="3" fontId="58" fillId="0" borderId="0" xfId="7" applyNumberFormat="1" applyFont="1" applyAlignment="1">
      <alignment vertical="center" wrapText="1"/>
    </xf>
    <xf numFmtId="0" fontId="14" fillId="0" borderId="1" xfId="7" applyFont="1" applyBorder="1" applyAlignment="1">
      <alignment horizontal="left" vertical="center" wrapText="1"/>
    </xf>
    <xf numFmtId="0" fontId="59" fillId="0" borderId="1" xfId="7" applyFont="1" applyBorder="1" applyAlignment="1">
      <alignment horizontal="left" vertical="center" wrapText="1"/>
    </xf>
    <xf numFmtId="0" fontId="60" fillId="0" borderId="1" xfId="7" applyFont="1" applyBorder="1" applyAlignment="1">
      <alignment horizontal="left" vertical="center" wrapText="1"/>
    </xf>
    <xf numFmtId="3" fontId="6" fillId="4" borderId="1" xfId="7" applyNumberFormat="1" applyFont="1" applyFill="1" applyBorder="1" applyAlignment="1">
      <alignment horizontal="right" vertical="center" wrapText="1"/>
    </xf>
    <xf numFmtId="0" fontId="3" fillId="0" borderId="0" xfId="7" applyFont="1" applyAlignment="1">
      <alignment horizontal="justify" vertical="center"/>
    </xf>
    <xf numFmtId="3" fontId="53" fillId="0" borderId="0" xfId="7" applyNumberFormat="1" applyFont="1" applyAlignment="1">
      <alignment horizontal="right" vertical="center"/>
    </xf>
    <xf numFmtId="0" fontId="56" fillId="0" borderId="0" xfId="7" applyFont="1" applyAlignment="1">
      <alignment vertical="center"/>
    </xf>
    <xf numFmtId="0" fontId="56" fillId="0" borderId="0" xfId="7" applyFont="1" applyAlignment="1">
      <alignment horizontal="right" vertical="center"/>
    </xf>
    <xf numFmtId="0" fontId="6" fillId="0" borderId="6" xfId="7" applyFont="1" applyBorder="1" applyAlignment="1">
      <alignment horizontal="center" vertical="center" wrapText="1"/>
    </xf>
    <xf numFmtId="0" fontId="21" fillId="0" borderId="3" xfId="7" applyFont="1" applyBorder="1" applyAlignment="1">
      <alignment vertical="center"/>
    </xf>
    <xf numFmtId="0" fontId="56" fillId="0" borderId="3" xfId="7" applyFont="1" applyBorder="1" applyAlignment="1">
      <alignment horizontal="left" vertical="center" wrapText="1"/>
    </xf>
    <xf numFmtId="3" fontId="3" fillId="0" borderId="3" xfId="7" applyNumberFormat="1" applyFont="1" applyBorder="1" applyAlignment="1">
      <alignment horizontal="right" vertical="center" wrapText="1"/>
    </xf>
    <xf numFmtId="0" fontId="21" fillId="0" borderId="1" xfId="7" applyFont="1" applyBorder="1" applyAlignment="1">
      <alignment vertical="center"/>
    </xf>
    <xf numFmtId="0" fontId="58" fillId="0" borderId="1" xfId="7" applyFont="1" applyBorder="1" applyAlignment="1">
      <alignment horizontal="left" vertical="center" wrapText="1"/>
    </xf>
    <xf numFmtId="0" fontId="62" fillId="0" borderId="0" xfId="7" applyFont="1" applyAlignment="1">
      <alignment horizontal="left" vertical="center"/>
    </xf>
    <xf numFmtId="0" fontId="61" fillId="0" borderId="0" xfId="7" applyFont="1" applyAlignment="1">
      <alignment horizontal="center" vertical="center"/>
    </xf>
    <xf numFmtId="0" fontId="56" fillId="0" borderId="0" xfId="7" applyFont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left" vertical="center"/>
    </xf>
    <xf numFmtId="3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7" applyFont="1" applyBorder="1" applyAlignment="1">
      <alignment vertical="center"/>
    </xf>
    <xf numFmtId="0" fontId="3" fillId="0" borderId="16" xfId="7" applyFont="1" applyBorder="1" applyAlignment="1">
      <alignment vertical="center"/>
    </xf>
    <xf numFmtId="0" fontId="3" fillId="0" borderId="34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Alignment="1">
      <alignment vertical="center"/>
    </xf>
    <xf numFmtId="3" fontId="3" fillId="0" borderId="0" xfId="3" applyNumberFormat="1" applyFont="1" applyFill="1" applyBorder="1" applyAlignment="1" applyProtection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vertical="center" wrapText="1"/>
    </xf>
    <xf numFmtId="3" fontId="9" fillId="0" borderId="10" xfId="0" applyNumberFormat="1" applyFont="1" applyBorder="1"/>
    <xf numFmtId="0" fontId="8" fillId="0" borderId="11" xfId="0" applyFont="1" applyBorder="1"/>
    <xf numFmtId="3" fontId="8" fillId="0" borderId="12" xfId="0" applyNumberFormat="1" applyFont="1" applyBorder="1"/>
    <xf numFmtId="0" fontId="8" fillId="0" borderId="13" xfId="0" applyFont="1" applyBorder="1"/>
    <xf numFmtId="3" fontId="8" fillId="0" borderId="14" xfId="0" applyNumberFormat="1" applyFont="1" applyBorder="1"/>
    <xf numFmtId="0" fontId="9" fillId="0" borderId="9" xfId="0" applyFont="1" applyBorder="1" applyAlignment="1">
      <alignment horizontal="left" wrapText="1"/>
    </xf>
    <xf numFmtId="3" fontId="0" fillId="0" borderId="12" xfId="0" applyNumberFormat="1" applyBorder="1"/>
    <xf numFmtId="0" fontId="9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13" xfId="0" applyBorder="1"/>
    <xf numFmtId="0" fontId="9" fillId="0" borderId="9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/>
    </xf>
    <xf numFmtId="3" fontId="13" fillId="0" borderId="12" xfId="0" applyNumberFormat="1" applyFont="1" applyBorder="1"/>
    <xf numFmtId="0" fontId="13" fillId="0" borderId="11" xfId="0" applyFont="1" applyBorder="1" applyAlignment="1">
      <alignment horizontal="left"/>
    </xf>
    <xf numFmtId="3" fontId="0" fillId="0" borderId="14" xfId="0" applyNumberFormat="1" applyBorder="1"/>
    <xf numFmtId="3" fontId="39" fillId="7" borderId="35" xfId="0" applyNumberFormat="1" applyFont="1" applyFill="1" applyBorder="1" applyAlignment="1">
      <alignment horizontal="center" vertical="center" wrapText="1"/>
    </xf>
    <xf numFmtId="0" fontId="76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0" fontId="41" fillId="3" borderId="36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wrapText="1"/>
    </xf>
    <xf numFmtId="0" fontId="77" fillId="0" borderId="0" xfId="6" applyFont="1"/>
    <xf numFmtId="0" fontId="77" fillId="6" borderId="0" xfId="6" applyFont="1" applyFill="1"/>
    <xf numFmtId="0" fontId="78" fillId="0" borderId="0" xfId="6" applyFont="1"/>
    <xf numFmtId="0" fontId="78" fillId="0" borderId="0" xfId="6" applyFont="1" applyAlignment="1">
      <alignment wrapText="1"/>
    </xf>
    <xf numFmtId="0" fontId="79" fillId="5" borderId="8" xfId="6" applyFont="1" applyFill="1" applyBorder="1" applyAlignment="1">
      <alignment horizontal="center"/>
    </xf>
    <xf numFmtId="0" fontId="79" fillId="5" borderId="14" xfId="6" applyFont="1" applyFill="1" applyBorder="1" applyAlignment="1">
      <alignment horizontal="center"/>
    </xf>
    <xf numFmtId="0" fontId="80" fillId="0" borderId="3" xfId="6" applyFont="1" applyBorder="1"/>
    <xf numFmtId="3" fontId="81" fillId="0" borderId="3" xfId="6" applyNumberFormat="1" applyFont="1" applyBorder="1" applyAlignment="1">
      <alignment horizontal="right"/>
    </xf>
    <xf numFmtId="3" fontId="76" fillId="0" borderId="0" xfId="6" applyNumberFormat="1" applyFont="1"/>
    <xf numFmtId="3" fontId="81" fillId="0" borderId="1" xfId="6" applyNumberFormat="1" applyFont="1" applyBorder="1" applyAlignment="1">
      <alignment horizontal="right"/>
    </xf>
    <xf numFmtId="0" fontId="80" fillId="0" borderId="7" xfId="6" applyFont="1" applyBorder="1"/>
    <xf numFmtId="3" fontId="81" fillId="0" borderId="2" xfId="6" applyNumberFormat="1" applyFont="1" applyBorder="1" applyAlignment="1">
      <alignment horizontal="right"/>
    </xf>
    <xf numFmtId="0" fontId="82" fillId="7" borderId="1" xfId="6" applyFont="1" applyFill="1" applyBorder="1"/>
    <xf numFmtId="3" fontId="76" fillId="7" borderId="1" xfId="6" applyNumberFormat="1" applyFont="1" applyFill="1" applyBorder="1" applyAlignment="1">
      <alignment horizontal="right"/>
    </xf>
    <xf numFmtId="0" fontId="82" fillId="8" borderId="1" xfId="6" applyFont="1" applyFill="1" applyBorder="1"/>
    <xf numFmtId="3" fontId="76" fillId="8" borderId="1" xfId="6" applyNumberFormat="1" applyFont="1" applyFill="1" applyBorder="1" applyAlignment="1">
      <alignment horizontal="right"/>
    </xf>
    <xf numFmtId="0" fontId="82" fillId="0" borderId="3" xfId="6" applyFont="1" applyBorder="1"/>
    <xf numFmtId="3" fontId="76" fillId="0" borderId="3" xfId="6" applyNumberFormat="1" applyFont="1" applyBorder="1" applyAlignment="1">
      <alignment horizontal="right"/>
    </xf>
    <xf numFmtId="0" fontId="82" fillId="0" borderId="1" xfId="6" applyFont="1" applyBorder="1"/>
    <xf numFmtId="3" fontId="76" fillId="0" borderId="1" xfId="6" applyNumberFormat="1" applyFont="1" applyBorder="1" applyAlignment="1">
      <alignment horizontal="right"/>
    </xf>
    <xf numFmtId="0" fontId="83" fillId="0" borderId="1" xfId="6" applyFont="1" applyBorder="1" applyAlignment="1">
      <alignment wrapText="1"/>
    </xf>
    <xf numFmtId="0" fontId="82" fillId="0" borderId="1" xfId="6" applyFont="1" applyBorder="1" applyAlignment="1">
      <alignment wrapText="1"/>
    </xf>
    <xf numFmtId="0" fontId="82" fillId="0" borderId="1" xfId="6" applyFont="1" applyBorder="1" applyAlignment="1">
      <alignment vertical="center" wrapText="1"/>
    </xf>
    <xf numFmtId="0" fontId="82" fillId="7" borderId="1" xfId="6" applyFont="1" applyFill="1" applyBorder="1" applyAlignment="1">
      <alignment vertical="center" wrapText="1"/>
    </xf>
    <xf numFmtId="3" fontId="79" fillId="7" borderId="1" xfId="6" applyNumberFormat="1" applyFont="1" applyFill="1" applyBorder="1" applyAlignment="1">
      <alignment horizontal="right"/>
    </xf>
    <xf numFmtId="0" fontId="82" fillId="8" borderId="2" xfId="6" applyFont="1" applyFill="1" applyBorder="1" applyAlignment="1">
      <alignment wrapText="1"/>
    </xf>
    <xf numFmtId="3" fontId="76" fillId="8" borderId="2" xfId="6" applyNumberFormat="1" applyFont="1" applyFill="1" applyBorder="1" applyAlignment="1">
      <alignment horizontal="right"/>
    </xf>
    <xf numFmtId="3" fontId="81" fillId="8" borderId="2" xfId="6" applyNumberFormat="1" applyFont="1" applyFill="1" applyBorder="1" applyAlignment="1">
      <alignment horizontal="right"/>
    </xf>
    <xf numFmtId="0" fontId="78" fillId="7" borderId="4" xfId="6" applyFont="1" applyFill="1" applyBorder="1"/>
    <xf numFmtId="3" fontId="82" fillId="7" borderId="5" xfId="6" applyNumberFormat="1" applyFont="1" applyFill="1" applyBorder="1" applyAlignment="1">
      <alignment horizontal="right"/>
    </xf>
    <xf numFmtId="3" fontId="82" fillId="7" borderId="6" xfId="6" applyNumberFormat="1" applyFont="1" applyFill="1" applyBorder="1" applyAlignment="1">
      <alignment horizontal="right"/>
    </xf>
    <xf numFmtId="3" fontId="77" fillId="0" borderId="0" xfId="6" applyNumberFormat="1" applyFont="1"/>
    <xf numFmtId="0" fontId="84" fillId="0" borderId="3" xfId="6" applyFont="1" applyBorder="1" applyAlignment="1">
      <alignment wrapText="1"/>
    </xf>
    <xf numFmtId="3" fontId="76" fillId="0" borderId="38" xfId="6" applyNumberFormat="1" applyFont="1" applyBorder="1"/>
    <xf numFmtId="3" fontId="76" fillId="0" borderId="39" xfId="6" applyNumberFormat="1" applyFont="1" applyBorder="1"/>
    <xf numFmtId="3" fontId="84" fillId="0" borderId="38" xfId="6" applyNumberFormat="1" applyFont="1" applyBorder="1"/>
    <xf numFmtId="3" fontId="84" fillId="0" borderId="39" xfId="6" applyNumberFormat="1" applyFont="1" applyBorder="1"/>
    <xf numFmtId="3" fontId="84" fillId="0" borderId="3" xfId="6" applyNumberFormat="1" applyFont="1" applyBorder="1" applyAlignment="1">
      <alignment horizontal="center"/>
    </xf>
    <xf numFmtId="3" fontId="79" fillId="0" borderId="17" xfId="6" applyNumberFormat="1" applyFont="1" applyBorder="1"/>
    <xf numFmtId="3" fontId="79" fillId="0" borderId="16" xfId="6" applyNumberFormat="1" applyFont="1" applyBorder="1"/>
    <xf numFmtId="3" fontId="82" fillId="0" borderId="1" xfId="6" applyNumberFormat="1" applyFont="1" applyBorder="1" applyAlignment="1">
      <alignment horizontal="center"/>
    </xf>
    <xf numFmtId="3" fontId="82" fillId="0" borderId="17" xfId="6" applyNumberFormat="1" applyFont="1" applyBorder="1"/>
    <xf numFmtId="3" fontId="82" fillId="0" borderId="16" xfId="6" applyNumberFormat="1" applyFont="1" applyBorder="1"/>
    <xf numFmtId="0" fontId="76" fillId="0" borderId="0" xfId="6" applyFont="1"/>
    <xf numFmtId="0" fontId="84" fillId="0" borderId="1" xfId="6" applyFont="1" applyBorder="1"/>
    <xf numFmtId="3" fontId="76" fillId="0" borderId="17" xfId="6" applyNumberFormat="1" applyFont="1" applyBorder="1"/>
    <xf numFmtId="3" fontId="76" fillId="0" borderId="16" xfId="6" applyNumberFormat="1" applyFont="1" applyBorder="1"/>
    <xf numFmtId="3" fontId="84" fillId="0" borderId="1" xfId="6" applyNumberFormat="1" applyFont="1" applyBorder="1" applyAlignment="1">
      <alignment horizontal="center"/>
    </xf>
    <xf numFmtId="3" fontId="84" fillId="0" borderId="17" xfId="6" applyNumberFormat="1" applyFont="1" applyBorder="1"/>
    <xf numFmtId="3" fontId="84" fillId="0" borderId="16" xfId="6" applyNumberFormat="1" applyFont="1" applyBorder="1"/>
    <xf numFmtId="3" fontId="84" fillId="0" borderId="0" xfId="6" applyNumberFormat="1" applyFont="1"/>
    <xf numFmtId="3" fontId="85" fillId="0" borderId="0" xfId="6" applyNumberFormat="1" applyFont="1"/>
    <xf numFmtId="0" fontId="76" fillId="0" borderId="0" xfId="6" applyFont="1" applyAlignment="1">
      <alignment wrapText="1"/>
    </xf>
    <xf numFmtId="3" fontId="79" fillId="0" borderId="0" xfId="6" applyNumberFormat="1" applyFont="1"/>
    <xf numFmtId="0" fontId="79" fillId="0" borderId="0" xfId="6" applyFont="1" applyAlignment="1">
      <alignment wrapText="1"/>
    </xf>
    <xf numFmtId="3" fontId="79" fillId="0" borderId="27" xfId="6" applyNumberFormat="1" applyFont="1" applyBorder="1"/>
    <xf numFmtId="3" fontId="79" fillId="0" borderId="25" xfId="6" applyNumberFormat="1" applyFont="1" applyBorder="1"/>
    <xf numFmtId="3" fontId="79" fillId="0" borderId="24" xfId="6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" fillId="0" borderId="3" xfId="0" applyNumberFormat="1" applyFont="1" applyBorder="1" applyAlignment="1">
      <alignment horizontal="right"/>
    </xf>
    <xf numFmtId="0" fontId="49" fillId="0" borderId="0" xfId="0" applyFont="1"/>
    <xf numFmtId="3" fontId="20" fillId="0" borderId="0" xfId="0" applyNumberFormat="1" applyFont="1"/>
    <xf numFmtId="3" fontId="5" fillId="0" borderId="2" xfId="0" applyNumberFormat="1" applyFont="1" applyBorder="1"/>
    <xf numFmtId="3" fontId="86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1" xfId="0" applyFont="1" applyBorder="1"/>
    <xf numFmtId="0" fontId="3" fillId="0" borderId="11" xfId="0" applyFont="1" applyBorder="1"/>
    <xf numFmtId="0" fontId="33" fillId="0" borderId="11" xfId="0" applyFont="1" applyBorder="1"/>
    <xf numFmtId="0" fontId="33" fillId="0" borderId="1" xfId="0" applyFont="1" applyBorder="1" applyAlignment="1">
      <alignment horizontal="left" vertical="center" wrapText="1"/>
    </xf>
    <xf numFmtId="0" fontId="33" fillId="0" borderId="0" xfId="0" applyFont="1"/>
    <xf numFmtId="0" fontId="44" fillId="0" borderId="0" xfId="0" applyFont="1"/>
    <xf numFmtId="0" fontId="3" fillId="0" borderId="40" xfId="0" applyFont="1" applyBorder="1"/>
    <xf numFmtId="0" fontId="3" fillId="5" borderId="27" xfId="0" applyFont="1" applyFill="1" applyBorder="1"/>
    <xf numFmtId="3" fontId="10" fillId="5" borderId="5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14" fillId="0" borderId="1" xfId="0" applyFont="1" applyBorder="1"/>
    <xf numFmtId="0" fontId="10" fillId="5" borderId="4" xfId="0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5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33" fillId="0" borderId="12" xfId="0" applyNumberFormat="1" applyFont="1" applyBorder="1" applyAlignment="1">
      <alignment horizontal="right"/>
    </xf>
    <xf numFmtId="3" fontId="4" fillId="0" borderId="10" xfId="0" applyNumberFormat="1" applyFont="1" applyBorder="1"/>
    <xf numFmtId="3" fontId="14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" fillId="0" borderId="7" xfId="0" applyNumberFormat="1" applyFont="1" applyBorder="1"/>
    <xf numFmtId="3" fontId="3" fillId="0" borderId="18" xfId="0" applyNumberFormat="1" applyFont="1" applyBorder="1"/>
    <xf numFmtId="3" fontId="10" fillId="5" borderId="41" xfId="0" applyNumberFormat="1" applyFont="1" applyFill="1" applyBorder="1"/>
    <xf numFmtId="3" fontId="3" fillId="9" borderId="1" xfId="0" applyNumberFormat="1" applyFont="1" applyFill="1" applyBorder="1"/>
    <xf numFmtId="0" fontId="26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4" fillId="5" borderId="41" xfId="0" applyFont="1" applyFill="1" applyBorder="1" applyAlignment="1">
      <alignment horizontal="center" vertical="center" wrapText="1"/>
    </xf>
    <xf numFmtId="3" fontId="10" fillId="5" borderId="41" xfId="0" applyNumberFormat="1" applyFont="1" applyFill="1" applyBorder="1" applyAlignment="1">
      <alignment vertical="center"/>
    </xf>
    <xf numFmtId="0" fontId="13" fillId="6" borderId="0" xfId="0" applyFont="1" applyFill="1"/>
    <xf numFmtId="0" fontId="13" fillId="0" borderId="1" xfId="0" applyFont="1" applyBorder="1"/>
    <xf numFmtId="0" fontId="13" fillId="9" borderId="19" xfId="0" applyFont="1" applyFill="1" applyBorder="1"/>
    <xf numFmtId="0" fontId="74" fillId="6" borderId="0" xfId="0" applyFont="1" applyFill="1" applyAlignment="1">
      <alignment horizontal="center"/>
    </xf>
    <xf numFmtId="3" fontId="25" fillId="9" borderId="24" xfId="0" applyNumberFormat="1" applyFont="1" applyFill="1" applyBorder="1"/>
    <xf numFmtId="3" fontId="3" fillId="9" borderId="1" xfId="0" applyNumberFormat="1" applyFont="1" applyFill="1" applyBorder="1" applyAlignment="1">
      <alignment horizontal="right" vertical="center"/>
    </xf>
    <xf numFmtId="3" fontId="3" fillId="9" borderId="25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86" fillId="9" borderId="1" xfId="0" applyNumberFormat="1" applyFont="1" applyFill="1" applyBorder="1" applyAlignment="1">
      <alignment horizontal="right"/>
    </xf>
    <xf numFmtId="3" fontId="3" fillId="10" borderId="0" xfId="0" applyNumberFormat="1" applyFont="1" applyFill="1"/>
    <xf numFmtId="0" fontId="3" fillId="10" borderId="1" xfId="0" applyFont="1" applyFill="1" applyBorder="1"/>
    <xf numFmtId="0" fontId="23" fillId="6" borderId="0" xfId="0" applyFont="1" applyFill="1"/>
    <xf numFmtId="3" fontId="8" fillId="0" borderId="1" xfId="0" applyNumberFormat="1" applyFont="1" applyBorder="1" applyAlignment="1">
      <alignment horizontal="center"/>
    </xf>
    <xf numFmtId="0" fontId="26" fillId="8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18" fillId="0" borderId="0" xfId="0" applyNumberFormat="1" applyFont="1"/>
    <xf numFmtId="0" fontId="4" fillId="0" borderId="0" xfId="0" applyFont="1" applyAlignment="1">
      <alignment vertical="center"/>
    </xf>
    <xf numFmtId="0" fontId="22" fillId="0" borderId="0" xfId="0" applyFont="1"/>
    <xf numFmtId="3" fontId="22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3" fontId="33" fillId="0" borderId="5" xfId="0" applyNumberFormat="1" applyFont="1" applyBorder="1" applyAlignment="1">
      <alignment horizontal="right"/>
    </xf>
    <xf numFmtId="0" fontId="5" fillId="11" borderId="1" xfId="0" applyFont="1" applyFill="1" applyBorder="1"/>
    <xf numFmtId="3" fontId="4" fillId="11" borderId="1" xfId="0" applyNumberFormat="1" applyFont="1" applyFill="1" applyBorder="1"/>
    <xf numFmtId="3" fontId="5" fillId="11" borderId="1" xfId="0" applyNumberFormat="1" applyFont="1" applyFill="1" applyBorder="1" applyAlignment="1">
      <alignment horizontal="right"/>
    </xf>
    <xf numFmtId="3" fontId="87" fillId="0" borderId="0" xfId="0" applyNumberFormat="1" applyFont="1"/>
    <xf numFmtId="3" fontId="3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8" fillId="0" borderId="0" xfId="0" applyNumberFormat="1" applyFont="1"/>
    <xf numFmtId="3" fontId="10" fillId="5" borderId="41" xfId="0" applyNumberFormat="1" applyFont="1" applyFill="1" applyBorder="1" applyAlignment="1">
      <alignment horizontal="right"/>
    </xf>
    <xf numFmtId="3" fontId="39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3" fontId="71" fillId="0" borderId="0" xfId="0" applyNumberFormat="1" applyFont="1"/>
    <xf numFmtId="3" fontId="89" fillId="0" borderId="0" xfId="0" applyNumberFormat="1" applyFont="1" applyAlignment="1">
      <alignment horizontal="center"/>
    </xf>
    <xf numFmtId="3" fontId="71" fillId="0" borderId="0" xfId="1" applyNumberFormat="1" applyFont="1" applyFill="1"/>
    <xf numFmtId="3" fontId="3" fillId="0" borderId="2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 vertical="center" wrapText="1"/>
    </xf>
    <xf numFmtId="1" fontId="39" fillId="7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6" fillId="0" borderId="42" xfId="0" applyNumberFormat="1" applyFont="1" applyBorder="1" applyAlignment="1">
      <alignment vertical="center"/>
    </xf>
    <xf numFmtId="3" fontId="6" fillId="0" borderId="7" xfId="2" applyNumberFormat="1" applyFont="1" applyFill="1" applyBorder="1" applyAlignment="1">
      <alignment horizontal="right" vertical="center"/>
    </xf>
    <xf numFmtId="3" fontId="3" fillId="0" borderId="7" xfId="2" applyNumberFormat="1" applyFont="1" applyFill="1" applyBorder="1" applyAlignment="1">
      <alignment horizontal="right" vertical="center"/>
    </xf>
    <xf numFmtId="3" fontId="3" fillId="8" borderId="7" xfId="0" applyNumberFormat="1" applyFont="1" applyFill="1" applyBorder="1" applyAlignment="1">
      <alignment horizontal="right" vertical="center" wrapText="1"/>
    </xf>
    <xf numFmtId="3" fontId="4" fillId="7" borderId="6" xfId="0" applyNumberFormat="1" applyFont="1" applyFill="1" applyBorder="1" applyAlignment="1">
      <alignment horizontal="right" vertical="center" wrapText="1"/>
    </xf>
    <xf numFmtId="3" fontId="64" fillId="0" borderId="0" xfId="0" applyNumberFormat="1" applyFont="1" applyAlignment="1">
      <alignment vertical="center"/>
    </xf>
    <xf numFmtId="3" fontId="86" fillId="0" borderId="0" xfId="0" applyNumberFormat="1" applyFont="1"/>
    <xf numFmtId="0" fontId="3" fillId="0" borderId="43" xfId="0" applyFont="1" applyBorder="1"/>
    <xf numFmtId="3" fontId="3" fillId="0" borderId="12" xfId="0" applyNumberFormat="1" applyFont="1" applyBorder="1" applyAlignment="1">
      <alignment horizontal="right" vertical="center"/>
    </xf>
    <xf numFmtId="0" fontId="3" fillId="0" borderId="9" xfId="0" applyFont="1" applyBorder="1"/>
    <xf numFmtId="0" fontId="6" fillId="0" borderId="11" xfId="0" applyFont="1" applyBorder="1" applyAlignment="1">
      <alignment wrapText="1"/>
    </xf>
    <xf numFmtId="3" fontId="23" fillId="6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/>
    </xf>
    <xf numFmtId="0" fontId="3" fillId="0" borderId="16" xfId="0" applyFont="1" applyBorder="1"/>
    <xf numFmtId="0" fontId="23" fillId="6" borderId="0" xfId="0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3" fontId="3" fillId="0" borderId="40" xfId="0" applyNumberFormat="1" applyFont="1" applyBorder="1" applyAlignment="1">
      <alignment horizontal="left" vertical="center" wrapText="1"/>
    </xf>
    <xf numFmtId="3" fontId="18" fillId="8" borderId="4" xfId="0" applyNumberFormat="1" applyFont="1" applyFill="1" applyBorder="1" applyAlignment="1">
      <alignment horizontal="left" vertical="center" wrapText="1"/>
    </xf>
    <xf numFmtId="3" fontId="16" fillId="0" borderId="18" xfId="0" applyNumberFormat="1" applyFont="1" applyBorder="1" applyAlignment="1">
      <alignment wrapText="1"/>
    </xf>
    <xf numFmtId="0" fontId="23" fillId="0" borderId="16" xfId="0" applyFont="1" applyBorder="1"/>
    <xf numFmtId="0" fontId="23" fillId="0" borderId="16" xfId="0" applyFont="1" applyBorder="1" applyAlignment="1">
      <alignment wrapText="1"/>
    </xf>
    <xf numFmtId="3" fontId="16" fillId="0" borderId="0" xfId="0" applyNumberFormat="1" applyFont="1" applyAlignment="1">
      <alignment horizontal="center" wrapText="1"/>
    </xf>
    <xf numFmtId="3" fontId="13" fillId="10" borderId="0" xfId="0" applyNumberFormat="1" applyFont="1" applyFill="1"/>
    <xf numFmtId="0" fontId="26" fillId="7" borderId="19" xfId="0" applyFont="1" applyFill="1" applyBorder="1" applyAlignment="1">
      <alignment vertical="center" wrapText="1"/>
    </xf>
    <xf numFmtId="0" fontId="26" fillId="7" borderId="24" xfId="0" applyFont="1" applyFill="1" applyBorder="1" applyAlignment="1">
      <alignment vertical="center" wrapText="1"/>
    </xf>
    <xf numFmtId="0" fontId="6" fillId="9" borderId="1" xfId="0" applyFont="1" applyFill="1" applyBorder="1"/>
    <xf numFmtId="3" fontId="32" fillId="0" borderId="0" xfId="0" applyNumberFormat="1" applyFont="1" applyAlignment="1">
      <alignment wrapText="1"/>
    </xf>
    <xf numFmtId="0" fontId="32" fillId="0" borderId="0" xfId="0" applyFont="1"/>
    <xf numFmtId="3" fontId="46" fillId="0" borderId="0" xfId="0" applyNumberFormat="1" applyFont="1"/>
    <xf numFmtId="4" fontId="13" fillId="0" borderId="0" xfId="0" applyNumberFormat="1" applyFont="1"/>
    <xf numFmtId="0" fontId="90" fillId="0" borderId="0" xfId="0" applyFont="1"/>
    <xf numFmtId="3" fontId="32" fillId="0" borderId="0" xfId="0" applyNumberFormat="1" applyFont="1" applyAlignment="1">
      <alignment horizontal="right"/>
    </xf>
    <xf numFmtId="3" fontId="3" fillId="0" borderId="0" xfId="0" applyNumberFormat="1" applyFont="1" applyAlignment="1">
      <alignment wrapText="1"/>
    </xf>
    <xf numFmtId="0" fontId="53" fillId="0" borderId="1" xfId="0" applyFont="1" applyBorder="1"/>
    <xf numFmtId="0" fontId="21" fillId="0" borderId="1" xfId="0" applyFont="1" applyBorder="1" applyAlignment="1">
      <alignment wrapText="1"/>
    </xf>
    <xf numFmtId="3" fontId="6" fillId="8" borderId="3" xfId="0" applyNumberFormat="1" applyFont="1" applyFill="1" applyBorder="1"/>
    <xf numFmtId="3" fontId="3" fillId="8" borderId="1" xfId="0" applyNumberFormat="1" applyFont="1" applyFill="1" applyBorder="1"/>
    <xf numFmtId="0" fontId="3" fillId="0" borderId="2" xfId="0" applyFont="1" applyBorder="1" applyAlignment="1">
      <alignment wrapText="1"/>
    </xf>
    <xf numFmtId="3" fontId="53" fillId="0" borderId="1" xfId="0" applyNumberFormat="1" applyFont="1" applyBorder="1"/>
    <xf numFmtId="0" fontId="91" fillId="0" borderId="1" xfId="0" applyFont="1" applyBorder="1" applyAlignment="1">
      <alignment wrapText="1"/>
    </xf>
    <xf numFmtId="0" fontId="2" fillId="6" borderId="0" xfId="14" applyFill="1"/>
    <xf numFmtId="0" fontId="2" fillId="0" borderId="0" xfId="14"/>
    <xf numFmtId="3" fontId="3" fillId="6" borderId="0" xfId="14" applyNumberFormat="1" applyFont="1" applyFill="1" applyAlignment="1">
      <alignment horizontal="right"/>
    </xf>
    <xf numFmtId="0" fontId="3" fillId="12" borderId="0" xfId="14" applyFont="1" applyFill="1"/>
    <xf numFmtId="0" fontId="3" fillId="6" borderId="0" xfId="14" applyFont="1" applyFill="1"/>
    <xf numFmtId="0" fontId="6" fillId="0" borderId="1" xfId="14" applyFont="1" applyBorder="1" applyAlignment="1">
      <alignment horizontal="center" vertical="center" wrapText="1"/>
    </xf>
    <xf numFmtId="3" fontId="6" fillId="0" borderId="1" xfId="14" applyNumberFormat="1" applyFont="1" applyBorder="1" applyAlignment="1">
      <alignment vertical="center" wrapText="1"/>
    </xf>
    <xf numFmtId="0" fontId="6" fillId="0" borderId="1" xfId="14" applyFont="1" applyBorder="1" applyAlignment="1">
      <alignment horizontal="left" vertical="center"/>
    </xf>
    <xf numFmtId="3" fontId="6" fillId="0" borderId="1" xfId="14" applyNumberFormat="1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3" fillId="0" borderId="1" xfId="14" applyFont="1" applyBorder="1" applyAlignment="1">
      <alignment horizontal="left" vertical="center" indent="1"/>
    </xf>
    <xf numFmtId="3" fontId="3" fillId="0" borderId="1" xfId="14" applyNumberFormat="1" applyFont="1" applyBorder="1" applyAlignment="1">
      <alignment vertical="center"/>
    </xf>
    <xf numFmtId="0" fontId="3" fillId="0" borderId="1" xfId="14" applyFont="1" applyBorder="1" applyAlignment="1">
      <alignment horizontal="left" vertical="center" wrapText="1" inden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left" indent="2"/>
    </xf>
    <xf numFmtId="3" fontId="3" fillId="0" borderId="1" xfId="14" applyNumberFormat="1" applyFont="1" applyBorder="1"/>
    <xf numFmtId="0" fontId="3" fillId="0" borderId="1" xfId="14" applyFont="1" applyBorder="1" applyAlignment="1">
      <alignment horizontal="left" vertical="center" indent="3"/>
    </xf>
    <xf numFmtId="0" fontId="3" fillId="0" borderId="1" xfId="14" applyFont="1" applyBorder="1" applyAlignment="1">
      <alignment horizontal="left" vertical="center"/>
    </xf>
    <xf numFmtId="3" fontId="3" fillId="0" borderId="1" xfId="14" applyNumberFormat="1" applyFont="1" applyBorder="1" applyAlignment="1">
      <alignment horizontal="center" vertical="center"/>
    </xf>
    <xf numFmtId="3" fontId="3" fillId="0" borderId="3" xfId="14" applyNumberFormat="1" applyFont="1" applyBorder="1" applyAlignment="1">
      <alignment horizontal="right" vertical="center"/>
    </xf>
    <xf numFmtId="3" fontId="95" fillId="0" borderId="1" xfId="0" applyNumberFormat="1" applyFont="1" applyBorder="1" applyAlignment="1">
      <alignment horizontal="right"/>
    </xf>
    <xf numFmtId="3" fontId="95" fillId="0" borderId="1" xfId="0" applyNumberFormat="1" applyFont="1" applyBorder="1"/>
    <xf numFmtId="3" fontId="13" fillId="0" borderId="0" xfId="1" applyNumberFormat="1" applyFont="1" applyFill="1"/>
    <xf numFmtId="3" fontId="23" fillId="6" borderId="0" xfId="0" applyNumberFormat="1" applyFont="1" applyFill="1" applyAlignment="1">
      <alignment horizontal="right"/>
    </xf>
    <xf numFmtId="3" fontId="33" fillId="0" borderId="25" xfId="0" applyNumberFormat="1" applyFont="1" applyBorder="1" applyAlignment="1">
      <alignment horizontal="right"/>
    </xf>
    <xf numFmtId="3" fontId="33" fillId="0" borderId="41" xfId="0" applyNumberFormat="1" applyFont="1" applyBorder="1" applyAlignment="1">
      <alignment horizontal="right"/>
    </xf>
    <xf numFmtId="0" fontId="24" fillId="0" borderId="0" xfId="0" applyFont="1"/>
    <xf numFmtId="3" fontId="8" fillId="0" borderId="1" xfId="0" applyNumberFormat="1" applyFont="1" applyBorder="1"/>
    <xf numFmtId="3" fontId="64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/>
    <xf numFmtId="3" fontId="76" fillId="0" borderId="1" xfId="0" applyNumberFormat="1" applyFont="1" applyBorder="1" applyAlignment="1">
      <alignment horizontal="right" vertical="center"/>
    </xf>
    <xf numFmtId="3" fontId="79" fillId="0" borderId="1" xfId="0" applyNumberFormat="1" applyFont="1" applyBorder="1"/>
    <xf numFmtId="3" fontId="3" fillId="0" borderId="0" xfId="1" applyNumberFormat="1" applyFont="1"/>
    <xf numFmtId="0" fontId="33" fillId="0" borderId="1" xfId="0" applyFont="1" applyBorder="1" applyAlignment="1">
      <alignment wrapText="1"/>
    </xf>
    <xf numFmtId="3" fontId="76" fillId="0" borderId="1" xfId="0" applyNumberFormat="1" applyFont="1" applyBorder="1" applyAlignment="1">
      <alignment horizontal="right"/>
    </xf>
    <xf numFmtId="3" fontId="3" fillId="9" borderId="2" xfId="0" applyNumberFormat="1" applyFont="1" applyFill="1" applyBorder="1" applyAlignment="1">
      <alignment horizontal="right"/>
    </xf>
    <xf numFmtId="0" fontId="96" fillId="0" borderId="0" xfId="0" applyFont="1"/>
    <xf numFmtId="3" fontId="3" fillId="0" borderId="0" xfId="0" applyNumberFormat="1" applyFont="1" applyAlignment="1">
      <alignment horizontal="left"/>
    </xf>
    <xf numFmtId="3" fontId="3" fillId="0" borderId="25" xfId="0" applyNumberFormat="1" applyFont="1" applyBorder="1" applyAlignment="1">
      <alignment horizontal="right"/>
    </xf>
    <xf numFmtId="0" fontId="97" fillId="0" borderId="17" xfId="0" applyFont="1" applyBorder="1"/>
    <xf numFmtId="0" fontId="14" fillId="7" borderId="2" xfId="0" applyFont="1" applyFill="1" applyBorder="1"/>
    <xf numFmtId="3" fontId="14" fillId="7" borderId="1" xfId="0" applyNumberFormat="1" applyFont="1" applyFill="1" applyBorder="1"/>
    <xf numFmtId="3" fontId="14" fillId="7" borderId="2" xfId="0" applyNumberFormat="1" applyFont="1" applyFill="1" applyBorder="1"/>
    <xf numFmtId="3" fontId="98" fillId="0" borderId="0" xfId="0" applyNumberFormat="1" applyFont="1" applyAlignment="1">
      <alignment horizontal="center"/>
    </xf>
    <xf numFmtId="0" fontId="53" fillId="6" borderId="0" xfId="0" applyFont="1" applyFill="1"/>
    <xf numFmtId="0" fontId="21" fillId="6" borderId="0" xfId="0" applyFont="1" applyFill="1" applyAlignment="1">
      <alignment horizontal="right"/>
    </xf>
    <xf numFmtId="0" fontId="67" fillId="8" borderId="44" xfId="0" applyFont="1" applyFill="1" applyBorder="1" applyAlignment="1">
      <alignment horizontal="center" vertical="center" wrapText="1"/>
    </xf>
    <xf numFmtId="0" fontId="67" fillId="8" borderId="37" xfId="0" applyFont="1" applyFill="1" applyBorder="1" applyAlignment="1">
      <alignment horizontal="center" vertical="center" wrapText="1"/>
    </xf>
    <xf numFmtId="0" fontId="67" fillId="8" borderId="45" xfId="0" applyFont="1" applyFill="1" applyBorder="1" applyAlignment="1">
      <alignment horizontal="center" vertical="center" wrapText="1"/>
    </xf>
    <xf numFmtId="0" fontId="67" fillId="8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8" fillId="0" borderId="0" xfId="0" applyNumberFormat="1" applyFont="1" applyAlignment="1">
      <alignment horizontal="center" vertical="center" wrapText="1"/>
    </xf>
    <xf numFmtId="0" fontId="53" fillId="8" borderId="46" xfId="0" applyFont="1" applyFill="1" applyBorder="1"/>
    <xf numFmtId="3" fontId="0" fillId="0" borderId="31" xfId="0" applyNumberFormat="1" applyBorder="1"/>
    <xf numFmtId="3" fontId="21" fillId="0" borderId="16" xfId="0" applyNumberFormat="1" applyFont="1" applyBorder="1"/>
    <xf numFmtId="3" fontId="21" fillId="0" borderId="3" xfId="0" applyNumberFormat="1" applyFont="1" applyBorder="1"/>
    <xf numFmtId="3" fontId="0" fillId="0" borderId="3" xfId="0" applyNumberFormat="1" applyBorder="1"/>
    <xf numFmtId="3" fontId="0" fillId="0" borderId="47" xfId="0" applyNumberFormat="1" applyBorder="1"/>
    <xf numFmtId="3" fontId="53" fillId="0" borderId="31" xfId="0" applyNumberFormat="1" applyFont="1" applyBorder="1"/>
    <xf numFmtId="0" fontId="53" fillId="0" borderId="49" xfId="0" applyFont="1" applyBorder="1"/>
    <xf numFmtId="3" fontId="0" fillId="0" borderId="28" xfId="0" applyNumberFormat="1" applyBorder="1"/>
    <xf numFmtId="3" fontId="0" fillId="0" borderId="48" xfId="0" applyNumberFormat="1" applyBorder="1"/>
    <xf numFmtId="3" fontId="53" fillId="8" borderId="31" xfId="0" applyNumberFormat="1" applyFont="1" applyFill="1" applyBorder="1"/>
    <xf numFmtId="3" fontId="22" fillId="0" borderId="49" xfId="0" applyNumberFormat="1" applyFont="1" applyBorder="1"/>
    <xf numFmtId="3" fontId="0" fillId="8" borderId="49" xfId="0" applyNumberFormat="1" applyFill="1" applyBorder="1"/>
    <xf numFmtId="1" fontId="21" fillId="0" borderId="0" xfId="0" applyNumberFormat="1" applyFont="1"/>
    <xf numFmtId="0" fontId="53" fillId="8" borderId="43" xfId="0" applyFont="1" applyFill="1" applyBorder="1"/>
    <xf numFmtId="0" fontId="53" fillId="0" borderId="32" xfId="0" applyFont="1" applyBorder="1"/>
    <xf numFmtId="3" fontId="22" fillId="0" borderId="32" xfId="0" applyNumberFormat="1" applyFont="1" applyBorder="1"/>
    <xf numFmtId="3" fontId="0" fillId="8" borderId="32" xfId="0" applyNumberFormat="1" applyFill="1" applyBorder="1"/>
    <xf numFmtId="0" fontId="21" fillId="0" borderId="0" xfId="0" applyFont="1"/>
    <xf numFmtId="6" fontId="0" fillId="0" borderId="0" xfId="0" applyNumberFormat="1"/>
    <xf numFmtId="0" fontId="69" fillId="0" borderId="0" xfId="0" applyFont="1"/>
    <xf numFmtId="3" fontId="53" fillId="0" borderId="32" xfId="0" applyNumberFormat="1" applyFont="1" applyBorder="1"/>
    <xf numFmtId="3" fontId="0" fillId="0" borderId="16" xfId="0" applyNumberFormat="1" applyBorder="1"/>
    <xf numFmtId="3" fontId="21" fillId="0" borderId="1" xfId="0" applyNumberFormat="1" applyFont="1" applyBorder="1"/>
    <xf numFmtId="3" fontId="53" fillId="8" borderId="32" xfId="0" applyNumberFormat="1" applyFont="1" applyFill="1" applyBorder="1"/>
    <xf numFmtId="0" fontId="53" fillId="8" borderId="17" xfId="0" applyFont="1" applyFill="1" applyBorder="1"/>
    <xf numFmtId="3" fontId="0" fillId="0" borderId="32" xfId="0" applyNumberFormat="1" applyBorder="1"/>
    <xf numFmtId="3" fontId="0" fillId="0" borderId="17" xfId="0" applyNumberFormat="1" applyBorder="1"/>
    <xf numFmtId="0" fontId="53" fillId="8" borderId="32" xfId="0" applyFont="1" applyFill="1" applyBorder="1"/>
    <xf numFmtId="0" fontId="53" fillId="8" borderId="50" xfId="0" applyFont="1" applyFill="1" applyBorder="1"/>
    <xf numFmtId="3" fontId="53" fillId="8" borderId="51" xfId="0" applyNumberFormat="1" applyFont="1" applyFill="1" applyBorder="1"/>
    <xf numFmtId="3" fontId="53" fillId="8" borderId="44" xfId="0" applyNumberFormat="1" applyFont="1" applyFill="1" applyBorder="1"/>
    <xf numFmtId="3" fontId="53" fillId="8" borderId="37" xfId="0" applyNumberFormat="1" applyFont="1" applyFill="1" applyBorder="1"/>
    <xf numFmtId="3" fontId="53" fillId="8" borderId="52" xfId="0" applyNumberFormat="1" applyFont="1" applyFill="1" applyBorder="1"/>
    <xf numFmtId="0" fontId="53" fillId="8" borderId="51" xfId="0" applyFont="1" applyFill="1" applyBorder="1"/>
    <xf numFmtId="3" fontId="53" fillId="8" borderId="45" xfId="0" applyNumberFormat="1" applyFont="1" applyFill="1" applyBorder="1"/>
    <xf numFmtId="3" fontId="68" fillId="8" borderId="51" xfId="0" applyNumberFormat="1" applyFont="1" applyFill="1" applyBorder="1"/>
    <xf numFmtId="3" fontId="53" fillId="8" borderId="33" xfId="0" applyNumberFormat="1" applyFont="1" applyFill="1" applyBorder="1"/>
    <xf numFmtId="0" fontId="53" fillId="0" borderId="0" xfId="0" applyFont="1"/>
    <xf numFmtId="3" fontId="22" fillId="6" borderId="0" xfId="0" applyNumberFormat="1" applyFont="1" applyFill="1"/>
    <xf numFmtId="3" fontId="53" fillId="0" borderId="0" xfId="0" applyNumberFormat="1" applyFont="1"/>
    <xf numFmtId="3" fontId="68" fillId="0" borderId="0" xfId="0" applyNumberFormat="1" applyFont="1"/>
    <xf numFmtId="1" fontId="0" fillId="0" borderId="0" xfId="0" applyNumberFormat="1"/>
    <xf numFmtId="3" fontId="21" fillId="0" borderId="10" xfId="0" applyNumberFormat="1" applyFont="1" applyBorder="1"/>
    <xf numFmtId="3" fontId="22" fillId="0" borderId="10" xfId="0" applyNumberFormat="1" applyFont="1" applyBorder="1"/>
    <xf numFmtId="3" fontId="22" fillId="0" borderId="12" xfId="0" applyNumberFormat="1" applyFont="1" applyBorder="1"/>
    <xf numFmtId="3" fontId="53" fillId="8" borderId="53" xfId="0" applyNumberFormat="1" applyFont="1" applyFill="1" applyBorder="1"/>
    <xf numFmtId="3" fontId="68" fillId="8" borderId="53" xfId="0" applyNumberFormat="1" applyFont="1" applyFill="1" applyBorder="1"/>
    <xf numFmtId="3" fontId="53" fillId="9" borderId="31" xfId="0" applyNumberFormat="1" applyFont="1" applyFill="1" applyBorder="1"/>
    <xf numFmtId="0" fontId="6" fillId="13" borderId="1" xfId="14" applyFont="1" applyFill="1" applyBorder="1" applyAlignment="1">
      <alignment horizontal="center" vertical="center" wrapText="1"/>
    </xf>
    <xf numFmtId="0" fontId="2" fillId="6" borderId="0" xfId="14" applyFill="1" applyAlignment="1">
      <alignment horizontal="right"/>
    </xf>
    <xf numFmtId="0" fontId="3" fillId="6" borderId="0" xfId="14" applyFont="1" applyFill="1" applyAlignment="1">
      <alignment horizontal="right"/>
    </xf>
    <xf numFmtId="0" fontId="2" fillId="13" borderId="1" xfId="14" applyFill="1" applyBorder="1" applyAlignment="1">
      <alignment horizontal="right"/>
    </xf>
    <xf numFmtId="0" fontId="94" fillId="0" borderId="1" xfId="14" applyFont="1" applyBorder="1" applyAlignment="1">
      <alignment horizontal="right"/>
    </xf>
    <xf numFmtId="49" fontId="94" fillId="0" borderId="1" xfId="14" applyNumberFormat="1" applyFont="1" applyBorder="1" applyAlignment="1">
      <alignment horizontal="right"/>
    </xf>
    <xf numFmtId="0" fontId="2" fillId="0" borderId="0" xfId="14" applyAlignment="1">
      <alignment horizontal="right"/>
    </xf>
    <xf numFmtId="3" fontId="48" fillId="0" borderId="0" xfId="0" applyNumberFormat="1" applyFont="1" applyAlignment="1">
      <alignment horizontal="right" vertical="center"/>
    </xf>
    <xf numFmtId="9" fontId="18" fillId="2" borderId="6" xfId="20" applyFont="1" applyFill="1" applyBorder="1"/>
    <xf numFmtId="3" fontId="9" fillId="0" borderId="1" xfId="0" applyNumberFormat="1" applyFont="1" applyBorder="1" applyAlignment="1">
      <alignment horizontal="right" vertical="center"/>
    </xf>
    <xf numFmtId="9" fontId="3" fillId="0" borderId="2" xfId="2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right" vertical="center"/>
    </xf>
    <xf numFmtId="3" fontId="10" fillId="5" borderId="30" xfId="0" applyNumberFormat="1" applyFont="1" applyFill="1" applyBorder="1" applyAlignment="1">
      <alignment horizontal="right"/>
    </xf>
    <xf numFmtId="3" fontId="33" fillId="9" borderId="19" xfId="0" applyNumberFormat="1" applyFont="1" applyFill="1" applyBorder="1" applyAlignment="1">
      <alignment horizontal="right"/>
    </xf>
    <xf numFmtId="3" fontId="4" fillId="5" borderId="30" xfId="0" applyNumberFormat="1" applyFont="1" applyFill="1" applyBorder="1" applyAlignment="1">
      <alignment horizontal="right"/>
    </xf>
    <xf numFmtId="0" fontId="19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5" fillId="5" borderId="2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0" fillId="0" borderId="0" xfId="0"/>
    <xf numFmtId="3" fontId="3" fillId="0" borderId="2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29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7" fillId="3" borderId="17" xfId="0" applyNumberFormat="1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38" xfId="0" applyNumberFormat="1" applyFont="1" applyFill="1" applyBorder="1" applyAlignment="1">
      <alignment horizontal="center" vertical="center" wrapText="1"/>
    </xf>
    <xf numFmtId="3" fontId="6" fillId="3" borderId="58" xfId="0" applyNumberFormat="1" applyFont="1" applyFill="1" applyBorder="1" applyAlignment="1">
      <alignment horizontal="center" vertical="center" wrapText="1"/>
    </xf>
    <xf numFmtId="3" fontId="6" fillId="3" borderId="39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top" wrapText="1"/>
    </xf>
    <xf numFmtId="0" fontId="19" fillId="6" borderId="0" xfId="0" applyFont="1" applyFill="1" applyAlignment="1">
      <alignment horizontal="center" vertical="top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6" fillId="7" borderId="60" xfId="0" applyFont="1" applyFill="1" applyBorder="1" applyAlignment="1">
      <alignment horizontal="center" vertical="center" wrapText="1"/>
    </xf>
    <xf numFmtId="0" fontId="26" fillId="7" borderId="61" xfId="0" applyFont="1" applyFill="1" applyBorder="1" applyAlignment="1">
      <alignment horizontal="center" vertical="center" wrapText="1"/>
    </xf>
    <xf numFmtId="0" fontId="26" fillId="7" borderId="62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/>
    </xf>
    <xf numFmtId="0" fontId="5" fillId="7" borderId="59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3" fontId="48" fillId="0" borderId="18" xfId="0" applyNumberFormat="1" applyFont="1" applyBorder="1" applyAlignment="1">
      <alignment horizontal="right" vertical="center"/>
    </xf>
    <xf numFmtId="0" fontId="40" fillId="2" borderId="0" xfId="0" applyFont="1" applyFill="1" applyAlignment="1">
      <alignment horizontal="center"/>
    </xf>
    <xf numFmtId="1" fontId="39" fillId="7" borderId="17" xfId="0" applyNumberFormat="1" applyFont="1" applyFill="1" applyBorder="1" applyAlignment="1">
      <alignment horizontal="center" vertical="center" wrapText="1"/>
    </xf>
    <xf numFmtId="1" fontId="39" fillId="7" borderId="1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3" fontId="39" fillId="7" borderId="35" xfId="0" applyNumberFormat="1" applyFont="1" applyFill="1" applyBorder="1" applyAlignment="1">
      <alignment horizontal="center" vertical="center" wrapText="1"/>
    </xf>
    <xf numFmtId="1" fontId="9" fillId="7" borderId="17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39" fillId="3" borderId="61" xfId="0" applyFont="1" applyFill="1" applyBorder="1" applyAlignment="1">
      <alignment horizontal="center" vertical="center" wrapText="1"/>
    </xf>
    <xf numFmtId="0" fontId="39" fillId="3" borderId="62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9" fillId="3" borderId="63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9" fillId="3" borderId="47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3" fontId="7" fillId="7" borderId="17" xfId="0" applyNumberFormat="1" applyFont="1" applyFill="1" applyBorder="1" applyAlignment="1">
      <alignment horizontal="center"/>
    </xf>
    <xf numFmtId="3" fontId="7" fillId="7" borderId="16" xfId="0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39" fillId="7" borderId="16" xfId="0" applyNumberFormat="1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/>
    </xf>
    <xf numFmtId="0" fontId="6" fillId="0" borderId="1" xfId="7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6" fillId="0" borderId="22" xfId="7" applyFont="1" applyBorder="1" applyAlignment="1">
      <alignment horizontal="center" vertical="center" wrapText="1"/>
    </xf>
    <xf numFmtId="0" fontId="6" fillId="0" borderId="23" xfId="7" applyFont="1" applyBorder="1" applyAlignment="1">
      <alignment horizontal="center" vertical="center" wrapText="1"/>
    </xf>
    <xf numFmtId="0" fontId="61" fillId="0" borderId="0" xfId="7" applyFont="1" applyAlignment="1">
      <alignment horizontal="center" vertical="center" wrapText="1"/>
    </xf>
    <xf numFmtId="0" fontId="61" fillId="0" borderId="0" xfId="7" applyFont="1" applyAlignment="1">
      <alignment horizontal="center" vertical="center"/>
    </xf>
    <xf numFmtId="0" fontId="58" fillId="0" borderId="1" xfId="7" applyFont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0" fontId="58" fillId="0" borderId="27" xfId="7" applyFont="1" applyBorder="1" applyAlignment="1">
      <alignment horizontal="center" vertical="center" wrapText="1"/>
    </xf>
    <xf numFmtId="0" fontId="58" fillId="0" borderId="19" xfId="7" applyFont="1" applyBorder="1" applyAlignment="1">
      <alignment horizontal="center" vertical="center" wrapText="1"/>
    </xf>
    <xf numFmtId="0" fontId="58" fillId="0" borderId="41" xfId="7" applyFont="1" applyBorder="1" applyAlignment="1">
      <alignment horizontal="center" vertical="center" wrapText="1"/>
    </xf>
    <xf numFmtId="0" fontId="56" fillId="0" borderId="3" xfId="7" applyFont="1" applyBorder="1" applyAlignment="1">
      <alignment horizontal="left" vertical="center" wrapText="1"/>
    </xf>
    <xf numFmtId="0" fontId="56" fillId="0" borderId="1" xfId="7" applyFont="1" applyBorder="1" applyAlignment="1">
      <alignment horizontal="left" vertical="center" wrapText="1"/>
    </xf>
    <xf numFmtId="0" fontId="3" fillId="0" borderId="15" xfId="7" applyFont="1" applyBorder="1" applyAlignment="1">
      <alignment horizontal="center" vertical="center" wrapText="1"/>
    </xf>
    <xf numFmtId="0" fontId="3" fillId="0" borderId="22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left" vertical="center" wrapText="1"/>
    </xf>
    <xf numFmtId="3" fontId="59" fillId="0" borderId="0" xfId="7" applyNumberFormat="1" applyFont="1" applyAlignment="1">
      <alignment horizontal="left" vertical="center" wrapText="1"/>
    </xf>
    <xf numFmtId="0" fontId="24" fillId="2" borderId="0" xfId="0" applyFont="1" applyFill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38" fillId="2" borderId="0" xfId="0" applyFont="1" applyFill="1" applyAlignment="1">
      <alignment horizontal="center" wrapText="1"/>
    </xf>
    <xf numFmtId="0" fontId="50" fillId="3" borderId="64" xfId="0" applyFont="1" applyFill="1" applyBorder="1" applyAlignment="1">
      <alignment horizontal="center" vertical="center" wrapText="1"/>
    </xf>
    <xf numFmtId="0" fontId="50" fillId="3" borderId="42" xfId="0" applyFont="1" applyFill="1" applyBorder="1" applyAlignment="1">
      <alignment horizontal="center" vertical="center" wrapText="1"/>
    </xf>
    <xf numFmtId="0" fontId="50" fillId="3" borderId="53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3" borderId="37" xfId="0" applyFont="1" applyFill="1" applyBorder="1" applyAlignment="1">
      <alignment horizontal="center" vertical="center" wrapText="1"/>
    </xf>
    <xf numFmtId="0" fontId="41" fillId="7" borderId="21" xfId="0" applyFont="1" applyFill="1" applyBorder="1" applyAlignment="1">
      <alignment horizontal="center" vertical="center" wrapText="1"/>
    </xf>
    <xf numFmtId="0" fontId="41" fillId="7" borderId="7" xfId="0" applyFont="1" applyFill="1" applyBorder="1" applyAlignment="1">
      <alignment horizontal="center" vertical="center" wrapText="1"/>
    </xf>
    <xf numFmtId="0" fontId="41" fillId="7" borderId="37" xfId="0" applyFont="1" applyFill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2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center" vertical="center" wrapText="1"/>
    </xf>
    <xf numFmtId="0" fontId="41" fillId="3" borderId="58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0" fontId="93" fillId="12" borderId="0" xfId="14" applyFont="1" applyFill="1" applyAlignment="1">
      <alignment horizontal="center" wrapText="1"/>
    </xf>
    <xf numFmtId="0" fontId="93" fillId="12" borderId="0" xfId="14" applyFont="1" applyFill="1" applyAlignment="1">
      <alignment horizontal="center"/>
    </xf>
    <xf numFmtId="0" fontId="68" fillId="8" borderId="49" xfId="0" applyFont="1" applyFill="1" applyBorder="1" applyAlignment="1">
      <alignment horizontal="center" vertical="center" wrapText="1"/>
    </xf>
    <xf numFmtId="0" fontId="68" fillId="8" borderId="33" xfId="0" applyFont="1" applyFill="1" applyBorder="1" applyAlignment="1">
      <alignment horizontal="center" vertical="center" wrapText="1"/>
    </xf>
    <xf numFmtId="0" fontId="53" fillId="8" borderId="65" xfId="0" applyFont="1" applyFill="1" applyBorder="1" applyAlignment="1">
      <alignment horizontal="center" vertical="center"/>
    </xf>
    <xf numFmtId="0" fontId="53" fillId="8" borderId="66" xfId="0" applyFont="1" applyFill="1" applyBorder="1" applyAlignment="1">
      <alignment horizontal="center" vertical="center"/>
    </xf>
    <xf numFmtId="0" fontId="67" fillId="8" borderId="49" xfId="0" applyFont="1" applyFill="1" applyBorder="1" applyAlignment="1">
      <alignment horizontal="center" vertical="center" wrapText="1"/>
    </xf>
    <xf numFmtId="0" fontId="67" fillId="8" borderId="33" xfId="0" applyFont="1" applyFill="1" applyBorder="1" applyAlignment="1">
      <alignment horizontal="center" vertical="center" wrapText="1"/>
    </xf>
    <xf numFmtId="0" fontId="53" fillId="8" borderId="59" xfId="0" applyFont="1" applyFill="1" applyBorder="1" applyAlignment="1">
      <alignment horizontal="center" vertical="center" wrapText="1"/>
    </xf>
    <xf numFmtId="0" fontId="53" fillId="8" borderId="51" xfId="0" applyFont="1" applyFill="1" applyBorder="1" applyAlignment="1">
      <alignment horizontal="center" vertical="center" wrapText="1"/>
    </xf>
    <xf numFmtId="0" fontId="22" fillId="8" borderId="59" xfId="0" applyFont="1" applyFill="1" applyBorder="1" applyAlignment="1">
      <alignment horizontal="center" vertical="center" wrapText="1"/>
    </xf>
    <xf numFmtId="0" fontId="22" fillId="8" borderId="51" xfId="0" applyFont="1" applyFill="1" applyBorder="1" applyAlignment="1">
      <alignment horizontal="center" vertical="center"/>
    </xf>
    <xf numFmtId="0" fontId="53" fillId="8" borderId="19" xfId="0" applyFont="1" applyFill="1" applyBorder="1" applyAlignment="1">
      <alignment horizontal="center"/>
    </xf>
    <xf numFmtId="0" fontId="53" fillId="8" borderId="49" xfId="0" applyFont="1" applyFill="1" applyBorder="1" applyAlignment="1">
      <alignment horizontal="center" vertical="center" wrapText="1"/>
    </xf>
    <xf numFmtId="0" fontId="53" fillId="8" borderId="33" xfId="0" applyFont="1" applyFill="1" applyBorder="1" applyAlignment="1">
      <alignment horizontal="center" vertical="center" wrapText="1"/>
    </xf>
    <xf numFmtId="0" fontId="53" fillId="8" borderId="67" xfId="0" applyFont="1" applyFill="1" applyBorder="1" applyAlignment="1">
      <alignment horizontal="center" vertical="center"/>
    </xf>
    <xf numFmtId="0" fontId="53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30" xfId="0" applyFont="1" applyFill="1" applyBorder="1" applyAlignment="1">
      <alignment horizontal="center"/>
    </xf>
    <xf numFmtId="0" fontId="68" fillId="8" borderId="68" xfId="0" applyFont="1" applyFill="1" applyBorder="1" applyAlignment="1">
      <alignment horizontal="center" vertical="center" wrapText="1"/>
    </xf>
    <xf numFmtId="0" fontId="68" fillId="8" borderId="6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76" fillId="0" borderId="3" xfId="6" applyNumberFormat="1" applyFont="1" applyBorder="1" applyAlignment="1">
      <alignment horizontal="right"/>
    </xf>
    <xf numFmtId="3" fontId="76" fillId="0" borderId="1" xfId="6" applyNumberFormat="1" applyFont="1" applyBorder="1" applyAlignment="1">
      <alignment horizontal="right"/>
    </xf>
    <xf numFmtId="3" fontId="84" fillId="0" borderId="48" xfId="6" applyNumberFormat="1" applyFont="1" applyBorder="1" applyAlignment="1">
      <alignment horizontal="center"/>
    </xf>
    <xf numFmtId="3" fontId="84" fillId="0" borderId="28" xfId="6" applyNumberFormat="1" applyFont="1" applyBorder="1" applyAlignment="1">
      <alignment horizontal="center"/>
    </xf>
    <xf numFmtId="0" fontId="92" fillId="6" borderId="0" xfId="6" applyFont="1" applyFill="1" applyAlignment="1">
      <alignment horizontal="center"/>
    </xf>
    <xf numFmtId="0" fontId="79" fillId="5" borderId="20" xfId="6" applyFont="1" applyFill="1" applyBorder="1" applyAlignment="1">
      <alignment horizontal="center" vertical="center" wrapText="1"/>
    </xf>
    <xf numFmtId="0" fontId="79" fillId="5" borderId="54" xfId="6" applyFont="1" applyFill="1" applyBorder="1" applyAlignment="1">
      <alignment horizontal="center" vertical="center"/>
    </xf>
    <xf numFmtId="0" fontId="79" fillId="5" borderId="38" xfId="6" applyFont="1" applyFill="1" applyBorder="1" applyAlignment="1">
      <alignment horizontal="center"/>
    </xf>
    <xf numFmtId="0" fontId="79" fillId="5" borderId="58" xfId="6" applyFont="1" applyFill="1" applyBorder="1" applyAlignment="1">
      <alignment horizontal="center"/>
    </xf>
    <xf numFmtId="0" fontId="79" fillId="5" borderId="39" xfId="6" applyFont="1" applyFill="1" applyBorder="1" applyAlignment="1">
      <alignment horizontal="center"/>
    </xf>
    <xf numFmtId="0" fontId="79" fillId="5" borderId="22" xfId="6" applyFont="1" applyFill="1" applyBorder="1" applyAlignment="1">
      <alignment horizontal="center"/>
    </xf>
    <xf numFmtId="0" fontId="79" fillId="5" borderId="23" xfId="6" applyFont="1" applyFill="1" applyBorder="1" applyAlignment="1">
      <alignment horizontal="center"/>
    </xf>
  </cellXfs>
  <cellStyles count="21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10" xfId="14" xr:uid="{00000000-0005-0000-0000-000004000000}"/>
    <cellStyle name="Normál 2" xfId="4" xr:uid="{00000000-0005-0000-0000-000005000000}"/>
    <cellStyle name="Normál 2 2" xfId="5" xr:uid="{00000000-0005-0000-0000-000006000000}"/>
    <cellStyle name="Normál 3" xfId="6" xr:uid="{00000000-0005-0000-0000-000007000000}"/>
    <cellStyle name="Normál 3 2" xfId="15" xr:uid="{866C60C3-5721-45A5-A6B5-2C466DF73881}"/>
    <cellStyle name="Normál 4" xfId="7" xr:uid="{00000000-0005-0000-0000-000008000000}"/>
    <cellStyle name="Normál 4 2" xfId="16" xr:uid="{E7E9F07C-538E-4EEE-96F2-4396D9BF9A81}"/>
    <cellStyle name="Normál 5" xfId="8" xr:uid="{00000000-0005-0000-0000-000009000000}"/>
    <cellStyle name="Normál 5 2" xfId="17" xr:uid="{5594764C-61F5-4714-863F-C55BE6B0BDD4}"/>
    <cellStyle name="Normál 6" xfId="9" xr:uid="{00000000-0005-0000-0000-00000A000000}"/>
    <cellStyle name="Normál 6 2" xfId="18" xr:uid="{A63B84FE-EEDC-4E23-89F5-F0940D297118}"/>
    <cellStyle name="Normál 7" xfId="10" xr:uid="{00000000-0005-0000-0000-00000B000000}"/>
    <cellStyle name="Normál 8" xfId="11" xr:uid="{00000000-0005-0000-0000-00000C000000}"/>
    <cellStyle name="Normál 9" xfId="12" xr:uid="{00000000-0005-0000-0000-00000D000000}"/>
    <cellStyle name="Normál 9 2" xfId="19" xr:uid="{A7BF3AF6-8BC7-4A16-9A59-AA65D926FFD2}"/>
    <cellStyle name="Normal_KARSZJ3" xfId="13" xr:uid="{00000000-0005-0000-0000-00000E000000}"/>
    <cellStyle name="Százalék" xfId="2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3\2023_TKT\2023_ktgvet&#233;s_TKT\TKT\01%20K&#246;lts&#233;gfeloszt&#225;s_2023_TKT.xls" TargetMode="External"/><Relationship Id="rId1" Type="http://schemas.openxmlformats.org/officeDocument/2006/relationships/externalLinkPath" Target="/2023/2023_TKT/2023_ktgvet&#233;s_TKT/TKT/01%20K&#246;lts&#233;gfeloszt&#225;s_2023_T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1"/>
      <sheetName val="házi segítségnyújtás bér"/>
    </sheetNames>
    <sheetDataSet>
      <sheetData sheetId="0">
        <row r="18">
          <cell r="H18">
            <v>0</v>
          </cell>
        </row>
      </sheetData>
      <sheetData sheetId="1"/>
      <sheetData sheetId="2">
        <row r="38">
          <cell r="F38">
            <v>3640</v>
          </cell>
        </row>
      </sheetData>
      <sheetData sheetId="3">
        <row r="18">
          <cell r="G18">
            <v>98</v>
          </cell>
        </row>
        <row r="31">
          <cell r="G31">
            <v>808</v>
          </cell>
        </row>
      </sheetData>
      <sheetData sheetId="4">
        <row r="20">
          <cell r="D20">
            <v>1150</v>
          </cell>
        </row>
        <row r="33">
          <cell r="D33">
            <v>2200</v>
          </cell>
        </row>
      </sheetData>
      <sheetData sheetId="5">
        <row r="9">
          <cell r="F9">
            <v>1178</v>
          </cell>
        </row>
      </sheetData>
      <sheetData sheetId="6">
        <row r="26">
          <cell r="E26">
            <v>15689</v>
          </cell>
        </row>
      </sheetData>
      <sheetData sheetId="7">
        <row r="27">
          <cell r="I27">
            <v>6439</v>
          </cell>
        </row>
      </sheetData>
      <sheetData sheetId="8"/>
      <sheetData sheetId="9">
        <row r="39">
          <cell r="B39">
            <v>2357</v>
          </cell>
        </row>
      </sheetData>
      <sheetData sheetId="10">
        <row r="41">
          <cell r="W41">
            <v>340</v>
          </cell>
        </row>
        <row r="57">
          <cell r="V57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50"/>
  <sheetViews>
    <sheetView tabSelected="1" topLeftCell="B1" zoomScaleNormal="100" workbookViewId="0">
      <selection activeCell="B71" sqref="B71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37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56"/>
      <c r="C1" s="34"/>
      <c r="D1" s="34"/>
      <c r="E1" s="34"/>
      <c r="F1" s="5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56"/>
      <c r="C2" s="758" t="s">
        <v>27</v>
      </c>
      <c r="D2" s="758"/>
      <c r="E2" s="758"/>
      <c r="F2" s="75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56"/>
      <c r="C3" s="758" t="s">
        <v>1310</v>
      </c>
      <c r="D3" s="758"/>
      <c r="E3" s="758"/>
      <c r="F3" s="75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56"/>
      <c r="C4" s="1"/>
      <c r="D4" s="1"/>
      <c r="E4" s="1"/>
      <c r="F4" s="57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760" t="s">
        <v>118</v>
      </c>
      <c r="C5" s="762" t="s">
        <v>769</v>
      </c>
      <c r="D5" s="764" t="s">
        <v>1052</v>
      </c>
      <c r="E5" s="762"/>
      <c r="F5" s="76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761"/>
      <c r="C6" s="763"/>
      <c r="D6" s="114" t="s">
        <v>44</v>
      </c>
      <c r="E6" s="45" t="s">
        <v>770</v>
      </c>
      <c r="F6" s="505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506" t="s">
        <v>119</v>
      </c>
      <c r="C7" s="226" t="s">
        <v>338</v>
      </c>
      <c r="D7" s="173">
        <f>SUM(D8+D31+D37+D42+D54+D57+D61)</f>
        <v>560734</v>
      </c>
      <c r="E7" s="173">
        <f>SUM(E8+E31+E37+E42+E54+E57+E61)</f>
        <v>310</v>
      </c>
      <c r="F7" s="519">
        <f>SUM(F8+F31+F37+F42+F54+F57+F61)</f>
        <v>561044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507" t="s">
        <v>120</v>
      </c>
      <c r="C8" s="23" t="s">
        <v>221</v>
      </c>
      <c r="D8" s="38">
        <f>SUM(D9:D30)</f>
        <v>38144</v>
      </c>
      <c r="E8" s="38">
        <f>SUM(E9:E30)</f>
        <v>0</v>
      </c>
      <c r="F8" s="520">
        <f>SUM(F9:F30)</f>
        <v>38144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2">
      <c r="B9" s="508" t="s">
        <v>210</v>
      </c>
      <c r="C9" s="603" t="s">
        <v>907</v>
      </c>
      <c r="D9" s="13">
        <v>8127</v>
      </c>
      <c r="E9" s="13"/>
      <c r="F9" s="521">
        <f>D9+E9</f>
        <v>8127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t="12" customHeight="1" x14ac:dyDescent="0.2">
      <c r="B10" s="508" t="s">
        <v>210</v>
      </c>
      <c r="C10" s="603" t="s">
        <v>1392</v>
      </c>
      <c r="D10" s="13">
        <v>3940</v>
      </c>
      <c r="E10" s="13"/>
      <c r="F10" s="521">
        <f>D10+E10</f>
        <v>3940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508" t="s">
        <v>210</v>
      </c>
      <c r="C11" s="603" t="s">
        <v>907</v>
      </c>
      <c r="D11" s="13"/>
      <c r="E11" s="13"/>
      <c r="F11" s="521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x14ac:dyDescent="0.2">
      <c r="B12" s="508" t="s">
        <v>211</v>
      </c>
      <c r="C12" s="603" t="s">
        <v>909</v>
      </c>
      <c r="D12" s="13">
        <v>11654</v>
      </c>
      <c r="E12" s="13"/>
      <c r="F12" s="521">
        <f t="shared" si="0"/>
        <v>11654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508" t="s">
        <v>211</v>
      </c>
      <c r="C13" s="603" t="s">
        <v>1393</v>
      </c>
      <c r="D13" s="13">
        <f>-700</f>
        <v>-700</v>
      </c>
      <c r="E13" s="13"/>
      <c r="F13" s="521">
        <f t="shared" si="0"/>
        <v>-700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508" t="s">
        <v>212</v>
      </c>
      <c r="C14" s="603" t="s">
        <v>1395</v>
      </c>
      <c r="D14" s="13">
        <f>696-52</f>
        <v>644</v>
      </c>
      <c r="E14" s="13"/>
      <c r="F14" s="521">
        <f t="shared" si="0"/>
        <v>644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x14ac:dyDescent="0.2">
      <c r="B15" s="508" t="s">
        <v>212</v>
      </c>
      <c r="C15" s="603" t="s">
        <v>910</v>
      </c>
      <c r="D15" s="13">
        <v>2877</v>
      </c>
      <c r="E15" s="13"/>
      <c r="F15" s="521">
        <f t="shared" si="0"/>
        <v>2877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508" t="s">
        <v>212</v>
      </c>
      <c r="C16" s="603" t="s">
        <v>1397</v>
      </c>
      <c r="D16" s="13">
        <v>11049</v>
      </c>
      <c r="E16" s="13"/>
      <c r="F16" s="521">
        <f t="shared" si="0"/>
        <v>11049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508" t="s">
        <v>212</v>
      </c>
      <c r="C17" s="603" t="s">
        <v>1394</v>
      </c>
      <c r="D17" s="13">
        <v>-2600</v>
      </c>
      <c r="E17" s="13"/>
      <c r="F17" s="521">
        <f t="shared" si="0"/>
        <v>-2600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idden="1" x14ac:dyDescent="0.2">
      <c r="B18" s="508" t="s">
        <v>212</v>
      </c>
      <c r="C18" s="603"/>
      <c r="D18" s="13"/>
      <c r="E18" s="13"/>
      <c r="F18" s="521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">
      <c r="B19" s="508" t="s">
        <v>212</v>
      </c>
      <c r="C19" s="603" t="s">
        <v>1396</v>
      </c>
      <c r="D19" s="13">
        <v>2659</v>
      </c>
      <c r="E19" s="13"/>
      <c r="F19" s="521">
        <f t="shared" si="0"/>
        <v>2659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508" t="s">
        <v>212</v>
      </c>
      <c r="C20" s="603" t="s">
        <v>1351</v>
      </c>
      <c r="D20" s="13"/>
      <c r="E20" s="13"/>
      <c r="F20" s="521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">
      <c r="B21" s="508" t="s">
        <v>213</v>
      </c>
      <c r="C21" s="603" t="s">
        <v>1398</v>
      </c>
      <c r="D21" s="13">
        <v>494</v>
      </c>
      <c r="E21" s="13"/>
      <c r="F21" s="521">
        <f t="shared" si="0"/>
        <v>494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idden="1" x14ac:dyDescent="0.2">
      <c r="B22" s="508" t="s">
        <v>214</v>
      </c>
      <c r="C22" s="603" t="s">
        <v>1352</v>
      </c>
      <c r="D22" s="13"/>
      <c r="E22" s="13"/>
      <c r="F22" s="521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idden="1" x14ac:dyDescent="0.2">
      <c r="B23" s="508" t="s">
        <v>214</v>
      </c>
      <c r="C23" s="603" t="s">
        <v>1150</v>
      </c>
      <c r="D23" s="13"/>
      <c r="E23" s="13"/>
      <c r="F23" s="521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idden="1" x14ac:dyDescent="0.2">
      <c r="B24" s="508" t="s">
        <v>214</v>
      </c>
      <c r="C24" s="603" t="s">
        <v>1106</v>
      </c>
      <c r="D24" s="13"/>
      <c r="E24" s="13"/>
      <c r="F24" s="521">
        <f t="shared" si="0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508" t="s">
        <v>214</v>
      </c>
      <c r="C25" s="603" t="s">
        <v>1048</v>
      </c>
      <c r="D25" s="13"/>
      <c r="E25" s="13"/>
      <c r="F25" s="521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hidden="1" x14ac:dyDescent="0.2">
      <c r="B26" s="508" t="s">
        <v>1163</v>
      </c>
      <c r="C26" s="603" t="s">
        <v>1192</v>
      </c>
      <c r="D26" s="13"/>
      <c r="E26" s="13"/>
      <c r="F26" s="521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hidden="1" x14ac:dyDescent="0.2">
      <c r="B27" s="508" t="s">
        <v>125</v>
      </c>
      <c r="C27" s="8" t="s">
        <v>1164</v>
      </c>
      <c r="D27" s="13"/>
      <c r="E27" s="13"/>
      <c r="F27" s="521">
        <f>D27+E27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hidden="1" x14ac:dyDescent="0.2">
      <c r="B28" s="508" t="s">
        <v>125</v>
      </c>
      <c r="C28" s="8" t="s">
        <v>1169</v>
      </c>
      <c r="D28" s="13"/>
      <c r="E28" s="13"/>
      <c r="F28" s="521">
        <f>D28+E28</f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idden="1" x14ac:dyDescent="0.2">
      <c r="B29" s="508" t="s">
        <v>125</v>
      </c>
      <c r="C29" s="8" t="s">
        <v>1191</v>
      </c>
      <c r="D29" s="13"/>
      <c r="E29" s="13"/>
      <c r="F29" s="521">
        <f>D29+E29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idden="1" x14ac:dyDescent="0.2">
      <c r="B30" s="508" t="s">
        <v>125</v>
      </c>
      <c r="C30" s="8" t="s">
        <v>1174</v>
      </c>
      <c r="D30" s="13"/>
      <c r="E30" s="13"/>
      <c r="F30" s="521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507" t="s">
        <v>131</v>
      </c>
      <c r="C31" s="23" t="s">
        <v>222</v>
      </c>
      <c r="D31" s="38">
        <f>SUM(D32:D36)</f>
        <v>18090</v>
      </c>
      <c r="E31" s="38">
        <f>SUM(E32:E36)</f>
        <v>0</v>
      </c>
      <c r="F31" s="520">
        <f>SUM(F32:F36)</f>
        <v>18090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508"/>
      <c r="C32" s="20" t="s">
        <v>1385</v>
      </c>
      <c r="D32" s="13">
        <v>18090</v>
      </c>
      <c r="E32" s="13"/>
      <c r="F32" s="521">
        <f>D32+E32</f>
        <v>18090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508" t="s">
        <v>135</v>
      </c>
      <c r="C33" s="8" t="s">
        <v>1099</v>
      </c>
      <c r="D33" s="13"/>
      <c r="E33" s="13"/>
      <c r="F33" s="521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508" t="s">
        <v>135</v>
      </c>
      <c r="C34" s="8" t="s">
        <v>1101</v>
      </c>
      <c r="D34" s="13"/>
      <c r="E34" s="13"/>
      <c r="F34" s="521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508" t="s">
        <v>135</v>
      </c>
      <c r="C35" s="8" t="s">
        <v>1102</v>
      </c>
      <c r="D35" s="13"/>
      <c r="E35" s="13"/>
      <c r="F35" s="521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508" t="s">
        <v>135</v>
      </c>
      <c r="C36" s="8" t="s">
        <v>1110</v>
      </c>
      <c r="D36" s="13"/>
      <c r="E36" s="13"/>
      <c r="F36" s="521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507" t="s">
        <v>140</v>
      </c>
      <c r="C37" s="23" t="s">
        <v>103</v>
      </c>
      <c r="D37" s="42">
        <f>SUM(D38:D41)</f>
        <v>50000</v>
      </c>
      <c r="E37" s="42">
        <f>SUM(E38:E41)</f>
        <v>0</v>
      </c>
      <c r="F37" s="522">
        <f>SUM(F38:F41)</f>
        <v>50000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2">
      <c r="B38" s="508" t="s">
        <v>810</v>
      </c>
      <c r="C38" s="8" t="s">
        <v>913</v>
      </c>
      <c r="D38" s="13">
        <v>50000</v>
      </c>
      <c r="E38" s="501"/>
      <c r="F38" s="521">
        <f>D38+E38</f>
        <v>50000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508" t="s">
        <v>893</v>
      </c>
      <c r="C39" s="8" t="s">
        <v>912</v>
      </c>
      <c r="D39" s="13"/>
      <c r="E39" s="13"/>
      <c r="F39" s="521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hidden="1" x14ac:dyDescent="0.2">
      <c r="B40" s="508" t="s">
        <v>894</v>
      </c>
      <c r="C40" s="8" t="s">
        <v>1039</v>
      </c>
      <c r="D40" s="13"/>
      <c r="E40" s="13"/>
      <c r="F40" s="521">
        <f>D40+E40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hidden="1" x14ac:dyDescent="0.2">
      <c r="B41" s="508" t="s">
        <v>146</v>
      </c>
      <c r="C41" s="8" t="s">
        <v>1040</v>
      </c>
      <c r="D41" s="13"/>
      <c r="E41" s="13"/>
      <c r="F41" s="521">
        <f>D41+E41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50" customFormat="1" ht="15" x14ac:dyDescent="0.25">
      <c r="B42" s="507" t="s">
        <v>151</v>
      </c>
      <c r="C42" s="23" t="s">
        <v>223</v>
      </c>
      <c r="D42" s="42">
        <f>SUM(D43:D53)</f>
        <v>4000</v>
      </c>
      <c r="E42" s="42">
        <f>SUM(E43:E53)</f>
        <v>310</v>
      </c>
      <c r="F42" s="522">
        <f>SUM(F43:F53)</f>
        <v>4310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hidden="1" customHeight="1" x14ac:dyDescent="0.2">
      <c r="B43" s="508" t="s">
        <v>155</v>
      </c>
      <c r="C43" s="8" t="s">
        <v>1152</v>
      </c>
      <c r="D43" s="13"/>
      <c r="E43" s="13"/>
      <c r="F43" s="521">
        <f t="shared" ref="F43:F52" si="1">D43+E43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hidden="1" customHeight="1" x14ac:dyDescent="0.2">
      <c r="B44" s="508" t="s">
        <v>156</v>
      </c>
      <c r="C44" s="8" t="s">
        <v>1112</v>
      </c>
      <c r="D44" s="13"/>
      <c r="E44" s="13"/>
      <c r="F44" s="521">
        <f t="shared" si="1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508" t="s">
        <v>156</v>
      </c>
      <c r="C45" s="8" t="s">
        <v>1142</v>
      </c>
      <c r="D45" s="13"/>
      <c r="E45" s="13"/>
      <c r="F45" s="521">
        <f t="shared" si="1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hidden="1" x14ac:dyDescent="0.2">
      <c r="B46" s="508" t="s">
        <v>157</v>
      </c>
      <c r="C46" s="20" t="s">
        <v>1153</v>
      </c>
      <c r="D46" s="13"/>
      <c r="E46" s="13"/>
      <c r="F46" s="521">
        <f t="shared" si="1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idden="1" x14ac:dyDescent="0.2">
      <c r="B47" s="508" t="s">
        <v>158</v>
      </c>
      <c r="C47" s="20" t="s">
        <v>1154</v>
      </c>
      <c r="D47" s="13"/>
      <c r="E47" s="13"/>
      <c r="F47" s="521">
        <f t="shared" si="1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hidden="1" customHeight="1" x14ac:dyDescent="0.2">
      <c r="B48" s="508" t="s">
        <v>162</v>
      </c>
      <c r="C48" s="20" t="s">
        <v>1043</v>
      </c>
      <c r="D48" s="13"/>
      <c r="E48" s="13"/>
      <c r="F48" s="521">
        <f t="shared" si="1"/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idden="1" x14ac:dyDescent="0.2">
      <c r="B49" s="508" t="s">
        <v>174</v>
      </c>
      <c r="C49" s="8" t="s">
        <v>1155</v>
      </c>
      <c r="D49" s="13"/>
      <c r="E49" s="13"/>
      <c r="F49" s="521">
        <f t="shared" si="1"/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customHeight="1" x14ac:dyDescent="0.2">
      <c r="B50" s="508" t="s">
        <v>384</v>
      </c>
      <c r="C50" s="20" t="s">
        <v>1327</v>
      </c>
      <c r="D50" s="13">
        <v>4000</v>
      </c>
      <c r="E50" s="13"/>
      <c r="F50" s="521">
        <f t="shared" si="1"/>
        <v>4000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customHeight="1" x14ac:dyDescent="0.2">
      <c r="B51" s="508" t="s">
        <v>384</v>
      </c>
      <c r="C51" s="20" t="s">
        <v>1411</v>
      </c>
      <c r="D51" s="13"/>
      <c r="E51" s="13">
        <v>310</v>
      </c>
      <c r="F51" s="521">
        <f t="shared" si="1"/>
        <v>310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hidden="1" customHeight="1" x14ac:dyDescent="0.2">
      <c r="B52" s="508" t="s">
        <v>384</v>
      </c>
      <c r="C52" s="20" t="s">
        <v>1175</v>
      </c>
      <c r="D52" s="13"/>
      <c r="E52" s="13"/>
      <c r="F52" s="521">
        <f t="shared" si="1"/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508"/>
      <c r="C53" s="20"/>
      <c r="D53" s="13"/>
      <c r="E53" s="13"/>
      <c r="F53" s="52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5" x14ac:dyDescent="0.25">
      <c r="B54" s="507" t="s">
        <v>178</v>
      </c>
      <c r="C54" s="23" t="s">
        <v>224</v>
      </c>
      <c r="D54" s="42">
        <f>SUM(D55:D56)</f>
        <v>450000</v>
      </c>
      <c r="E54" s="42">
        <f>SUM(E55:E56)</f>
        <v>0</v>
      </c>
      <c r="F54" s="522">
        <f>SUM(F55:F56)</f>
        <v>450000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596" t="s">
        <v>180</v>
      </c>
      <c r="C55" s="20" t="s">
        <v>1388</v>
      </c>
      <c r="D55" s="166">
        <v>450000</v>
      </c>
      <c r="E55" s="166"/>
      <c r="F55" s="521">
        <f>D55+E55</f>
        <v>450000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hidden="1" customHeight="1" x14ac:dyDescent="0.2">
      <c r="B56" s="596" t="s">
        <v>180</v>
      </c>
      <c r="C56" s="20"/>
      <c r="D56" s="166"/>
      <c r="E56" s="166"/>
      <c r="F56" s="59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5.75" customHeight="1" x14ac:dyDescent="0.25">
      <c r="B57" s="507" t="s">
        <v>189</v>
      </c>
      <c r="C57" s="23" t="s">
        <v>225</v>
      </c>
      <c r="D57" s="42">
        <f>SUM(D58:D60)</f>
        <v>500</v>
      </c>
      <c r="E57" s="42">
        <f>SUM(E58:E60)</f>
        <v>0</v>
      </c>
      <c r="F57" s="522">
        <f>SUM(F58:F60)</f>
        <v>500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3.5" customHeight="1" x14ac:dyDescent="0.2">
      <c r="B58" s="598" t="s">
        <v>391</v>
      </c>
      <c r="C58" s="8" t="s">
        <v>1415</v>
      </c>
      <c r="D58" s="13">
        <v>500</v>
      </c>
      <c r="E58" s="13"/>
      <c r="F58" s="521">
        <f>D58+E58</f>
        <v>500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598" t="s">
        <v>391</v>
      </c>
      <c r="C59" s="8" t="s">
        <v>1051</v>
      </c>
      <c r="D59" s="13"/>
      <c r="E59" s="13"/>
      <c r="F59" s="521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598" t="s">
        <v>1050</v>
      </c>
      <c r="C60" s="8" t="s">
        <v>1034</v>
      </c>
      <c r="D60" s="13"/>
      <c r="E60" s="13"/>
      <c r="F60" s="521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4.25" customHeight="1" x14ac:dyDescent="0.25">
      <c r="B61" s="507" t="s">
        <v>190</v>
      </c>
      <c r="C61" s="23" t="s">
        <v>226</v>
      </c>
      <c r="D61" s="42">
        <f>SUM(D62:D62)</f>
        <v>0</v>
      </c>
      <c r="E61" s="42">
        <f>SUM(E62:E62)</f>
        <v>0</v>
      </c>
      <c r="F61" s="522">
        <f>SUM(F62:F62)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3.5" hidden="1" customHeight="1" x14ac:dyDescent="0.2">
      <c r="B62" s="508" t="s">
        <v>483</v>
      </c>
      <c r="C62" s="20"/>
      <c r="D62" s="13"/>
      <c r="E62" s="13"/>
      <c r="F62" s="521">
        <f>D62+E62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5.75" thickBot="1" x14ac:dyDescent="0.3">
      <c r="B63" s="599" t="s">
        <v>771</v>
      </c>
      <c r="C63" s="187" t="s">
        <v>339</v>
      </c>
      <c r="D63" s="42">
        <f>SUM(D64+D69)</f>
        <v>0</v>
      </c>
      <c r="E63" s="42">
        <f>SUM(E64+E69)</f>
        <v>0</v>
      </c>
      <c r="F63" s="522">
        <f>SUM(F64+F69)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ht="15" hidden="1" x14ac:dyDescent="0.25">
      <c r="B64" s="599"/>
      <c r="C64" s="23" t="s">
        <v>772</v>
      </c>
      <c r="D64" s="42">
        <f>SUM(D65+D68)</f>
        <v>0</v>
      </c>
      <c r="E64" s="42">
        <f>SUM(E65+E68)</f>
        <v>0</v>
      </c>
      <c r="F64" s="522">
        <f>SUM(F65+F68)</f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3.5" hidden="1" customHeight="1" x14ac:dyDescent="0.2">
      <c r="B65" s="508"/>
      <c r="C65" s="31" t="s">
        <v>773</v>
      </c>
      <c r="D65" s="13">
        <f>D66+D67</f>
        <v>0</v>
      </c>
      <c r="E65" s="13">
        <f>E66+E67</f>
        <v>0</v>
      </c>
      <c r="F65" s="521">
        <f>F66+F67</f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512" customFormat="1" ht="13.5" hidden="1" customHeight="1" x14ac:dyDescent="0.2">
      <c r="B66" s="509"/>
      <c r="C66" s="510" t="s">
        <v>774</v>
      </c>
      <c r="D66" s="194"/>
      <c r="E66" s="194"/>
      <c r="F66" s="523">
        <f>SUM(D66:E66)</f>
        <v>0</v>
      </c>
      <c r="G66" s="511"/>
      <c r="H66" s="511"/>
      <c r="I66" s="511"/>
      <c r="J66" s="511"/>
      <c r="K66" s="511"/>
      <c r="L66" s="511"/>
      <c r="M66" s="511"/>
      <c r="N66" s="511"/>
      <c r="O66" s="511"/>
      <c r="P66" s="511"/>
      <c r="Q66" s="511"/>
      <c r="R66" s="511"/>
      <c r="S66" s="511"/>
      <c r="T66" s="511"/>
      <c r="U66" s="511"/>
      <c r="V66" s="511"/>
      <c r="W66" s="511"/>
      <c r="X66" s="511"/>
      <c r="Y66" s="511"/>
      <c r="Z66" s="511"/>
      <c r="AA66" s="511"/>
      <c r="AB66" s="511"/>
      <c r="AC66" s="511"/>
      <c r="AD66" s="511"/>
      <c r="AE66" s="511"/>
      <c r="AF66" s="511"/>
      <c r="AG66" s="511"/>
      <c r="AH66" s="511"/>
      <c r="AI66" s="511"/>
    </row>
    <row r="67" spans="2:35" s="512" customFormat="1" ht="13.5" hidden="1" customHeight="1" x14ac:dyDescent="0.2">
      <c r="B67" s="509"/>
      <c r="C67" s="510" t="s">
        <v>775</v>
      </c>
      <c r="D67" s="194"/>
      <c r="E67" s="194"/>
      <c r="F67" s="523"/>
      <c r="G67" s="511"/>
      <c r="H67" s="511"/>
      <c r="I67" s="511"/>
      <c r="J67" s="511"/>
      <c r="K67" s="511"/>
      <c r="L67" s="511"/>
      <c r="M67" s="511"/>
      <c r="N67" s="511"/>
      <c r="O67" s="511"/>
      <c r="P67" s="511"/>
      <c r="Q67" s="511"/>
      <c r="R67" s="511"/>
      <c r="S67" s="511"/>
      <c r="T67" s="511"/>
      <c r="U67" s="511"/>
      <c r="V67" s="511"/>
      <c r="W67" s="511"/>
      <c r="X67" s="511"/>
      <c r="Y67" s="511"/>
      <c r="Z67" s="511"/>
      <c r="AA67" s="511"/>
      <c r="AB67" s="511"/>
      <c r="AC67" s="511"/>
      <c r="AD67" s="511"/>
      <c r="AE67" s="511"/>
      <c r="AF67" s="511"/>
      <c r="AG67" s="511"/>
      <c r="AH67" s="511"/>
      <c r="AI67" s="511"/>
    </row>
    <row r="68" spans="2:35" s="512" customFormat="1" ht="13.5" hidden="1" customHeight="1" x14ac:dyDescent="0.2">
      <c r="B68" s="509"/>
      <c r="C68" s="31" t="s">
        <v>776</v>
      </c>
      <c r="D68" s="13"/>
      <c r="E68" s="13"/>
      <c r="F68" s="521">
        <f>D68+E68</f>
        <v>0</v>
      </c>
      <c r="G68" s="511"/>
      <c r="H68" s="511"/>
      <c r="I68" s="511"/>
      <c r="J68" s="511"/>
      <c r="K68" s="511"/>
      <c r="L68" s="511"/>
      <c r="M68" s="511"/>
      <c r="N68" s="511"/>
      <c r="O68" s="511"/>
      <c r="P68" s="511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1"/>
      <c r="AH68" s="511"/>
      <c r="AI68" s="511"/>
    </row>
    <row r="69" spans="2:35" ht="15.75" hidden="1" thickBot="1" x14ac:dyDescent="0.3">
      <c r="B69" s="508"/>
      <c r="C69" s="23" t="s">
        <v>777</v>
      </c>
      <c r="D69" s="42">
        <f>SUM(D70:D70)</f>
        <v>0</v>
      </c>
      <c r="E69" s="42">
        <f>SUM(E70:E70)</f>
        <v>0</v>
      </c>
      <c r="F69" s="522">
        <f>SUM(F70:F70)</f>
        <v>0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3.5" hidden="1" customHeight="1" thickBot="1" x14ac:dyDescent="0.25">
      <c r="B70" s="513"/>
      <c r="C70" s="8" t="s">
        <v>1353</v>
      </c>
      <c r="D70" s="80"/>
      <c r="E70" s="12"/>
      <c r="F70" s="521">
        <f>D70+E70</f>
        <v>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20.25" thickBot="1" x14ac:dyDescent="0.4">
      <c r="B71" s="514"/>
      <c r="C71" s="47" t="s">
        <v>778</v>
      </c>
      <c r="D71" s="515">
        <f>SUM(D7+D63)</f>
        <v>560734</v>
      </c>
      <c r="E71" s="515">
        <f>SUM(E7+E63)</f>
        <v>310</v>
      </c>
      <c r="F71" s="48">
        <f>SUM(F7+F63)</f>
        <v>561044</v>
      </c>
      <c r="G71" s="7">
        <f>F71-F189</f>
        <v>0</v>
      </c>
      <c r="H71" s="76">
        <f>'1.Bev-kiad.'!I63</f>
        <v>0</v>
      </c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ht="15.75" x14ac:dyDescent="0.25">
      <c r="B72" s="506" t="s">
        <v>779</v>
      </c>
      <c r="C72" s="225" t="s">
        <v>340</v>
      </c>
      <c r="D72" s="174">
        <f>SUM(D73+D163)</f>
        <v>552607</v>
      </c>
      <c r="E72" s="174">
        <f>SUM(E73+E163)</f>
        <v>8437</v>
      </c>
      <c r="F72" s="524">
        <f>SUM(F73+F163)</f>
        <v>561044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t="15" x14ac:dyDescent="0.25">
      <c r="B73" s="507" t="s">
        <v>204</v>
      </c>
      <c r="C73" s="23" t="s">
        <v>8</v>
      </c>
      <c r="D73" s="38">
        <f>SUM(D74:D162)</f>
        <v>87074</v>
      </c>
      <c r="E73" s="38">
        <f>SUM(E74:E162)</f>
        <v>6437</v>
      </c>
      <c r="F73" s="520">
        <f>SUM(F74:F162)</f>
        <v>93511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hidden="1" x14ac:dyDescent="0.2">
      <c r="B74" s="508" t="s">
        <v>780</v>
      </c>
      <c r="C74" s="8" t="s">
        <v>1158</v>
      </c>
      <c r="D74" s="166"/>
      <c r="E74" s="166"/>
      <c r="F74" s="521">
        <f t="shared" ref="F74:F162" si="2">D74+E74</f>
        <v>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hidden="1" x14ac:dyDescent="0.2">
      <c r="B75" s="508" t="s">
        <v>780</v>
      </c>
      <c r="C75" s="8" t="s">
        <v>1193</v>
      </c>
      <c r="D75" s="166"/>
      <c r="E75" s="166"/>
      <c r="F75" s="521">
        <f t="shared" si="2"/>
        <v>0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hidden="1" x14ac:dyDescent="0.2">
      <c r="B76" s="508" t="s">
        <v>891</v>
      </c>
      <c r="C76" s="8" t="s">
        <v>1176</v>
      </c>
      <c r="D76" s="166"/>
      <c r="E76" s="166"/>
      <c r="F76" s="521">
        <f t="shared" si="2"/>
        <v>0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hidden="1" x14ac:dyDescent="0.2">
      <c r="B77" s="508" t="s">
        <v>1156</v>
      </c>
      <c r="C77" s="8" t="s">
        <v>1157</v>
      </c>
      <c r="D77" s="166"/>
      <c r="E77" s="166"/>
      <c r="F77" s="521">
        <f t="shared" si="2"/>
        <v>0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hidden="1" x14ac:dyDescent="0.2">
      <c r="B78" s="508" t="s">
        <v>1180</v>
      </c>
      <c r="C78" s="8" t="s">
        <v>1181</v>
      </c>
      <c r="D78" s="166"/>
      <c r="E78" s="166"/>
      <c r="F78" s="521">
        <f t="shared" si="2"/>
        <v>0</v>
      </c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hidden="1" x14ac:dyDescent="0.2">
      <c r="B79" s="508" t="s">
        <v>807</v>
      </c>
      <c r="C79" s="8" t="s">
        <v>1178</v>
      </c>
      <c r="D79" s="166"/>
      <c r="E79" s="166"/>
      <c r="F79" s="521">
        <f t="shared" si="2"/>
        <v>0</v>
      </c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508" t="s">
        <v>807</v>
      </c>
      <c r="C80" s="8" t="s">
        <v>908</v>
      </c>
      <c r="D80" s="166"/>
      <c r="E80" s="166"/>
      <c r="F80" s="521">
        <f t="shared" si="2"/>
        <v>0</v>
      </c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508" t="s">
        <v>816</v>
      </c>
      <c r="C81" s="8" t="s">
        <v>1109</v>
      </c>
      <c r="D81" s="166"/>
      <c r="E81" s="166"/>
      <c r="F81" s="521">
        <f t="shared" si="2"/>
        <v>0</v>
      </c>
      <c r="G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hidden="1" x14ac:dyDescent="0.2">
      <c r="B82" s="508" t="s">
        <v>816</v>
      </c>
      <c r="C82" s="8" t="s">
        <v>1179</v>
      </c>
      <c r="D82" s="166"/>
      <c r="E82" s="166"/>
      <c r="F82" s="521">
        <f t="shared" si="2"/>
        <v>0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508" t="s">
        <v>781</v>
      </c>
      <c r="C83" s="8" t="s">
        <v>1190</v>
      </c>
      <c r="D83" s="166"/>
      <c r="E83" s="166"/>
      <c r="F83" s="521">
        <f t="shared" si="2"/>
        <v>0</v>
      </c>
      <c r="G83" s="2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508" t="s">
        <v>781</v>
      </c>
      <c r="C84" s="8" t="s">
        <v>1023</v>
      </c>
      <c r="D84" s="166"/>
      <c r="E84" s="166"/>
      <c r="F84" s="521">
        <f t="shared" si="2"/>
        <v>0</v>
      </c>
      <c r="G84" s="2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hidden="1" x14ac:dyDescent="0.2">
      <c r="B85" s="508" t="s">
        <v>781</v>
      </c>
      <c r="C85" s="8" t="s">
        <v>1182</v>
      </c>
      <c r="D85" s="166"/>
      <c r="E85" s="166"/>
      <c r="F85" s="521">
        <f t="shared" si="2"/>
        <v>0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hidden="1" x14ac:dyDescent="0.2">
      <c r="B86" s="508" t="s">
        <v>781</v>
      </c>
      <c r="C86" s="8" t="s">
        <v>1173</v>
      </c>
      <c r="D86" s="166"/>
      <c r="E86" s="166"/>
      <c r="F86" s="521">
        <f t="shared" si="2"/>
        <v>0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hidden="1" x14ac:dyDescent="0.2">
      <c r="B87" s="508" t="s">
        <v>781</v>
      </c>
      <c r="C87" s="8" t="s">
        <v>1035</v>
      </c>
      <c r="D87" s="166"/>
      <c r="E87" s="166"/>
      <c r="F87" s="521">
        <f t="shared" si="2"/>
        <v>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hidden="1" x14ac:dyDescent="0.2">
      <c r="B88" s="508" t="s">
        <v>1024</v>
      </c>
      <c r="C88" s="8" t="s">
        <v>1189</v>
      </c>
      <c r="D88" s="166"/>
      <c r="E88" s="166"/>
      <c r="F88" s="521">
        <f t="shared" si="2"/>
        <v>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hidden="1" x14ac:dyDescent="0.2">
      <c r="B89" s="508" t="s">
        <v>782</v>
      </c>
      <c r="C89" s="8" t="s">
        <v>1324</v>
      </c>
      <c r="D89" s="166"/>
      <c r="E89" s="166"/>
      <c r="F89" s="521">
        <f t="shared" si="2"/>
        <v>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hidden="1" x14ac:dyDescent="0.2">
      <c r="B90" s="508" t="s">
        <v>782</v>
      </c>
      <c r="C90" s="8" t="s">
        <v>1170</v>
      </c>
      <c r="D90" s="166"/>
      <c r="E90" s="166"/>
      <c r="F90" s="521">
        <f t="shared" si="2"/>
        <v>0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hidden="1" x14ac:dyDescent="0.2">
      <c r="B91" s="508" t="s">
        <v>796</v>
      </c>
      <c r="C91" s="8" t="s">
        <v>1131</v>
      </c>
      <c r="D91" s="166"/>
      <c r="E91" s="166"/>
      <c r="F91" s="521">
        <f t="shared" si="2"/>
        <v>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hidden="1" x14ac:dyDescent="0.2">
      <c r="B92" s="508" t="s">
        <v>796</v>
      </c>
      <c r="C92" s="8" t="s">
        <v>1177</v>
      </c>
      <c r="D92" s="166"/>
      <c r="E92" s="166"/>
      <c r="F92" s="521">
        <f t="shared" si="2"/>
        <v>0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hidden="1" x14ac:dyDescent="0.2">
      <c r="B93" s="508" t="s">
        <v>217</v>
      </c>
      <c r="C93" s="8" t="s">
        <v>906</v>
      </c>
      <c r="D93" s="166"/>
      <c r="E93" s="166"/>
      <c r="F93" s="521">
        <f t="shared" si="2"/>
        <v>0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x14ac:dyDescent="0.2">
      <c r="B94" s="508" t="s">
        <v>1027</v>
      </c>
      <c r="C94" s="8" t="s">
        <v>1404</v>
      </c>
      <c r="D94" s="166"/>
      <c r="E94" s="166">
        <v>627</v>
      </c>
      <c r="F94" s="521">
        <f t="shared" si="2"/>
        <v>627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508" t="s">
        <v>905</v>
      </c>
      <c r="C95" s="8" t="s">
        <v>1405</v>
      </c>
      <c r="D95" s="166"/>
      <c r="E95" s="166">
        <v>750</v>
      </c>
      <c r="F95" s="521">
        <f t="shared" si="2"/>
        <v>750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508" t="s">
        <v>905</v>
      </c>
      <c r="C96" s="8" t="s">
        <v>1406</v>
      </c>
      <c r="D96" s="166"/>
      <c r="E96" s="166">
        <v>750</v>
      </c>
      <c r="F96" s="521">
        <f t="shared" si="2"/>
        <v>750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hidden="1" x14ac:dyDescent="0.2">
      <c r="B97" s="508" t="s">
        <v>905</v>
      </c>
      <c r="C97" s="8" t="s">
        <v>1334</v>
      </c>
      <c r="D97" s="166"/>
      <c r="E97" s="166"/>
      <c r="F97" s="521">
        <f t="shared" si="2"/>
        <v>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hidden="1" x14ac:dyDescent="0.2">
      <c r="B98" s="508" t="s">
        <v>905</v>
      </c>
      <c r="C98" s="8" t="s">
        <v>1187</v>
      </c>
      <c r="D98" s="166"/>
      <c r="E98" s="166"/>
      <c r="F98" s="521">
        <f t="shared" si="2"/>
        <v>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508" t="s">
        <v>905</v>
      </c>
      <c r="C99" s="8" t="s">
        <v>1134</v>
      </c>
      <c r="D99" s="166"/>
      <c r="E99" s="166"/>
      <c r="F99" s="521">
        <f t="shared" si="2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hidden="1" x14ac:dyDescent="0.2">
      <c r="B100" s="508" t="s">
        <v>905</v>
      </c>
      <c r="C100" s="8" t="s">
        <v>1133</v>
      </c>
      <c r="D100" s="166"/>
      <c r="E100" s="166"/>
      <c r="F100" s="521">
        <f t="shared" si="2"/>
        <v>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508" t="s">
        <v>1132</v>
      </c>
      <c r="C101" s="8" t="s">
        <v>1159</v>
      </c>
      <c r="D101" s="166"/>
      <c r="E101" s="166">
        <v>500</v>
      </c>
      <c r="F101" s="521">
        <f t="shared" si="2"/>
        <v>500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hidden="1" x14ac:dyDescent="0.2">
      <c r="B102" s="508" t="s">
        <v>1028</v>
      </c>
      <c r="C102" s="8" t="s">
        <v>1183</v>
      </c>
      <c r="D102" s="166"/>
      <c r="E102" s="166"/>
      <c r="F102" s="521">
        <f t="shared" si="2"/>
        <v>0</v>
      </c>
      <c r="G102" s="2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hidden="1" x14ac:dyDescent="0.2">
      <c r="B103" s="508" t="s">
        <v>783</v>
      </c>
      <c r="C103" s="8" t="s">
        <v>1160</v>
      </c>
      <c r="D103" s="166"/>
      <c r="E103" s="166"/>
      <c r="F103" s="521">
        <f t="shared" si="2"/>
        <v>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508" t="s">
        <v>1025</v>
      </c>
      <c r="C104" s="8" t="s">
        <v>1403</v>
      </c>
      <c r="D104" s="166">
        <v>644</v>
      </c>
      <c r="E104" s="166"/>
      <c r="F104" s="521">
        <f t="shared" si="2"/>
        <v>644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508" t="s">
        <v>1115</v>
      </c>
      <c r="C105" s="8" t="s">
        <v>1330</v>
      </c>
      <c r="D105" s="166"/>
      <c r="E105" s="166"/>
      <c r="F105" s="521">
        <f t="shared" si="2"/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508" t="s">
        <v>1029</v>
      </c>
      <c r="C106" s="8" t="s">
        <v>1390</v>
      </c>
      <c r="D106" s="166">
        <v>2018</v>
      </c>
      <c r="E106" s="166"/>
      <c r="F106" s="521">
        <f t="shared" si="2"/>
        <v>2018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x14ac:dyDescent="0.2">
      <c r="B107" s="508" t="s">
        <v>1029</v>
      </c>
      <c r="C107" s="8" t="s">
        <v>301</v>
      </c>
      <c r="D107" s="166"/>
      <c r="E107" s="166">
        <v>500</v>
      </c>
      <c r="F107" s="521">
        <f t="shared" si="2"/>
        <v>500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idden="1" x14ac:dyDescent="0.2">
      <c r="B108" s="508" t="s">
        <v>1029</v>
      </c>
      <c r="C108" s="8" t="s">
        <v>1045</v>
      </c>
      <c r="D108" s="166"/>
      <c r="E108" s="166"/>
      <c r="F108" s="521">
        <f t="shared" si="2"/>
        <v>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hidden="1" x14ac:dyDescent="0.2">
      <c r="B109" s="508" t="s">
        <v>1044</v>
      </c>
      <c r="C109" s="8" t="s">
        <v>1111</v>
      </c>
      <c r="D109" s="166"/>
      <c r="E109" s="166"/>
      <c r="F109" s="521">
        <f t="shared" si="2"/>
        <v>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hidden="1" x14ac:dyDescent="0.2">
      <c r="B110" s="508" t="s">
        <v>788</v>
      </c>
      <c r="C110" s="8" t="s">
        <v>1184</v>
      </c>
      <c r="D110" s="166"/>
      <c r="E110" s="166"/>
      <c r="F110" s="521">
        <f t="shared" si="2"/>
        <v>0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508" t="s">
        <v>784</v>
      </c>
      <c r="C111" s="20" t="s">
        <v>1386</v>
      </c>
      <c r="D111" s="166">
        <v>2190</v>
      </c>
      <c r="E111" s="166"/>
      <c r="F111" s="521">
        <f t="shared" si="2"/>
        <v>2190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508" t="s">
        <v>784</v>
      </c>
      <c r="C112" s="20" t="s">
        <v>1391</v>
      </c>
      <c r="D112" s="166">
        <v>950</v>
      </c>
      <c r="E112" s="166"/>
      <c r="F112" s="521">
        <f t="shared" si="2"/>
        <v>950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hidden="1" x14ac:dyDescent="0.2">
      <c r="B113" s="508" t="s">
        <v>784</v>
      </c>
      <c r="C113" s="20" t="s">
        <v>1325</v>
      </c>
      <c r="D113" s="166"/>
      <c r="E113" s="166"/>
      <c r="F113" s="521">
        <f t="shared" si="2"/>
        <v>0</v>
      </c>
      <c r="G113" s="2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hidden="1" x14ac:dyDescent="0.2">
      <c r="B114" s="508" t="s">
        <v>784</v>
      </c>
      <c r="C114" s="8" t="s">
        <v>1331</v>
      </c>
      <c r="D114" s="166"/>
      <c r="E114" s="166"/>
      <c r="F114" s="521">
        <f t="shared" si="2"/>
        <v>0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hidden="1" x14ac:dyDescent="0.2">
      <c r="B115" s="508" t="s">
        <v>784</v>
      </c>
      <c r="C115" s="8" t="s">
        <v>1335</v>
      </c>
      <c r="D115" s="166"/>
      <c r="E115" s="166"/>
      <c r="F115" s="521">
        <f t="shared" si="2"/>
        <v>0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hidden="1" x14ac:dyDescent="0.2">
      <c r="B116" s="508" t="s">
        <v>784</v>
      </c>
      <c r="C116" s="8" t="s">
        <v>1338</v>
      </c>
      <c r="D116" s="166"/>
      <c r="E116" s="166"/>
      <c r="F116" s="521">
        <f t="shared" si="2"/>
        <v>0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hidden="1" x14ac:dyDescent="0.2">
      <c r="B117" s="508" t="s">
        <v>784</v>
      </c>
      <c r="C117" s="8" t="s">
        <v>1344</v>
      </c>
      <c r="D117" s="166"/>
      <c r="E117" s="166"/>
      <c r="F117" s="521">
        <f t="shared" si="2"/>
        <v>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hidden="1" x14ac:dyDescent="0.2">
      <c r="B118" s="508" t="s">
        <v>784</v>
      </c>
      <c r="C118" s="8" t="s">
        <v>1188</v>
      </c>
      <c r="D118" s="166"/>
      <c r="E118" s="166"/>
      <c r="F118" s="521">
        <f t="shared" si="2"/>
        <v>0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hidden="1" x14ac:dyDescent="0.2">
      <c r="B119" s="508" t="s">
        <v>784</v>
      </c>
      <c r="C119" s="8" t="s">
        <v>1161</v>
      </c>
      <c r="D119" s="166"/>
      <c r="E119" s="166"/>
      <c r="F119" s="521">
        <f t="shared" si="2"/>
        <v>0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hidden="1" x14ac:dyDescent="0.2">
      <c r="B120" s="508" t="s">
        <v>784</v>
      </c>
      <c r="C120" s="8" t="s">
        <v>1171</v>
      </c>
      <c r="D120" s="166"/>
      <c r="E120" s="166"/>
      <c r="F120" s="521">
        <f t="shared" si="2"/>
        <v>0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hidden="1" x14ac:dyDescent="0.2">
      <c r="B121" s="508" t="s">
        <v>784</v>
      </c>
      <c r="C121" s="8" t="s">
        <v>1185</v>
      </c>
      <c r="D121" s="166"/>
      <c r="E121" s="166"/>
      <c r="F121" s="521">
        <f t="shared" si="2"/>
        <v>0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hidden="1" x14ac:dyDescent="0.2">
      <c r="B122" s="508" t="s">
        <v>784</v>
      </c>
      <c r="C122" s="8" t="s">
        <v>1186</v>
      </c>
      <c r="D122" s="166"/>
      <c r="E122" s="166"/>
      <c r="F122" s="521">
        <f t="shared" si="2"/>
        <v>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hidden="1" x14ac:dyDescent="0.2">
      <c r="B123" s="508" t="s">
        <v>784</v>
      </c>
      <c r="C123" s="8" t="s">
        <v>1139</v>
      </c>
      <c r="D123" s="166"/>
      <c r="E123" s="166"/>
      <c r="F123" s="521">
        <f t="shared" si="2"/>
        <v>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508" t="s">
        <v>785</v>
      </c>
      <c r="C124" s="8" t="s">
        <v>1416</v>
      </c>
      <c r="D124" s="166">
        <v>500</v>
      </c>
      <c r="E124" s="166"/>
      <c r="F124" s="521">
        <f t="shared" si="2"/>
        <v>500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508" t="s">
        <v>785</v>
      </c>
      <c r="C125" s="8" t="s">
        <v>1387</v>
      </c>
      <c r="D125" s="166">
        <v>870</v>
      </c>
      <c r="E125" s="166"/>
      <c r="F125" s="521">
        <f t="shared" ref="F125:F132" si="3">D125+E125</f>
        <v>870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hidden="1" x14ac:dyDescent="0.2">
      <c r="B126" s="508" t="s">
        <v>785</v>
      </c>
      <c r="C126" s="8" t="s">
        <v>1151</v>
      </c>
      <c r="D126" s="166"/>
      <c r="E126" s="166"/>
      <c r="F126" s="521">
        <f t="shared" si="3"/>
        <v>0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hidden="1" x14ac:dyDescent="0.2">
      <c r="B127" s="508" t="s">
        <v>785</v>
      </c>
      <c r="C127" s="8" t="s">
        <v>1332</v>
      </c>
      <c r="D127" s="166"/>
      <c r="E127" s="166"/>
      <c r="F127" s="521">
        <f t="shared" si="3"/>
        <v>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508" t="s">
        <v>785</v>
      </c>
      <c r="C128" s="8" t="s">
        <v>1117</v>
      </c>
      <c r="D128" s="166"/>
      <c r="E128" s="166"/>
      <c r="F128" s="521">
        <f t="shared" si="3"/>
        <v>0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idden="1" x14ac:dyDescent="0.2">
      <c r="B129" s="508" t="s">
        <v>785</v>
      </c>
      <c r="C129" s="8" t="s">
        <v>1118</v>
      </c>
      <c r="D129" s="166"/>
      <c r="E129" s="166"/>
      <c r="F129" s="521">
        <f t="shared" si="3"/>
        <v>0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hidden="1" x14ac:dyDescent="0.2">
      <c r="B130" s="508" t="s">
        <v>785</v>
      </c>
      <c r="C130" s="8" t="s">
        <v>1120</v>
      </c>
      <c r="D130" s="166"/>
      <c r="E130" s="166"/>
      <c r="F130" s="521">
        <f t="shared" si="3"/>
        <v>0</v>
      </c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hidden="1" x14ac:dyDescent="0.2">
      <c r="B131" s="508" t="s">
        <v>785</v>
      </c>
      <c r="C131" s="8" t="s">
        <v>1138</v>
      </c>
      <c r="D131" s="166"/>
      <c r="E131" s="166"/>
      <c r="F131" s="521">
        <f t="shared" si="3"/>
        <v>0</v>
      </c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hidden="1" x14ac:dyDescent="0.2">
      <c r="B132" s="508" t="s">
        <v>785</v>
      </c>
      <c r="C132" s="8" t="s">
        <v>1140</v>
      </c>
      <c r="D132" s="166"/>
      <c r="E132" s="166"/>
      <c r="F132" s="521">
        <f t="shared" si="3"/>
        <v>0</v>
      </c>
      <c r="G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hidden="1" x14ac:dyDescent="0.2">
      <c r="B133" s="508" t="s">
        <v>914</v>
      </c>
      <c r="C133" s="8" t="s">
        <v>915</v>
      </c>
      <c r="D133" s="166"/>
      <c r="E133" s="166"/>
      <c r="F133" s="521">
        <f t="shared" si="2"/>
        <v>0</v>
      </c>
      <c r="G133" s="2"/>
      <c r="I133" s="7"/>
      <c r="J133" s="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idden="1" x14ac:dyDescent="0.2">
      <c r="B134" s="508" t="s">
        <v>1100</v>
      </c>
      <c r="C134" s="8" t="s">
        <v>1162</v>
      </c>
      <c r="D134" s="166"/>
      <c r="E134" s="166"/>
      <c r="F134" s="521">
        <f t="shared" si="2"/>
        <v>0</v>
      </c>
      <c r="G134" s="2"/>
      <c r="I134" s="7"/>
      <c r="J134" s="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idden="1" x14ac:dyDescent="0.2">
      <c r="B135" s="508" t="s">
        <v>1100</v>
      </c>
      <c r="C135" s="8" t="s">
        <v>1122</v>
      </c>
      <c r="D135" s="166"/>
      <c r="E135" s="166"/>
      <c r="F135" s="521">
        <f t="shared" si="2"/>
        <v>0</v>
      </c>
      <c r="G135" s="2"/>
      <c r="I135" s="7"/>
      <c r="J135" s="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hidden="1" x14ac:dyDescent="0.2">
      <c r="B136" s="508" t="s">
        <v>1100</v>
      </c>
      <c r="C136" s="8" t="s">
        <v>1121</v>
      </c>
      <c r="D136" s="166"/>
      <c r="E136" s="166"/>
      <c r="F136" s="521">
        <f t="shared" si="2"/>
        <v>0</v>
      </c>
      <c r="G136" s="2"/>
      <c r="I136" s="7"/>
      <c r="J136" s="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ht="12" customHeight="1" x14ac:dyDescent="0.2">
      <c r="B137" s="508" t="s">
        <v>786</v>
      </c>
      <c r="C137" s="8" t="s">
        <v>787</v>
      </c>
      <c r="D137" s="166">
        <f>367+235+545</f>
        <v>1147</v>
      </c>
      <c r="E137" s="166">
        <v>1500</v>
      </c>
      <c r="F137" s="521">
        <f t="shared" si="2"/>
        <v>2647</v>
      </c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hidden="1" x14ac:dyDescent="0.2">
      <c r="B138" s="508" t="s">
        <v>811</v>
      </c>
      <c r="C138" s="8" t="s">
        <v>812</v>
      </c>
      <c r="D138" s="166"/>
      <c r="E138" s="166"/>
      <c r="F138" s="521">
        <f t="shared" si="2"/>
        <v>0</v>
      </c>
      <c r="G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hidden="1" x14ac:dyDescent="0.2">
      <c r="B139" s="508" t="s">
        <v>811</v>
      </c>
      <c r="C139" s="8" t="s">
        <v>1341</v>
      </c>
      <c r="D139" s="166"/>
      <c r="E139" s="166"/>
      <c r="F139" s="521">
        <f t="shared" si="2"/>
        <v>0</v>
      </c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hidden="1" x14ac:dyDescent="0.2">
      <c r="B140" s="508" t="s">
        <v>1113</v>
      </c>
      <c r="C140" s="8" t="s">
        <v>1328</v>
      </c>
      <c r="D140" s="166"/>
      <c r="E140" s="166"/>
      <c r="F140" s="521">
        <f t="shared" si="2"/>
        <v>0</v>
      </c>
      <c r="G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x14ac:dyDescent="0.2">
      <c r="B141" s="508" t="s">
        <v>788</v>
      </c>
      <c r="C141" s="8" t="s">
        <v>1407</v>
      </c>
      <c r="D141" s="166"/>
      <c r="E141" s="166">
        <f>310+1500</f>
        <v>1810</v>
      </c>
      <c r="F141" s="521">
        <f t="shared" si="2"/>
        <v>1810</v>
      </c>
      <c r="G141" s="2"/>
      <c r="I141" s="7"/>
      <c r="J141" s="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hidden="1" x14ac:dyDescent="0.2">
      <c r="B142" s="508" t="s">
        <v>1143</v>
      </c>
      <c r="C142" s="8" t="s">
        <v>1144</v>
      </c>
      <c r="D142" s="166"/>
      <c r="E142" s="166"/>
      <c r="F142" s="521">
        <f t="shared" si="2"/>
        <v>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idden="1" x14ac:dyDescent="0.2">
      <c r="B143" s="508" t="s">
        <v>1026</v>
      </c>
      <c r="C143" s="8" t="s">
        <v>1329</v>
      </c>
      <c r="D143" s="166"/>
      <c r="E143" s="166"/>
      <c r="F143" s="521">
        <f t="shared" si="2"/>
        <v>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hidden="1" x14ac:dyDescent="0.2">
      <c r="B144" s="516" t="s">
        <v>1026</v>
      </c>
      <c r="C144" s="15" t="s">
        <v>1124</v>
      </c>
      <c r="D144" s="166"/>
      <c r="E144" s="166"/>
      <c r="F144" s="521">
        <f t="shared" si="2"/>
        <v>0</v>
      </c>
      <c r="G144" s="2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516" t="s">
        <v>789</v>
      </c>
      <c r="C145" s="15" t="s">
        <v>1399</v>
      </c>
      <c r="D145" s="166">
        <v>10954</v>
      </c>
      <c r="E145" s="166"/>
      <c r="F145" s="521">
        <f t="shared" si="2"/>
        <v>10954</v>
      </c>
      <c r="G145" s="2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x14ac:dyDescent="0.2">
      <c r="B146" s="516" t="s">
        <v>789</v>
      </c>
      <c r="C146" s="15" t="s">
        <v>1400</v>
      </c>
      <c r="D146" s="166">
        <f>2659-2600</f>
        <v>59</v>
      </c>
      <c r="E146" s="166"/>
      <c r="F146" s="521">
        <f t="shared" si="2"/>
        <v>59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516" t="s">
        <v>789</v>
      </c>
      <c r="C147" s="20" t="s">
        <v>1401</v>
      </c>
      <c r="D147" s="166">
        <v>13926</v>
      </c>
      <c r="E147" s="166"/>
      <c r="F147" s="521">
        <f t="shared" si="2"/>
        <v>13926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hidden="1" x14ac:dyDescent="0.2">
      <c r="B148" s="516" t="s">
        <v>789</v>
      </c>
      <c r="C148" s="15" t="s">
        <v>1149</v>
      </c>
      <c r="D148" s="166"/>
      <c r="E148" s="166"/>
      <c r="F148" s="521">
        <f t="shared" si="2"/>
        <v>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hidden="1" x14ac:dyDescent="0.2">
      <c r="B149" s="516" t="s">
        <v>789</v>
      </c>
      <c r="C149" s="8" t="s">
        <v>1127</v>
      </c>
      <c r="D149" s="166"/>
      <c r="E149" s="166"/>
      <c r="F149" s="521">
        <f t="shared" si="2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hidden="1" x14ac:dyDescent="0.2">
      <c r="B150" s="516" t="s">
        <v>789</v>
      </c>
      <c r="C150" s="8" t="s">
        <v>1126</v>
      </c>
      <c r="D150" s="166"/>
      <c r="E150" s="166"/>
      <c r="F150" s="521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hidden="1" x14ac:dyDescent="0.2">
      <c r="B151" s="516" t="s">
        <v>789</v>
      </c>
      <c r="C151" s="15" t="s">
        <v>1128</v>
      </c>
      <c r="D151" s="166"/>
      <c r="E151" s="166"/>
      <c r="F151" s="521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hidden="1" x14ac:dyDescent="0.2">
      <c r="B152" s="516" t="s">
        <v>789</v>
      </c>
      <c r="C152" s="15" t="s">
        <v>1037</v>
      </c>
      <c r="D152" s="166"/>
      <c r="E152" s="166"/>
      <c r="F152" s="521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ht="12" hidden="1" customHeight="1" x14ac:dyDescent="0.2">
      <c r="B153" s="516" t="s">
        <v>789</v>
      </c>
      <c r="C153" s="15" t="s">
        <v>1021</v>
      </c>
      <c r="D153" s="13"/>
      <c r="E153" s="13"/>
      <c r="F153" s="521">
        <f t="shared" si="2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ht="12" hidden="1" customHeight="1" x14ac:dyDescent="0.2">
      <c r="B154" s="516" t="s">
        <v>789</v>
      </c>
      <c r="C154" s="8" t="s">
        <v>895</v>
      </c>
      <c r="D154" s="13"/>
      <c r="E154" s="13"/>
      <c r="F154" s="521">
        <f t="shared" si="2"/>
        <v>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ht="12" hidden="1" customHeight="1" x14ac:dyDescent="0.2">
      <c r="B155" s="516" t="s">
        <v>789</v>
      </c>
      <c r="C155" s="8" t="s">
        <v>911</v>
      </c>
      <c r="D155" s="13"/>
      <c r="E155" s="13"/>
      <c r="F155" s="521">
        <f t="shared" si="2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ht="12" hidden="1" customHeight="1" x14ac:dyDescent="0.2">
      <c r="B156" s="516" t="s">
        <v>789</v>
      </c>
      <c r="C156" s="8" t="s">
        <v>918</v>
      </c>
      <c r="D156" s="13"/>
      <c r="E156" s="13"/>
      <c r="F156" s="521">
        <f t="shared" si="2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x14ac:dyDescent="0.2">
      <c r="B157" s="508" t="s">
        <v>790</v>
      </c>
      <c r="C157" s="8" t="s">
        <v>1402</v>
      </c>
      <c r="D157" s="13">
        <v>494</v>
      </c>
      <c r="E157" s="13"/>
      <c r="F157" s="521">
        <f t="shared" si="2"/>
        <v>494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hidden="1" x14ac:dyDescent="0.2">
      <c r="B158" s="508" t="s">
        <v>790</v>
      </c>
      <c r="C158" s="15" t="s">
        <v>1129</v>
      </c>
      <c r="D158" s="13"/>
      <c r="E158" s="13"/>
      <c r="F158" s="521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x14ac:dyDescent="0.2">
      <c r="B159" s="508" t="s">
        <v>790</v>
      </c>
      <c r="C159" s="8" t="s">
        <v>1410</v>
      </c>
      <c r="D159" s="13">
        <v>1160</v>
      </c>
      <c r="E159" s="13"/>
      <c r="F159" s="521">
        <f t="shared" si="2"/>
        <v>1160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hidden="1" x14ac:dyDescent="0.2">
      <c r="B160" s="508" t="s">
        <v>790</v>
      </c>
      <c r="C160" s="21" t="s">
        <v>1333</v>
      </c>
      <c r="D160" s="13"/>
      <c r="E160" s="13"/>
      <c r="F160" s="521">
        <f t="shared" si="2"/>
        <v>0</v>
      </c>
      <c r="G160" s="2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ht="13.5" customHeight="1" x14ac:dyDescent="0.2">
      <c r="B161" s="508" t="s">
        <v>791</v>
      </c>
      <c r="C161" s="8" t="s">
        <v>1047</v>
      </c>
      <c r="D161" s="13">
        <f>-1105-2563-950+3940+50000+4000-1160</f>
        <v>52162</v>
      </c>
      <c r="E161" s="13"/>
      <c r="F161" s="521">
        <f t="shared" si="2"/>
        <v>52162</v>
      </c>
      <c r="G161" s="2"/>
      <c r="H161" s="7">
        <f>'2.működés'!I126</f>
        <v>52162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ht="13.5" hidden="1" customHeight="1" x14ac:dyDescent="0.2">
      <c r="B162" s="508" t="s">
        <v>791</v>
      </c>
      <c r="C162" s="8" t="s">
        <v>792</v>
      </c>
      <c r="D162" s="13"/>
      <c r="E162" s="13"/>
      <c r="F162" s="521">
        <f t="shared" si="2"/>
        <v>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ht="15" x14ac:dyDescent="0.25">
      <c r="B163" s="507" t="s">
        <v>205</v>
      </c>
      <c r="C163" s="23" t="s">
        <v>227</v>
      </c>
      <c r="D163" s="42">
        <f>SUM(D164:D182)+D185+D186</f>
        <v>465533</v>
      </c>
      <c r="E163" s="42">
        <f>SUM(E164:E182)+E185</f>
        <v>2000</v>
      </c>
      <c r="F163" s="522">
        <f>SUM(F164:F182)+F185+F186</f>
        <v>467533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s="421" customFormat="1" hidden="1" x14ac:dyDescent="0.2">
      <c r="B164" s="516" t="s">
        <v>252</v>
      </c>
      <c r="C164" s="8" t="s">
        <v>1098</v>
      </c>
      <c r="D164" s="13"/>
      <c r="E164" s="166"/>
      <c r="F164" s="521">
        <f t="shared" ref="F164:F174" si="4">D164+E164</f>
        <v>0</v>
      </c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</row>
    <row r="165" spans="2:35" s="50" customFormat="1" ht="13.5" hidden="1" customHeight="1" x14ac:dyDescent="0.2">
      <c r="B165" s="516" t="s">
        <v>252</v>
      </c>
      <c r="C165" s="8" t="s">
        <v>1103</v>
      </c>
      <c r="D165" s="13"/>
      <c r="E165" s="13"/>
      <c r="F165" s="521">
        <f t="shared" si="4"/>
        <v>0</v>
      </c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50" customFormat="1" x14ac:dyDescent="0.2">
      <c r="B166" s="516" t="s">
        <v>252</v>
      </c>
      <c r="C166" s="20" t="s">
        <v>1408</v>
      </c>
      <c r="D166" s="13"/>
      <c r="E166" s="13">
        <v>2000</v>
      </c>
      <c r="F166" s="521">
        <f t="shared" si="4"/>
        <v>2000</v>
      </c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50" customFormat="1" x14ac:dyDescent="0.2">
      <c r="B167" s="516" t="s">
        <v>252</v>
      </c>
      <c r="C167" s="8" t="s">
        <v>1409</v>
      </c>
      <c r="D167" s="13">
        <v>300</v>
      </c>
      <c r="E167" s="13"/>
      <c r="F167" s="521">
        <f t="shared" si="4"/>
        <v>300</v>
      </c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50" customFormat="1" x14ac:dyDescent="0.2">
      <c r="B168" s="516" t="s">
        <v>355</v>
      </c>
      <c r="C168" s="20" t="s">
        <v>1389</v>
      </c>
      <c r="D168" s="11">
        <v>200552</v>
      </c>
      <c r="E168" s="166"/>
      <c r="F168" s="597">
        <f t="shared" si="4"/>
        <v>200552</v>
      </c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50" customFormat="1" ht="13.5" customHeight="1" x14ac:dyDescent="0.2">
      <c r="B169" s="516" t="s">
        <v>355</v>
      </c>
      <c r="C169" s="8" t="s">
        <v>1413</v>
      </c>
      <c r="D169" s="11">
        <v>23286</v>
      </c>
      <c r="E169" s="13"/>
      <c r="F169" s="521">
        <f t="shared" si="4"/>
        <v>23286</v>
      </c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50" customFormat="1" ht="13.5" hidden="1" customHeight="1" x14ac:dyDescent="0.2">
      <c r="B170" s="516"/>
      <c r="C170" s="669"/>
      <c r="D170" s="261"/>
      <c r="E170" s="13"/>
      <c r="F170" s="521">
        <f t="shared" si="4"/>
        <v>0</v>
      </c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50" customFormat="1" ht="13.5" hidden="1" customHeight="1" x14ac:dyDescent="0.2">
      <c r="B171" s="516"/>
      <c r="C171" s="8"/>
      <c r="D171" s="13"/>
      <c r="E171" s="13"/>
      <c r="F171" s="521">
        <f t="shared" si="4"/>
        <v>0</v>
      </c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50" customFormat="1" ht="13.5" hidden="1" customHeight="1" x14ac:dyDescent="0.2">
      <c r="B172" s="516"/>
      <c r="C172" s="8"/>
      <c r="D172" s="13"/>
      <c r="E172" s="13"/>
      <c r="F172" s="521">
        <f t="shared" si="4"/>
        <v>0</v>
      </c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50" customFormat="1" ht="13.5" hidden="1" customHeight="1" x14ac:dyDescent="0.2">
      <c r="B173" s="516" t="s">
        <v>355</v>
      </c>
      <c r="C173" s="8" t="s">
        <v>1104</v>
      </c>
      <c r="D173" s="13"/>
      <c r="E173" s="13"/>
      <c r="F173" s="521">
        <f t="shared" si="4"/>
        <v>0</v>
      </c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50" customFormat="1" ht="13.5" hidden="1" customHeight="1" x14ac:dyDescent="0.2">
      <c r="B174" s="516" t="s">
        <v>355</v>
      </c>
      <c r="C174" s="8" t="s">
        <v>1105</v>
      </c>
      <c r="D174" s="13"/>
      <c r="E174" s="13"/>
      <c r="F174" s="521">
        <f t="shared" si="4"/>
        <v>0</v>
      </c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50" customFormat="1" ht="13.5" hidden="1" customHeight="1" x14ac:dyDescent="0.2">
      <c r="B175" s="516" t="s">
        <v>355</v>
      </c>
      <c r="C175" s="8" t="s">
        <v>1046</v>
      </c>
      <c r="D175" s="13"/>
      <c r="E175" s="13"/>
      <c r="F175" s="521">
        <f t="shared" ref="F175:F188" si="5">D175+E175</f>
        <v>0</v>
      </c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50" customFormat="1" ht="13.5" hidden="1" customHeight="1" x14ac:dyDescent="0.2">
      <c r="B176" s="516"/>
      <c r="C176" s="8"/>
      <c r="D176" s="13"/>
      <c r="E176" s="13"/>
      <c r="F176" s="521">
        <f t="shared" si="5"/>
        <v>0</v>
      </c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50" customFormat="1" hidden="1" x14ac:dyDescent="0.2">
      <c r="B177" s="516"/>
      <c r="C177" s="20" t="s">
        <v>896</v>
      </c>
      <c r="D177" s="13"/>
      <c r="E177" s="13"/>
      <c r="F177" s="521">
        <f t="shared" si="5"/>
        <v>0</v>
      </c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50" customFormat="1" ht="13.5" hidden="1" customHeight="1" x14ac:dyDescent="0.2">
      <c r="B178" s="516"/>
      <c r="C178" s="8"/>
      <c r="D178" s="13"/>
      <c r="E178" s="13"/>
      <c r="F178" s="521">
        <f t="shared" si="5"/>
        <v>0</v>
      </c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50" customFormat="1" ht="13.5" hidden="1" customHeight="1" x14ac:dyDescent="0.2">
      <c r="B179" s="516" t="s">
        <v>794</v>
      </c>
      <c r="C179" s="8" t="s">
        <v>802</v>
      </c>
      <c r="D179" s="13"/>
      <c r="E179" s="13"/>
      <c r="F179" s="521">
        <f t="shared" si="5"/>
        <v>0</v>
      </c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50" customFormat="1" ht="13.5" hidden="1" customHeight="1" x14ac:dyDescent="0.2">
      <c r="B180" s="516" t="s">
        <v>794</v>
      </c>
      <c r="C180" s="8" t="s">
        <v>803</v>
      </c>
      <c r="D180" s="13"/>
      <c r="E180" s="13"/>
      <c r="F180" s="521">
        <f t="shared" si="5"/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50" customFormat="1" ht="13.5" hidden="1" customHeight="1" x14ac:dyDescent="0.2">
      <c r="B181" s="516" t="s">
        <v>794</v>
      </c>
      <c r="C181" s="8" t="s">
        <v>806</v>
      </c>
      <c r="D181" s="13"/>
      <c r="E181" s="13"/>
      <c r="F181" s="521">
        <f t="shared" si="5"/>
        <v>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50" customFormat="1" ht="13.5" hidden="1" customHeight="1" x14ac:dyDescent="0.25">
      <c r="B182" s="508" t="s">
        <v>354</v>
      </c>
      <c r="C182" s="517" t="s">
        <v>1031</v>
      </c>
      <c r="D182" s="160">
        <f>SUM(D183:D184)</f>
        <v>0</v>
      </c>
      <c r="E182" s="160">
        <f>SUM(E183:E184)</f>
        <v>0</v>
      </c>
      <c r="F182" s="525">
        <f>SUM(F183:F184)</f>
        <v>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s="50" customFormat="1" ht="13.5" hidden="1" customHeight="1" x14ac:dyDescent="0.2">
      <c r="B183" s="508" t="s">
        <v>1033</v>
      </c>
      <c r="C183" s="224" t="s">
        <v>1166</v>
      </c>
      <c r="D183" s="13"/>
      <c r="E183" s="13"/>
      <c r="F183" s="521">
        <f t="shared" si="5"/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50" customFormat="1" ht="13.5" hidden="1" customHeight="1" x14ac:dyDescent="0.2">
      <c r="B184" s="508"/>
      <c r="C184" s="224"/>
      <c r="D184" s="13"/>
      <c r="E184" s="13"/>
      <c r="F184" s="521">
        <f t="shared" si="5"/>
        <v>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50" customFormat="1" ht="13.5" customHeight="1" x14ac:dyDescent="0.2">
      <c r="B185" s="508"/>
      <c r="C185" s="8" t="s">
        <v>1148</v>
      </c>
      <c r="D185" s="13">
        <f>-7753+249448-300</f>
        <v>241395</v>
      </c>
      <c r="E185" s="13"/>
      <c r="F185" s="521">
        <f t="shared" si="5"/>
        <v>241395</v>
      </c>
      <c r="G185" s="2"/>
      <c r="H185" s="7">
        <f>'3.felh'!F85-'3.felh'!E85</f>
        <v>241395</v>
      </c>
      <c r="I185" s="2"/>
      <c r="J185" s="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s="50" customFormat="1" ht="13.5" hidden="1" customHeight="1" x14ac:dyDescent="0.2">
      <c r="B186" s="508"/>
      <c r="C186" s="8" t="s">
        <v>1323</v>
      </c>
      <c r="D186" s="13"/>
      <c r="E186" s="13"/>
      <c r="F186" s="521">
        <f t="shared" si="5"/>
        <v>0</v>
      </c>
      <c r="G186" s="2"/>
      <c r="H186" s="7">
        <f>D185+D186</f>
        <v>241395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6.5" customHeight="1" thickBot="1" x14ac:dyDescent="0.3">
      <c r="B187" s="507" t="s">
        <v>206</v>
      </c>
      <c r="C187" s="187" t="s">
        <v>343</v>
      </c>
      <c r="D187" s="43">
        <f>SUM(D188:D188)</f>
        <v>0</v>
      </c>
      <c r="E187" s="43">
        <f>SUM(E188:E188)</f>
        <v>0</v>
      </c>
      <c r="F187" s="526">
        <f>SUM(F188:F188)</f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s="50" customFormat="1" ht="13.5" hidden="1" customHeight="1" thickBot="1" x14ac:dyDescent="0.25">
      <c r="B188" s="513" t="s">
        <v>1342</v>
      </c>
      <c r="C188" s="224" t="s">
        <v>1343</v>
      </c>
      <c r="D188" s="80"/>
      <c r="E188" s="12"/>
      <c r="F188" s="521">
        <f t="shared" si="5"/>
        <v>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20.25" thickBot="1" x14ac:dyDescent="0.4">
      <c r="B189" s="514"/>
      <c r="C189" s="518" t="s">
        <v>793</v>
      </c>
      <c r="D189" s="515">
        <f>SUM(D72+D187)</f>
        <v>552607</v>
      </c>
      <c r="E189" s="515">
        <f>SUM(E72+E187)</f>
        <v>8437</v>
      </c>
      <c r="F189" s="48">
        <f>SUM(F72+F187)</f>
        <v>561044</v>
      </c>
      <c r="G189" s="7">
        <f>F71-F189</f>
        <v>0</v>
      </c>
      <c r="H189" s="7">
        <f>'1.Bev-kiad.'!I84</f>
        <v>0</v>
      </c>
      <c r="I189" s="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hidden="1" customHeight="1" x14ac:dyDescent="0.2">
      <c r="D191" s="76">
        <f>D71-D189</f>
        <v>8127</v>
      </c>
      <c r="E191" s="76">
        <f>E71-E189</f>
        <v>-8127</v>
      </c>
      <c r="F191" s="76">
        <f>F71-F189</f>
        <v>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hidden="1" customHeight="1" x14ac:dyDescent="0.2">
      <c r="C192" t="s">
        <v>917</v>
      </c>
      <c r="E192" s="76">
        <f>SUM(E189-E71)</f>
        <v>8127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2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2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2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2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2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2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2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2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2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2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2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2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2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2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2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2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2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2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2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2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2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2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2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2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2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2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2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2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2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2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2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2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2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2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2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2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2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2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2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2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2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2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2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2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2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2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2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2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2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2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2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2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2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2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2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2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2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2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2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2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2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2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2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2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2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2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2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2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2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2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2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2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2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2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2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2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2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2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2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2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2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2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2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2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2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2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2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2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2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2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2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2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2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2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2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2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2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2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2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2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2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2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2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2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2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2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2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2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2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2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2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2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2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2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2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2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2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2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2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2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2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2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2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2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2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2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2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2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2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2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2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2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2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2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2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2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2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2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2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2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2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2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2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2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2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2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2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2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2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2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2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2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2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2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2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2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2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2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2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2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2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2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2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2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2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2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2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2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2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2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2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2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2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2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2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2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2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2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2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2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2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2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2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2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2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2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2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2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2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2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2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2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2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2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2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2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2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2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2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2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2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2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2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2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2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2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2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2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2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2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2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2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2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2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2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2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2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2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2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2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2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2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2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2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2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2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2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2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2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2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2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2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2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2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2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2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2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2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2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2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2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2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2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2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2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2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2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2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2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2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2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2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2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2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2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2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2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2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2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2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2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2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2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2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2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2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2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2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2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2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2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2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2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2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2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2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2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2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2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2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2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2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2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2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2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2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2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2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2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2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2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2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2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2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2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2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2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2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2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2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2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2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2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2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2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2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2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2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2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2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2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2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2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2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2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2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2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2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2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2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2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2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2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2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2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2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2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2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2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2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2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2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2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2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2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2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2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2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2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2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2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2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2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2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2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2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2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2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2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2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2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2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2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2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2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2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2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2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2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2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2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2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2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2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2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2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2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2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2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2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2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2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2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2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2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2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2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2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2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2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2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2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2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2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2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2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2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2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2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2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2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2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2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2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2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2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2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2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2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2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2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2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  <c r="C740" s="2"/>
      <c r="D740" s="2"/>
      <c r="E740" s="2"/>
      <c r="F740" s="2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ht="15.75" customHeight="1" x14ac:dyDescent="0.2">
      <c r="B741"/>
      <c r="C741" s="2"/>
      <c r="D741" s="2"/>
      <c r="E741" s="2"/>
      <c r="F741" s="2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ht="15.75" customHeight="1" x14ac:dyDescent="0.2">
      <c r="B742"/>
      <c r="C742" s="2"/>
      <c r="D742" s="2"/>
      <c r="E742" s="2"/>
      <c r="F742" s="2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ht="15.75" customHeight="1" x14ac:dyDescent="0.2">
      <c r="B743"/>
      <c r="C743" s="2"/>
      <c r="D743" s="2"/>
      <c r="E743" s="2"/>
      <c r="F743" s="2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:35" ht="15.75" customHeight="1" x14ac:dyDescent="0.2">
      <c r="B744"/>
      <c r="C744" s="2"/>
      <c r="D744" s="2"/>
      <c r="E744" s="2"/>
      <c r="F744" s="2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:35" ht="15.75" customHeight="1" x14ac:dyDescent="0.2">
      <c r="B745"/>
      <c r="C745" s="2"/>
      <c r="D745" s="2"/>
      <c r="E745" s="2"/>
      <c r="F745" s="2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:35" ht="15.75" customHeight="1" x14ac:dyDescent="0.2">
      <c r="B746"/>
      <c r="C746" s="2"/>
      <c r="D746" s="2"/>
      <c r="E746" s="2"/>
      <c r="F746" s="2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2:35" ht="15.75" customHeight="1" x14ac:dyDescent="0.2">
      <c r="B747"/>
    </row>
    <row r="748" spans="2:35" ht="15.75" customHeight="1" x14ac:dyDescent="0.2">
      <c r="B748"/>
    </row>
    <row r="749" spans="2:35" ht="15.75" customHeight="1" x14ac:dyDescent="0.2">
      <c r="B749"/>
    </row>
    <row r="750" spans="2:35" ht="15.75" customHeight="1" x14ac:dyDescent="0.2">
      <c r="B750"/>
    </row>
    <row r="751" spans="2:35" ht="15.75" customHeight="1" x14ac:dyDescent="0.2">
      <c r="B751"/>
    </row>
    <row r="752" spans="2:35" ht="15.75" customHeight="1" x14ac:dyDescent="0.2">
      <c r="B752"/>
    </row>
    <row r="753" spans="2:35" ht="15.75" customHeight="1" x14ac:dyDescent="0.2">
      <c r="B753"/>
    </row>
    <row r="754" spans="2:35" ht="15.75" customHeight="1" x14ac:dyDescent="0.2">
      <c r="B754"/>
    </row>
    <row r="755" spans="2:35" ht="15.75" customHeight="1" x14ac:dyDescent="0.2">
      <c r="B755"/>
    </row>
    <row r="756" spans="2:35" ht="15.75" customHeight="1" x14ac:dyDescent="0.2">
      <c r="B756"/>
    </row>
    <row r="757" spans="2:35" s="2" customFormat="1" ht="15.75" customHeight="1" x14ac:dyDescent="0.2">
      <c r="C757"/>
      <c r="D757"/>
      <c r="E757"/>
      <c r="F757" s="3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2:35" s="2" customFormat="1" ht="15.75" customHeight="1" x14ac:dyDescent="0.2">
      <c r="C758"/>
      <c r="D758"/>
      <c r="E758"/>
      <c r="F758" s="37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2:35" s="2" customFormat="1" ht="15.75" customHeight="1" x14ac:dyDescent="0.2">
      <c r="C759"/>
      <c r="D759"/>
      <c r="E759"/>
      <c r="F759" s="37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2:35" s="2" customFormat="1" ht="15.75" customHeight="1" x14ac:dyDescent="0.2">
      <c r="C760"/>
      <c r="D760"/>
      <c r="E760"/>
      <c r="F760" s="37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2:35" s="2" customFormat="1" ht="15.75" customHeight="1" x14ac:dyDescent="0.2">
      <c r="C761"/>
      <c r="D761"/>
      <c r="E761"/>
      <c r="F761" s="37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2:35" s="2" customFormat="1" ht="15.75" customHeight="1" x14ac:dyDescent="0.2">
      <c r="C762"/>
      <c r="D762"/>
      <c r="E762"/>
      <c r="F762" s="37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2:35" s="2" customFormat="1" ht="15.75" customHeight="1" x14ac:dyDescent="0.2">
      <c r="C763"/>
      <c r="D763"/>
      <c r="E763"/>
      <c r="F763" s="37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2:35" s="2" customFormat="1" ht="15.75" customHeight="1" x14ac:dyDescent="0.2">
      <c r="C764"/>
      <c r="D764"/>
      <c r="E764"/>
      <c r="F764" s="37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2:35" s="2" customFormat="1" ht="15.75" customHeight="1" x14ac:dyDescent="0.2">
      <c r="C765"/>
      <c r="D765"/>
      <c r="E765"/>
      <c r="F765" s="37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2:35" s="2" customFormat="1" ht="15.75" customHeight="1" x14ac:dyDescent="0.2">
      <c r="C766"/>
      <c r="D766"/>
      <c r="E766"/>
      <c r="F766" s="37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2:35" s="2" customFormat="1" ht="15.75" customHeight="1" x14ac:dyDescent="0.2">
      <c r="C767"/>
      <c r="D767"/>
      <c r="E767"/>
      <c r="F767" s="3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2:35" s="2" customFormat="1" ht="15.75" customHeight="1" x14ac:dyDescent="0.2">
      <c r="C768"/>
      <c r="D768"/>
      <c r="E768"/>
      <c r="F768" s="37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37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37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37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37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37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37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37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37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3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37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37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37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37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37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37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37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37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37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3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37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37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37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37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37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37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37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37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37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3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37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37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37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37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37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37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37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37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37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3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37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37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37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37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37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37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37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37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37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3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37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37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37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37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37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37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37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37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37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3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37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37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37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37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37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37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37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37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37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37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37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37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37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37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37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  <row r="844" spans="3:35" s="2" customFormat="1" ht="15.75" customHeight="1" x14ac:dyDescent="0.2">
      <c r="C844"/>
      <c r="D844"/>
      <c r="E844"/>
      <c r="F844" s="37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3:35" s="2" customFormat="1" ht="15.75" customHeight="1" x14ac:dyDescent="0.2">
      <c r="C845"/>
      <c r="D845"/>
      <c r="E845"/>
      <c r="F845" s="37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</row>
    <row r="846" spans="3:35" s="2" customFormat="1" ht="15.75" customHeight="1" x14ac:dyDescent="0.2">
      <c r="C846"/>
      <c r="D846"/>
      <c r="E846"/>
      <c r="F846" s="37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  <row r="847" spans="3:35" s="2" customFormat="1" ht="15.75" customHeight="1" x14ac:dyDescent="0.2">
      <c r="C847"/>
      <c r="D847"/>
      <c r="E847"/>
      <c r="F847" s="3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</row>
    <row r="848" spans="3:35" s="2" customFormat="1" ht="15.75" customHeight="1" x14ac:dyDescent="0.2">
      <c r="C848"/>
      <c r="D848"/>
      <c r="E848"/>
      <c r="F848" s="37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</row>
    <row r="849" spans="3:35" s="2" customFormat="1" ht="15.75" customHeight="1" x14ac:dyDescent="0.2">
      <c r="C849"/>
      <c r="D849"/>
      <c r="E849"/>
      <c r="F849" s="37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</row>
    <row r="850" spans="3:35" s="2" customFormat="1" ht="15.75" customHeight="1" x14ac:dyDescent="0.2">
      <c r="C850"/>
      <c r="D850"/>
      <c r="E850"/>
      <c r="F850" s="37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</row>
  </sheetData>
  <mergeCells count="5">
    <mergeCell ref="C2:F2"/>
    <mergeCell ref="C3:F3"/>
    <mergeCell ref="B5:B6"/>
    <mergeCell ref="C5:C6"/>
    <mergeCell ref="D5:F5"/>
  </mergeCells>
  <phoneticPr fontId="13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85" orientation="landscape" r:id="rId1"/>
  <rowBreaks count="3" manualBreakCount="3">
    <brk id="71" max="5" man="1"/>
    <brk id="189" max="5" man="1"/>
    <brk id="19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971</v>
      </c>
    </row>
    <row r="8" spans="1:9" x14ac:dyDescent="0.2">
      <c r="C8" t="s">
        <v>976</v>
      </c>
    </row>
    <row r="10" spans="1:9" x14ac:dyDescent="0.2">
      <c r="E10" s="496" t="s">
        <v>395</v>
      </c>
      <c r="F10" s="496" t="s">
        <v>975</v>
      </c>
      <c r="G10" s="496" t="s">
        <v>832</v>
      </c>
    </row>
    <row r="11" spans="1:9" x14ac:dyDescent="0.2">
      <c r="C11" t="s">
        <v>974</v>
      </c>
      <c r="E11" s="76">
        <v>576798100</v>
      </c>
      <c r="F11" s="76">
        <f>(E11*0.27)</f>
        <v>155735487</v>
      </c>
      <c r="G11" s="569">
        <f>SUM(E11:F11)</f>
        <v>732533587</v>
      </c>
      <c r="H11" s="76"/>
      <c r="I11" s="76"/>
    </row>
    <row r="12" spans="1:9" x14ac:dyDescent="0.2">
      <c r="C12" t="s">
        <v>972</v>
      </c>
      <c r="E12" s="76">
        <v>158700000</v>
      </c>
      <c r="F12" s="76">
        <f>(E12*0.27)</f>
        <v>42849000</v>
      </c>
      <c r="G12" s="569">
        <f>SUM(E12:F12)</f>
        <v>201549000</v>
      </c>
      <c r="H12" s="76"/>
      <c r="I12" s="76"/>
    </row>
    <row r="13" spans="1:9" x14ac:dyDescent="0.2">
      <c r="C13" t="s">
        <v>973</v>
      </c>
      <c r="E13" s="569">
        <f>SUM(E11-E12)</f>
        <v>418098100</v>
      </c>
      <c r="F13" s="569">
        <f>SUM(F11-F12)</f>
        <v>112886487</v>
      </c>
      <c r="G13" s="76">
        <f>SUM(G11-G12)</f>
        <v>530984587</v>
      </c>
      <c r="H13" s="76"/>
      <c r="I13" s="76"/>
    </row>
    <row r="14" spans="1:9" x14ac:dyDescent="0.2">
      <c r="E14" s="76"/>
      <c r="F14" s="37">
        <f>SUM(E13*0.27)</f>
        <v>112886487</v>
      </c>
      <c r="G14" s="76"/>
      <c r="H14" s="76"/>
      <c r="I14" s="76"/>
    </row>
    <row r="15" spans="1:9" x14ac:dyDescent="0.2">
      <c r="E15" s="76"/>
      <c r="F15" s="76"/>
      <c r="G15" s="76"/>
      <c r="H15" s="76"/>
      <c r="I15" s="76"/>
    </row>
    <row r="16" spans="1:9" x14ac:dyDescent="0.2">
      <c r="C16" t="s">
        <v>977</v>
      </c>
      <c r="E16" s="76">
        <v>120703587</v>
      </c>
      <c r="F16" s="76"/>
      <c r="G16" s="76"/>
      <c r="H16" s="76"/>
      <c r="I16" s="76"/>
    </row>
    <row r="17" spans="5:9" x14ac:dyDescent="0.2">
      <c r="E17" s="76"/>
      <c r="F17" s="76"/>
      <c r="G17" s="76"/>
      <c r="H17" s="76"/>
      <c r="I17" s="76"/>
    </row>
    <row r="18" spans="5:9" x14ac:dyDescent="0.2">
      <c r="E18" s="76"/>
      <c r="F18" s="76"/>
      <c r="G18" s="76"/>
      <c r="H18" s="76"/>
      <c r="I18" s="76"/>
    </row>
    <row r="19" spans="5:9" x14ac:dyDescent="0.2">
      <c r="E19" s="76"/>
      <c r="F19" s="76"/>
      <c r="G19" s="76"/>
      <c r="H19" s="76"/>
      <c r="I19" s="76"/>
    </row>
    <row r="20" spans="5:9" x14ac:dyDescent="0.2">
      <c r="E20" s="76"/>
      <c r="F20" s="76"/>
      <c r="G20" s="76"/>
      <c r="H20" s="76"/>
      <c r="I20" s="76"/>
    </row>
    <row r="21" spans="5:9" x14ac:dyDescent="0.2">
      <c r="E21" s="76"/>
      <c r="F21" s="76"/>
      <c r="G21" s="76"/>
      <c r="H21" s="76"/>
      <c r="I21" s="76"/>
    </row>
    <row r="22" spans="5:9" x14ac:dyDescent="0.2">
      <c r="E22" s="76"/>
      <c r="F22" s="76"/>
      <c r="G22" s="76"/>
      <c r="H22" s="76"/>
      <c r="I22" s="76"/>
    </row>
    <row r="23" spans="5:9" x14ac:dyDescent="0.2">
      <c r="E23" s="76"/>
      <c r="F23" s="76"/>
      <c r="G23" s="76"/>
      <c r="H23" s="76"/>
      <c r="I23" s="76"/>
    </row>
    <row r="24" spans="5:9" x14ac:dyDescent="0.2">
      <c r="E24" s="76"/>
      <c r="F24" s="76"/>
      <c r="G24" s="76"/>
      <c r="H24" s="76"/>
      <c r="I24" s="76"/>
    </row>
    <row r="25" spans="5:9" x14ac:dyDescent="0.2">
      <c r="E25" s="76"/>
      <c r="F25" s="76"/>
      <c r="G25" s="76"/>
      <c r="H25" s="76"/>
      <c r="I25" s="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228"/>
  <sheetViews>
    <sheetView zoomScale="80" zoomScaleNormal="80" zoomScaleSheetLayoutView="90" workbookViewId="0">
      <selection activeCell="B8" sqref="B8:B9"/>
    </sheetView>
  </sheetViews>
  <sheetFormatPr defaultRowHeight="12.75" x14ac:dyDescent="0.2"/>
  <cols>
    <col min="1" max="1" width="6.140625" customWidth="1"/>
    <col min="2" max="2" width="69.28515625" customWidth="1"/>
    <col min="3" max="4" width="11.5703125" customWidth="1"/>
    <col min="5" max="5" width="11.5703125" hidden="1" customWidth="1"/>
    <col min="6" max="6" width="11.5703125" customWidth="1"/>
    <col min="7" max="8" width="10.85546875" hidden="1" customWidth="1"/>
    <col min="9" max="10" width="12.7109375" customWidth="1"/>
    <col min="11" max="11" width="12.7109375" hidden="1" customWidth="1"/>
    <col min="12" max="12" width="12.7109375" customWidth="1"/>
    <col min="13" max="19" width="10.85546875" hidden="1" customWidth="1"/>
    <col min="20" max="21" width="15" customWidth="1"/>
    <col min="22" max="22" width="15" hidden="1" customWidth="1"/>
    <col min="23" max="23" width="14.140625" customWidth="1"/>
    <col min="24" max="24" width="9.42578125" hidden="1" customWidth="1"/>
    <col min="25" max="25" width="9.7109375" hidden="1" customWidth="1"/>
    <col min="26" max="26" width="6" style="9" customWidth="1"/>
    <col min="27" max="27" width="11" style="9" hidden="1" customWidth="1"/>
    <col min="28" max="28" width="6.85546875" style="9" hidden="1" customWidth="1"/>
    <col min="29" max="29" width="7.5703125" style="9" hidden="1" customWidth="1"/>
    <col min="30" max="30" width="4.85546875" style="9" customWidth="1"/>
    <col min="31" max="31" width="9.140625" customWidth="1"/>
    <col min="32" max="32" width="9.140625" hidden="1" customWidth="1"/>
    <col min="33" max="34" width="9.140625" customWidth="1"/>
  </cols>
  <sheetData>
    <row r="1" spans="1:30" x14ac:dyDescent="0.2">
      <c r="A1" s="54"/>
      <c r="B1" s="1"/>
      <c r="C1" s="85"/>
      <c r="D1" s="85"/>
      <c r="E1" s="85"/>
      <c r="F1" s="85"/>
      <c r="G1" s="8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V1" s="177"/>
      <c r="W1" s="177" t="s">
        <v>903</v>
      </c>
      <c r="X1" s="57"/>
    </row>
    <row r="2" spans="1:30" x14ac:dyDescent="0.2">
      <c r="A2" s="54"/>
      <c r="B2" s="1"/>
      <c r="C2" s="85"/>
      <c r="D2" s="85"/>
      <c r="E2" s="85"/>
      <c r="F2" s="85"/>
      <c r="G2" s="85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V2" s="181"/>
      <c r="W2" s="181" t="str">
        <f>'1.Bev-kiad.'!F2</f>
        <v>a 20/2023.(IX.29.) önkormányzati rendelethez</v>
      </c>
      <c r="X2" s="57"/>
    </row>
    <row r="3" spans="1:30" x14ac:dyDescent="0.2">
      <c r="A3" s="54"/>
      <c r="B3" s="1"/>
      <c r="C3" s="85"/>
      <c r="D3" s="85"/>
      <c r="E3" s="85"/>
      <c r="F3" s="85"/>
      <c r="G3" s="85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V3" s="181"/>
      <c r="W3" s="181" t="s">
        <v>1318</v>
      </c>
      <c r="X3" s="57"/>
    </row>
    <row r="4" spans="1:30" ht="15.75" x14ac:dyDescent="0.25">
      <c r="A4" s="814" t="s">
        <v>93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</row>
    <row r="5" spans="1:30" ht="15.75" x14ac:dyDescent="0.25">
      <c r="A5" s="814" t="s">
        <v>1211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  <c r="U5" s="766"/>
      <c r="V5" s="766"/>
      <c r="W5" s="766"/>
      <c r="X5" s="766"/>
      <c r="Y5" s="766"/>
    </row>
    <row r="6" spans="1:30" ht="15.75" x14ac:dyDescent="0.25">
      <c r="A6" s="814" t="s">
        <v>400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</row>
    <row r="7" spans="1:30" ht="13.5" thickBo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V7" s="85"/>
      <c r="W7" s="85" t="s">
        <v>0</v>
      </c>
      <c r="X7" s="181"/>
    </row>
    <row r="8" spans="1:30" ht="77.25" customHeight="1" thickBot="1" x14ac:dyDescent="0.25">
      <c r="A8" s="815" t="s">
        <v>118</v>
      </c>
      <c r="B8" s="815" t="s">
        <v>29</v>
      </c>
      <c r="C8" s="817" t="s">
        <v>902</v>
      </c>
      <c r="D8" s="818"/>
      <c r="E8" s="818"/>
      <c r="F8" s="818"/>
      <c r="G8" s="818"/>
      <c r="H8" s="819"/>
      <c r="I8" s="817" t="s">
        <v>320</v>
      </c>
      <c r="J8" s="818"/>
      <c r="K8" s="818"/>
      <c r="L8" s="818"/>
      <c r="M8" s="818"/>
      <c r="N8" s="819"/>
      <c r="O8" s="817" t="s">
        <v>1032</v>
      </c>
      <c r="P8" s="818"/>
      <c r="Q8" s="818"/>
      <c r="R8" s="818"/>
      <c r="S8" s="819"/>
      <c r="T8" s="817" t="s">
        <v>47</v>
      </c>
      <c r="U8" s="818"/>
      <c r="V8" s="818"/>
      <c r="W8" s="819"/>
      <c r="X8" s="618"/>
      <c r="Y8" s="619"/>
      <c r="AA8" s="37"/>
      <c r="AB8" s="37"/>
      <c r="AC8" s="568"/>
    </row>
    <row r="9" spans="1:30" ht="39.75" customHeight="1" thickBot="1" x14ac:dyDescent="0.25">
      <c r="A9" s="816"/>
      <c r="B9" s="816"/>
      <c r="C9" s="289" t="s">
        <v>883</v>
      </c>
      <c r="D9" s="289" t="s">
        <v>1316</v>
      </c>
      <c r="E9" s="289" t="s">
        <v>1369</v>
      </c>
      <c r="F9" s="289" t="s">
        <v>1376</v>
      </c>
      <c r="G9" s="289" t="s">
        <v>925</v>
      </c>
      <c r="H9" s="289" t="s">
        <v>924</v>
      </c>
      <c r="I9" s="289" t="str">
        <f>C9</f>
        <v>2023. évi eredeti előirányzat</v>
      </c>
      <c r="J9" s="289" t="str">
        <f>D9</f>
        <v>mód.ei.          2023.06.hó</v>
      </c>
      <c r="K9" s="289" t="s">
        <v>1369</v>
      </c>
      <c r="L9" s="289" t="s">
        <v>1376</v>
      </c>
      <c r="M9" s="289" t="str">
        <f>G9</f>
        <v>mód.előir.
2021. .hó</v>
      </c>
      <c r="N9" s="289" t="str">
        <f>H9</f>
        <v>teljesítés 2021.12.31</v>
      </c>
      <c r="O9" s="289" t="str">
        <f>I9</f>
        <v>2023. évi eredeti előirányzat</v>
      </c>
      <c r="P9" s="289" t="str">
        <f>D9</f>
        <v>mód.ei.          2023.06.hó</v>
      </c>
      <c r="Q9" s="289" t="s">
        <v>1147</v>
      </c>
      <c r="R9" s="289" t="str">
        <f t="shared" ref="R9:S9" si="0">M9</f>
        <v>mód.előir.
2021. .hó</v>
      </c>
      <c r="S9" s="289" t="str">
        <f t="shared" si="0"/>
        <v>teljesítés 2021.12.31</v>
      </c>
      <c r="T9" s="289" t="str">
        <f>C9</f>
        <v>2023. évi eredeti előirányzat</v>
      </c>
      <c r="U9" s="289" t="str">
        <f>D9</f>
        <v>mód.ei.          2023.06.hó</v>
      </c>
      <c r="V9" s="289" t="s">
        <v>1369</v>
      </c>
      <c r="W9" s="289" t="s">
        <v>1376</v>
      </c>
      <c r="X9" s="289" t="str">
        <f>G9</f>
        <v>mód.előir.
2021. .hó</v>
      </c>
      <c r="Y9" s="289" t="str">
        <f>H9</f>
        <v>teljesítés 2021.12.31</v>
      </c>
      <c r="AA9" s="37"/>
      <c r="AB9" s="574"/>
      <c r="AC9" s="575"/>
      <c r="AD9" s="203"/>
    </row>
    <row r="10" spans="1:30" x14ac:dyDescent="0.2">
      <c r="A10" s="157" t="s">
        <v>294</v>
      </c>
      <c r="B10" s="16" t="s">
        <v>295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309"/>
      <c r="U10" s="309"/>
      <c r="V10" s="309"/>
      <c r="W10" s="309"/>
      <c r="X10" s="309"/>
      <c r="Y10" s="309"/>
      <c r="Z10" s="29"/>
      <c r="AA10" s="37"/>
      <c r="AB10" s="574"/>
      <c r="AC10" s="575"/>
      <c r="AD10" s="203"/>
    </row>
    <row r="11" spans="1:30" x14ac:dyDescent="0.2">
      <c r="A11" s="62" t="s">
        <v>780</v>
      </c>
      <c r="B11" s="8" t="s">
        <v>1298</v>
      </c>
      <c r="C11" s="13">
        <v>160350</v>
      </c>
      <c r="D11" s="13">
        <v>160350</v>
      </c>
      <c r="E11" s="13">
        <v>160350</v>
      </c>
      <c r="F11" s="13">
        <v>160350</v>
      </c>
      <c r="G11" s="13">
        <v>135046</v>
      </c>
      <c r="H11" s="13">
        <v>135046</v>
      </c>
      <c r="I11" s="13">
        <v>19050</v>
      </c>
      <c r="J11" s="13">
        <v>19050</v>
      </c>
      <c r="K11" s="13">
        <v>19050</v>
      </c>
      <c r="L11" s="13">
        <v>19050</v>
      </c>
      <c r="M11" s="13">
        <v>18466</v>
      </c>
      <c r="N11" s="13">
        <v>18466</v>
      </c>
      <c r="O11" s="497"/>
      <c r="P11" s="497"/>
      <c r="Q11" s="497"/>
      <c r="R11" s="497"/>
      <c r="S11" s="497"/>
      <c r="T11" s="310">
        <f>C11+I11+O11</f>
        <v>179400</v>
      </c>
      <c r="U11" s="310">
        <f>D11+J11+P11</f>
        <v>179400</v>
      </c>
      <c r="V11" s="310">
        <f>E11+K11+Q11</f>
        <v>179400</v>
      </c>
      <c r="W11" s="310">
        <f>F11+L11+Q11</f>
        <v>179400</v>
      </c>
      <c r="X11" s="310">
        <f>G11+M11+R11</f>
        <v>153512</v>
      </c>
      <c r="Y11" s="310">
        <f>H11+N11+S11</f>
        <v>153512</v>
      </c>
      <c r="Z11" s="263"/>
      <c r="AA11" s="659"/>
      <c r="AB11" s="576"/>
      <c r="AC11" s="575"/>
      <c r="AD11" s="203"/>
    </row>
    <row r="12" spans="1:30" x14ac:dyDescent="0.2">
      <c r="A12" s="62" t="s">
        <v>891</v>
      </c>
      <c r="B12" s="8" t="s">
        <v>892</v>
      </c>
      <c r="C12" s="13">
        <v>1000</v>
      </c>
      <c r="D12" s="13">
        <v>1000</v>
      </c>
      <c r="E12" s="13">
        <v>1000</v>
      </c>
      <c r="F12" s="13">
        <v>1000</v>
      </c>
      <c r="G12" s="13">
        <v>400</v>
      </c>
      <c r="H12" s="13">
        <v>400</v>
      </c>
      <c r="I12" s="13"/>
      <c r="J12" s="13"/>
      <c r="K12" s="13"/>
      <c r="L12" s="13"/>
      <c r="M12" s="13"/>
      <c r="N12" s="13"/>
      <c r="O12" s="497"/>
      <c r="P12" s="497"/>
      <c r="Q12" s="497"/>
      <c r="R12" s="497"/>
      <c r="S12" s="497"/>
      <c r="T12" s="310">
        <f t="shared" ref="T12:T17" si="1">C12+I12+O12</f>
        <v>1000</v>
      </c>
      <c r="U12" s="310">
        <f t="shared" ref="U12:V17" si="2">D12+J12+P12</f>
        <v>1000</v>
      </c>
      <c r="V12" s="310">
        <f t="shared" si="2"/>
        <v>1000</v>
      </c>
      <c r="W12" s="310">
        <f t="shared" ref="W12:W17" si="3">F12+L12+Q12</f>
        <v>1000</v>
      </c>
      <c r="X12" s="310"/>
      <c r="Y12" s="310"/>
      <c r="Z12" s="263"/>
      <c r="AA12" s="659"/>
      <c r="AB12" s="576"/>
      <c r="AC12" s="575"/>
      <c r="AD12" s="203"/>
    </row>
    <row r="13" spans="1:30" hidden="1" x14ac:dyDescent="0.2">
      <c r="A13" s="62" t="s">
        <v>1180</v>
      </c>
      <c r="B13" s="669" t="s">
        <v>1181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497"/>
      <c r="P13" s="497"/>
      <c r="Q13" s="497"/>
      <c r="R13" s="497"/>
      <c r="S13" s="497"/>
      <c r="T13" s="310">
        <f t="shared" si="1"/>
        <v>0</v>
      </c>
      <c r="U13" s="310">
        <f t="shared" si="2"/>
        <v>0</v>
      </c>
      <c r="V13" s="310">
        <f t="shared" si="2"/>
        <v>0</v>
      </c>
      <c r="W13" s="310">
        <f t="shared" si="3"/>
        <v>0</v>
      </c>
      <c r="X13" s="310"/>
      <c r="Y13" s="310"/>
      <c r="Z13" s="263"/>
      <c r="AA13" s="659"/>
      <c r="AB13" s="576"/>
      <c r="AC13" s="575"/>
      <c r="AD13" s="203"/>
    </row>
    <row r="14" spans="1:30" x14ac:dyDescent="0.2">
      <c r="A14" s="62" t="s">
        <v>817</v>
      </c>
      <c r="B14" s="8" t="s">
        <v>1135</v>
      </c>
      <c r="C14" s="13">
        <v>2500</v>
      </c>
      <c r="D14" s="13">
        <v>2500</v>
      </c>
      <c r="E14" s="13">
        <v>2500</v>
      </c>
      <c r="F14" s="13">
        <v>2500</v>
      </c>
      <c r="G14" s="13">
        <v>2922</v>
      </c>
      <c r="H14" s="13">
        <v>2922</v>
      </c>
      <c r="I14" s="13"/>
      <c r="J14" s="13"/>
      <c r="K14" s="13"/>
      <c r="L14" s="13"/>
      <c r="M14" s="13"/>
      <c r="N14" s="13"/>
      <c r="O14" s="497"/>
      <c r="P14" s="497"/>
      <c r="Q14" s="497"/>
      <c r="R14" s="497"/>
      <c r="S14" s="497"/>
      <c r="T14" s="310">
        <f t="shared" si="1"/>
        <v>2500</v>
      </c>
      <c r="U14" s="310">
        <f t="shared" si="2"/>
        <v>2500</v>
      </c>
      <c r="V14" s="310">
        <f t="shared" si="2"/>
        <v>2500</v>
      </c>
      <c r="W14" s="310">
        <f t="shared" si="3"/>
        <v>2500</v>
      </c>
      <c r="X14" s="310"/>
      <c r="Y14" s="310"/>
      <c r="Z14" s="263"/>
      <c r="AA14" s="659"/>
      <c r="AB14" s="576"/>
      <c r="AC14" s="575"/>
      <c r="AD14" s="203"/>
    </row>
    <row r="15" spans="1:30" x14ac:dyDescent="0.2">
      <c r="A15" s="62" t="s">
        <v>807</v>
      </c>
      <c r="B15" s="8" t="s">
        <v>454</v>
      </c>
      <c r="C15" s="13">
        <v>5650</v>
      </c>
      <c r="D15" s="13">
        <v>5650</v>
      </c>
      <c r="E15" s="13">
        <v>5650</v>
      </c>
      <c r="F15" s="13">
        <v>5650</v>
      </c>
      <c r="G15" s="13">
        <f>(209*34)</f>
        <v>7106</v>
      </c>
      <c r="H15" s="13">
        <f>(209*34)</f>
        <v>7106</v>
      </c>
      <c r="I15" s="13">
        <v>750</v>
      </c>
      <c r="J15" s="13">
        <v>750</v>
      </c>
      <c r="K15" s="13">
        <v>750</v>
      </c>
      <c r="L15" s="13">
        <v>750</v>
      </c>
      <c r="M15" s="13">
        <f>(209*4)</f>
        <v>836</v>
      </c>
      <c r="N15" s="13">
        <f>(209*4)</f>
        <v>836</v>
      </c>
      <c r="O15" s="497"/>
      <c r="P15" s="497"/>
      <c r="Q15" s="497"/>
      <c r="R15" s="497"/>
      <c r="S15" s="497"/>
      <c r="T15" s="310">
        <f t="shared" si="1"/>
        <v>6400</v>
      </c>
      <c r="U15" s="310">
        <f t="shared" si="2"/>
        <v>6400</v>
      </c>
      <c r="V15" s="310">
        <f t="shared" si="2"/>
        <v>6400</v>
      </c>
      <c r="W15" s="310">
        <f t="shared" si="3"/>
        <v>6400</v>
      </c>
      <c r="X15" s="310"/>
      <c r="Y15" s="310"/>
      <c r="Z15" s="263"/>
      <c r="AA15" s="659">
        <f>12500+3125</f>
        <v>15625</v>
      </c>
      <c r="AB15" s="576"/>
      <c r="AC15" s="575"/>
      <c r="AD15" s="203"/>
    </row>
    <row r="16" spans="1:30" x14ac:dyDescent="0.2">
      <c r="A16" s="62" t="s">
        <v>816</v>
      </c>
      <c r="B16" s="8" t="s">
        <v>441</v>
      </c>
      <c r="C16" s="13">
        <v>4300</v>
      </c>
      <c r="D16" s="13">
        <v>4300</v>
      </c>
      <c r="E16" s="13">
        <v>4300</v>
      </c>
      <c r="F16" s="13">
        <v>4300</v>
      </c>
      <c r="G16" s="13">
        <v>2400</v>
      </c>
      <c r="H16" s="13">
        <v>2400</v>
      </c>
      <c r="I16" s="13">
        <f>200+200</f>
        <v>400</v>
      </c>
      <c r="J16" s="13">
        <f>200+200</f>
        <v>400</v>
      </c>
      <c r="K16" s="13">
        <f>200+200</f>
        <v>400</v>
      </c>
      <c r="L16" s="13">
        <f>200+200</f>
        <v>400</v>
      </c>
      <c r="M16" s="13">
        <v>180</v>
      </c>
      <c r="N16" s="13">
        <v>180</v>
      </c>
      <c r="O16" s="497"/>
      <c r="P16" s="497"/>
      <c r="Q16" s="497"/>
      <c r="R16" s="497"/>
      <c r="S16" s="497"/>
      <c r="T16" s="310">
        <f t="shared" si="1"/>
        <v>4700</v>
      </c>
      <c r="U16" s="310">
        <f t="shared" si="2"/>
        <v>4700</v>
      </c>
      <c r="V16" s="310">
        <f t="shared" si="2"/>
        <v>4700</v>
      </c>
      <c r="W16" s="310">
        <f t="shared" si="3"/>
        <v>4700</v>
      </c>
      <c r="X16" s="310"/>
      <c r="Y16" s="310"/>
      <c r="Z16" s="263"/>
      <c r="AA16" s="659"/>
      <c r="AB16" s="576"/>
      <c r="AC16" s="575"/>
      <c r="AD16" s="203"/>
    </row>
    <row r="17" spans="1:33" x14ac:dyDescent="0.2">
      <c r="A17" s="62" t="s">
        <v>781</v>
      </c>
      <c r="B17" s="8" t="s">
        <v>1172</v>
      </c>
      <c r="C17" s="13">
        <f>1800+75+750+392</f>
        <v>3017</v>
      </c>
      <c r="D17" s="13">
        <f>1800+75+750+392</f>
        <v>3017</v>
      </c>
      <c r="E17" s="13">
        <f>1800+75+750+392</f>
        <v>3017</v>
      </c>
      <c r="F17" s="13">
        <f>1800+75+750+392</f>
        <v>3017</v>
      </c>
      <c r="G17" s="13">
        <v>1600</v>
      </c>
      <c r="H17" s="13">
        <v>1600</v>
      </c>
      <c r="I17" s="13">
        <f>350+1500</f>
        <v>1850</v>
      </c>
      <c r="J17" s="13">
        <f>350+1500</f>
        <v>1850</v>
      </c>
      <c r="K17" s="13">
        <f>350+1500</f>
        <v>1850</v>
      </c>
      <c r="L17" s="13">
        <f>350+1500</f>
        <v>1850</v>
      </c>
      <c r="M17" s="13">
        <v>600</v>
      </c>
      <c r="N17" s="13">
        <v>600</v>
      </c>
      <c r="O17" s="497"/>
      <c r="P17" s="497"/>
      <c r="Q17" s="497"/>
      <c r="R17" s="497"/>
      <c r="S17" s="497"/>
      <c r="T17" s="310">
        <f t="shared" si="1"/>
        <v>4867</v>
      </c>
      <c r="U17" s="310">
        <f t="shared" si="2"/>
        <v>4867</v>
      </c>
      <c r="V17" s="310">
        <f t="shared" si="2"/>
        <v>4867</v>
      </c>
      <c r="W17" s="310">
        <f t="shared" si="3"/>
        <v>4867</v>
      </c>
      <c r="X17" s="310"/>
      <c r="Y17" s="310"/>
      <c r="Z17" s="263"/>
      <c r="AA17" s="659"/>
      <c r="AB17" s="576"/>
      <c r="AC17" s="575"/>
      <c r="AD17" s="203"/>
    </row>
    <row r="18" spans="1:33" x14ac:dyDescent="0.2">
      <c r="A18" s="62" t="s">
        <v>781</v>
      </c>
      <c r="B18" s="8" t="s">
        <v>1246</v>
      </c>
      <c r="C18" s="13">
        <f>1858+700+25</f>
        <v>2583</v>
      </c>
      <c r="D18" s="13">
        <f>1858+700+25</f>
        <v>2583</v>
      </c>
      <c r="E18" s="13">
        <f>1858+700+25</f>
        <v>2583</v>
      </c>
      <c r="F18" s="13">
        <f>1858+700+25</f>
        <v>2583</v>
      </c>
      <c r="G18" s="13"/>
      <c r="H18" s="13"/>
      <c r="I18" s="13"/>
      <c r="J18" s="13"/>
      <c r="K18" s="13"/>
      <c r="L18" s="13"/>
      <c r="M18" s="13"/>
      <c r="N18" s="13"/>
      <c r="O18" s="497"/>
      <c r="P18" s="497"/>
      <c r="Q18" s="497"/>
      <c r="R18" s="497"/>
      <c r="S18" s="497"/>
      <c r="T18" s="310">
        <f t="shared" ref="T18:T20" si="4">C18+I18+O18</f>
        <v>2583</v>
      </c>
      <c r="U18" s="310">
        <f t="shared" ref="U18:V20" si="5">D18+J18+P18</f>
        <v>2583</v>
      </c>
      <c r="V18" s="310">
        <f t="shared" si="5"/>
        <v>2583</v>
      </c>
      <c r="W18" s="310">
        <f t="shared" ref="W18:W20" si="6">F18+L18+Q18</f>
        <v>2583</v>
      </c>
      <c r="X18" s="310"/>
      <c r="Y18" s="310"/>
      <c r="Z18" s="263"/>
      <c r="AA18" s="545">
        <v>5518</v>
      </c>
      <c r="AB18" s="576"/>
      <c r="AC18" s="575"/>
      <c r="AD18" s="203"/>
    </row>
    <row r="19" spans="1:33" x14ac:dyDescent="0.2">
      <c r="A19" s="62" t="s">
        <v>782</v>
      </c>
      <c r="B19" s="8" t="s">
        <v>1247</v>
      </c>
      <c r="C19" s="13">
        <v>3361</v>
      </c>
      <c r="D19" s="13">
        <v>3361</v>
      </c>
      <c r="E19" s="13">
        <v>3361</v>
      </c>
      <c r="F19" s="13">
        <v>3361</v>
      </c>
      <c r="G19" s="13"/>
      <c r="H19" s="13"/>
      <c r="I19" s="13"/>
      <c r="J19" s="13"/>
      <c r="K19" s="13"/>
      <c r="L19" s="13"/>
      <c r="M19" s="13"/>
      <c r="N19" s="13"/>
      <c r="O19" s="497"/>
      <c r="P19" s="497"/>
      <c r="Q19" s="497"/>
      <c r="R19" s="497"/>
      <c r="S19" s="497"/>
      <c r="T19" s="310">
        <f t="shared" si="4"/>
        <v>3361</v>
      </c>
      <c r="U19" s="310">
        <f t="shared" si="5"/>
        <v>3361</v>
      </c>
      <c r="V19" s="310">
        <f t="shared" si="5"/>
        <v>3361</v>
      </c>
      <c r="W19" s="310">
        <f t="shared" si="6"/>
        <v>3361</v>
      </c>
      <c r="X19" s="310"/>
      <c r="Y19" s="310"/>
      <c r="Z19" s="263"/>
      <c r="AA19" s="659"/>
      <c r="AB19" s="576"/>
      <c r="AC19" s="575"/>
      <c r="AD19" s="203"/>
    </row>
    <row r="20" spans="1:33" hidden="1" x14ac:dyDescent="0.2">
      <c r="A20" s="62" t="s">
        <v>782</v>
      </c>
      <c r="B20" s="8" t="s">
        <v>808</v>
      </c>
      <c r="C20" s="13">
        <v>0</v>
      </c>
      <c r="D20" s="13">
        <v>0</v>
      </c>
      <c r="E20" s="13">
        <v>0</v>
      </c>
      <c r="F20" s="13">
        <v>0</v>
      </c>
      <c r="G20" s="13">
        <v>600</v>
      </c>
      <c r="H20" s="13">
        <v>600</v>
      </c>
      <c r="I20" s="13"/>
      <c r="J20" s="13"/>
      <c r="K20" s="13"/>
      <c r="L20" s="13"/>
      <c r="M20" s="13"/>
      <c r="N20" s="13"/>
      <c r="O20" s="497"/>
      <c r="P20" s="497"/>
      <c r="Q20" s="497"/>
      <c r="R20" s="497"/>
      <c r="S20" s="497"/>
      <c r="T20" s="310">
        <f t="shared" si="4"/>
        <v>0</v>
      </c>
      <c r="U20" s="310">
        <f t="shared" si="5"/>
        <v>0</v>
      </c>
      <c r="V20" s="310">
        <f t="shared" si="5"/>
        <v>0</v>
      </c>
      <c r="W20" s="310">
        <f t="shared" si="6"/>
        <v>0</v>
      </c>
      <c r="X20" s="310">
        <f t="shared" ref="X20:X22" si="7">G20+M20+R20</f>
        <v>600</v>
      </c>
      <c r="Y20" s="310">
        <f t="shared" ref="Y20:Y22" si="8">H20+N20+S20</f>
        <v>600</v>
      </c>
      <c r="Z20" s="28"/>
      <c r="AA20" s="37"/>
      <c r="AB20" s="574"/>
      <c r="AC20" s="575"/>
      <c r="AD20" s="203"/>
    </row>
    <row r="21" spans="1:33" x14ac:dyDescent="0.2">
      <c r="A21" s="62" t="s">
        <v>782</v>
      </c>
      <c r="B21" s="8" t="s">
        <v>1245</v>
      </c>
      <c r="C21" s="13">
        <v>2400</v>
      </c>
      <c r="D21" s="13">
        <v>2400</v>
      </c>
      <c r="E21" s="13">
        <v>2400</v>
      </c>
      <c r="F21" s="13">
        <v>2400</v>
      </c>
      <c r="G21" s="13"/>
      <c r="H21" s="13"/>
      <c r="I21" s="13"/>
      <c r="J21" s="13"/>
      <c r="K21" s="13"/>
      <c r="L21" s="13"/>
      <c r="M21" s="13"/>
      <c r="N21" s="13"/>
      <c r="O21" s="497"/>
      <c r="P21" s="497"/>
      <c r="Q21" s="497"/>
      <c r="R21" s="497"/>
      <c r="S21" s="497"/>
      <c r="T21" s="310">
        <f t="shared" ref="T21:T22" si="9">C21+I21+O21</f>
        <v>2400</v>
      </c>
      <c r="U21" s="310">
        <f t="shared" ref="U21:V22" si="10">D21+J21+P21</f>
        <v>2400</v>
      </c>
      <c r="V21" s="310">
        <f t="shared" si="10"/>
        <v>2400</v>
      </c>
      <c r="W21" s="310">
        <f t="shared" ref="W21:W22" si="11">F21+L21+Q21</f>
        <v>2400</v>
      </c>
      <c r="X21" s="310"/>
      <c r="Y21" s="310"/>
      <c r="Z21" s="28"/>
      <c r="AA21" s="37"/>
      <c r="AB21" s="574"/>
      <c r="AC21" s="575"/>
      <c r="AD21" s="203"/>
    </row>
    <row r="22" spans="1:33" x14ac:dyDescent="0.2">
      <c r="A22" s="62" t="s">
        <v>796</v>
      </c>
      <c r="B22" s="8" t="s">
        <v>61</v>
      </c>
      <c r="C22" s="13">
        <f>48+250+2</f>
        <v>300</v>
      </c>
      <c r="D22" s="13">
        <f>48+250+2</f>
        <v>300</v>
      </c>
      <c r="E22" s="13">
        <f>48+250+2</f>
        <v>300</v>
      </c>
      <c r="F22" s="13">
        <f>48+250+2</f>
        <v>300</v>
      </c>
      <c r="G22" s="13">
        <v>500</v>
      </c>
      <c r="H22" s="13">
        <v>500</v>
      </c>
      <c r="I22" s="13"/>
      <c r="J22" s="13"/>
      <c r="K22" s="13"/>
      <c r="L22" s="13"/>
      <c r="M22" s="13"/>
      <c r="N22" s="13"/>
      <c r="O22" s="497"/>
      <c r="P22" s="497"/>
      <c r="Q22" s="497"/>
      <c r="R22" s="497"/>
      <c r="S22" s="497"/>
      <c r="T22" s="310">
        <f t="shared" si="9"/>
        <v>300</v>
      </c>
      <c r="U22" s="310">
        <f t="shared" si="10"/>
        <v>300</v>
      </c>
      <c r="V22" s="310">
        <f t="shared" si="10"/>
        <v>300</v>
      </c>
      <c r="W22" s="310">
        <f t="shared" si="11"/>
        <v>300</v>
      </c>
      <c r="X22" s="310">
        <f t="shared" si="7"/>
        <v>500</v>
      </c>
      <c r="Y22" s="310">
        <f t="shared" si="8"/>
        <v>500</v>
      </c>
      <c r="Z22" s="29"/>
      <c r="AA22" s="37"/>
      <c r="AB22" s="574"/>
      <c r="AC22" s="575"/>
      <c r="AD22" s="203"/>
    </row>
    <row r="23" spans="1:33" x14ac:dyDescent="0.2">
      <c r="A23" s="81" t="s">
        <v>216</v>
      </c>
      <c r="B23" s="115" t="s">
        <v>293</v>
      </c>
      <c r="C23" s="233">
        <f t="shared" ref="C23:Y23" si="12">SUM(C11:C22)</f>
        <v>185461</v>
      </c>
      <c r="D23" s="233">
        <f t="shared" ref="D23:E23" si="13">SUM(D11:D22)</f>
        <v>185461</v>
      </c>
      <c r="E23" s="233">
        <f t="shared" si="13"/>
        <v>185461</v>
      </c>
      <c r="F23" s="233">
        <f t="shared" ref="F23" si="14">SUM(F11:F22)</f>
        <v>185461</v>
      </c>
      <c r="G23" s="233">
        <f t="shared" si="12"/>
        <v>150574</v>
      </c>
      <c r="H23" s="233">
        <f t="shared" si="12"/>
        <v>150574</v>
      </c>
      <c r="I23" s="233">
        <f t="shared" si="12"/>
        <v>22050</v>
      </c>
      <c r="J23" s="233">
        <f t="shared" ref="J23:K23" si="15">SUM(J11:J22)</f>
        <v>22050</v>
      </c>
      <c r="K23" s="233">
        <f t="shared" si="15"/>
        <v>22050</v>
      </c>
      <c r="L23" s="233">
        <f t="shared" ref="L23" si="16">SUM(L11:L22)</f>
        <v>22050</v>
      </c>
      <c r="M23" s="233">
        <f t="shared" si="12"/>
        <v>20082</v>
      </c>
      <c r="N23" s="233">
        <f t="shared" si="12"/>
        <v>20082</v>
      </c>
      <c r="O23" s="233">
        <f t="shared" si="12"/>
        <v>0</v>
      </c>
      <c r="P23" s="233">
        <f t="shared" si="12"/>
        <v>0</v>
      </c>
      <c r="Q23" s="233">
        <f t="shared" si="12"/>
        <v>0</v>
      </c>
      <c r="R23" s="233">
        <f t="shared" si="12"/>
        <v>0</v>
      </c>
      <c r="S23" s="233">
        <f t="shared" si="12"/>
        <v>0</v>
      </c>
      <c r="T23" s="233">
        <f t="shared" si="12"/>
        <v>207511</v>
      </c>
      <c r="U23" s="233">
        <f t="shared" si="12"/>
        <v>207511</v>
      </c>
      <c r="V23" s="233">
        <f t="shared" ref="V23" si="17">SUM(V11:V22)</f>
        <v>207511</v>
      </c>
      <c r="W23" s="233">
        <f t="shared" si="12"/>
        <v>207511</v>
      </c>
      <c r="X23" s="233">
        <f t="shared" si="12"/>
        <v>154612</v>
      </c>
      <c r="Y23" s="233">
        <f t="shared" si="12"/>
        <v>154612</v>
      </c>
      <c r="Z23" s="29"/>
      <c r="AA23" s="37"/>
      <c r="AB23" s="574"/>
      <c r="AC23" s="575"/>
      <c r="AD23" s="203"/>
    </row>
    <row r="24" spans="1:33" x14ac:dyDescent="0.2">
      <c r="A24" s="62"/>
      <c r="B24" s="8" t="s">
        <v>30</v>
      </c>
      <c r="C24" s="13">
        <v>23110</v>
      </c>
      <c r="D24" s="13">
        <v>23110</v>
      </c>
      <c r="E24" s="13">
        <v>23110</v>
      </c>
      <c r="F24" s="13">
        <v>23110</v>
      </c>
      <c r="G24" s="13">
        <v>23230</v>
      </c>
      <c r="H24" s="13">
        <v>23230</v>
      </c>
      <c r="I24" s="13">
        <v>2815</v>
      </c>
      <c r="J24" s="13">
        <v>2815</v>
      </c>
      <c r="K24" s="13">
        <v>2815</v>
      </c>
      <c r="L24" s="13">
        <v>2815</v>
      </c>
      <c r="M24" s="13">
        <v>3200</v>
      </c>
      <c r="N24" s="13">
        <v>3200</v>
      </c>
      <c r="O24" s="497"/>
      <c r="P24" s="497"/>
      <c r="Q24" s="497"/>
      <c r="R24" s="497"/>
      <c r="S24" s="497"/>
      <c r="T24" s="310">
        <f t="shared" ref="T24:V25" si="18">C24+I24+O24</f>
        <v>25925</v>
      </c>
      <c r="U24" s="310">
        <f t="shared" si="18"/>
        <v>25925</v>
      </c>
      <c r="V24" s="310">
        <f t="shared" si="18"/>
        <v>25925</v>
      </c>
      <c r="W24" s="310">
        <f t="shared" ref="W24:Y25" si="19">F24+L24+Q24</f>
        <v>25925</v>
      </c>
      <c r="X24" s="310">
        <f t="shared" si="19"/>
        <v>26430</v>
      </c>
      <c r="Y24" s="310">
        <f t="shared" si="19"/>
        <v>26430</v>
      </c>
      <c r="Z24" s="29"/>
      <c r="AA24" s="37">
        <f>(C11+C12+C15+C17+C21*0.9+48-2610)*0.13+(C22-48)*0.153</f>
        <v>22088.506000000001</v>
      </c>
      <c r="AB24" s="37" t="s">
        <v>1248</v>
      </c>
      <c r="AC24" s="37"/>
      <c r="AD24" s="37"/>
      <c r="AE24" s="37"/>
      <c r="AF24" s="37">
        <f>(I11+I15+I17)*0.13+I22*0.153</f>
        <v>2814.5</v>
      </c>
      <c r="AG24" s="37"/>
    </row>
    <row r="25" spans="1:33" x14ac:dyDescent="0.2">
      <c r="A25" s="62"/>
      <c r="B25" s="8" t="s">
        <v>116</v>
      </c>
      <c r="C25" s="13">
        <v>895</v>
      </c>
      <c r="D25" s="13">
        <v>895</v>
      </c>
      <c r="E25" s="13">
        <v>895</v>
      </c>
      <c r="F25" s="13">
        <v>895</v>
      </c>
      <c r="G25" s="13">
        <v>895</v>
      </c>
      <c r="H25" s="13">
        <v>895</v>
      </c>
      <c r="I25" s="13">
        <v>115</v>
      </c>
      <c r="J25" s="13">
        <v>115</v>
      </c>
      <c r="K25" s="13">
        <v>115</v>
      </c>
      <c r="L25" s="13">
        <v>115</v>
      </c>
      <c r="M25" s="13">
        <v>125</v>
      </c>
      <c r="N25" s="13">
        <v>125</v>
      </c>
      <c r="O25" s="497"/>
      <c r="P25" s="497"/>
      <c r="Q25" s="497"/>
      <c r="R25" s="497"/>
      <c r="S25" s="497"/>
      <c r="T25" s="310">
        <f t="shared" si="18"/>
        <v>1010</v>
      </c>
      <c r="U25" s="310">
        <f t="shared" si="18"/>
        <v>1010</v>
      </c>
      <c r="V25" s="310">
        <f t="shared" si="18"/>
        <v>1010</v>
      </c>
      <c r="W25" s="310">
        <f t="shared" si="19"/>
        <v>1010</v>
      </c>
      <c r="X25" s="310">
        <f t="shared" si="19"/>
        <v>1020</v>
      </c>
      <c r="Y25" s="310">
        <f t="shared" si="19"/>
        <v>1020</v>
      </c>
      <c r="Z25" s="29"/>
      <c r="AA25" s="37">
        <f>C15*0.15+(C22-48)*0.177</f>
        <v>892.10400000000004</v>
      </c>
      <c r="AB25" s="37"/>
      <c r="AC25" s="37"/>
      <c r="AD25" s="37"/>
      <c r="AE25" s="37"/>
      <c r="AF25" s="37">
        <f>(I15+I22)*0.15</f>
        <v>112.5</v>
      </c>
      <c r="AG25" s="37"/>
    </row>
    <row r="26" spans="1:33" x14ac:dyDescent="0.2">
      <c r="A26" s="81" t="s">
        <v>217</v>
      </c>
      <c r="B26" s="115" t="s">
        <v>102</v>
      </c>
      <c r="C26" s="233">
        <f t="shared" ref="C26:O26" si="20">SUM(C24:C25)</f>
        <v>24005</v>
      </c>
      <c r="D26" s="233">
        <f t="shared" ref="D26:E26" si="21">SUM(D24:D25)</f>
        <v>24005</v>
      </c>
      <c r="E26" s="233">
        <f t="shared" si="21"/>
        <v>24005</v>
      </c>
      <c r="F26" s="233">
        <f t="shared" ref="F26" si="22">SUM(F24:F25)</f>
        <v>24005</v>
      </c>
      <c r="G26" s="233">
        <f t="shared" ref="G26:H26" si="23">SUM(G24:G25)</f>
        <v>24125</v>
      </c>
      <c r="H26" s="233">
        <f t="shared" si="23"/>
        <v>24125</v>
      </c>
      <c r="I26" s="233">
        <f t="shared" si="20"/>
        <v>2930</v>
      </c>
      <c r="J26" s="233">
        <f t="shared" ref="J26:K26" si="24">SUM(J24:J25)</f>
        <v>2930</v>
      </c>
      <c r="K26" s="233">
        <f t="shared" si="24"/>
        <v>2930</v>
      </c>
      <c r="L26" s="233">
        <f t="shared" ref="L26" si="25">SUM(L24:L25)</f>
        <v>2930</v>
      </c>
      <c r="M26" s="233">
        <f t="shared" ref="M26:N26" si="26">SUM(M24:M25)</f>
        <v>3325</v>
      </c>
      <c r="N26" s="233">
        <f t="shared" si="26"/>
        <v>3325</v>
      </c>
      <c r="O26" s="233">
        <f t="shared" si="20"/>
        <v>0</v>
      </c>
      <c r="P26" s="233">
        <f t="shared" ref="P26:S26" si="27">SUM(P24:P25)</f>
        <v>0</v>
      </c>
      <c r="Q26" s="233">
        <f t="shared" si="27"/>
        <v>0</v>
      </c>
      <c r="R26" s="233">
        <f t="shared" si="27"/>
        <v>0</v>
      </c>
      <c r="S26" s="233">
        <f t="shared" si="27"/>
        <v>0</v>
      </c>
      <c r="T26" s="161">
        <f t="shared" ref="T26:Y26" si="28">SUM(T24:T25)</f>
        <v>26935</v>
      </c>
      <c r="U26" s="161">
        <f t="shared" si="28"/>
        <v>26935</v>
      </c>
      <c r="V26" s="161">
        <f t="shared" si="28"/>
        <v>26935</v>
      </c>
      <c r="W26" s="161">
        <f t="shared" si="28"/>
        <v>26935</v>
      </c>
      <c r="X26" s="161">
        <f t="shared" si="28"/>
        <v>27450</v>
      </c>
      <c r="Y26" s="161">
        <f t="shared" si="28"/>
        <v>27450</v>
      </c>
      <c r="Z26" s="29"/>
      <c r="AA26" s="37"/>
      <c r="AB26" s="574"/>
      <c r="AC26" s="575"/>
      <c r="AD26" s="203"/>
    </row>
    <row r="27" spans="1:33" x14ac:dyDescent="0.2">
      <c r="A27" s="81" t="s">
        <v>260</v>
      </c>
      <c r="B27" s="14" t="s">
        <v>282</v>
      </c>
      <c r="C27" s="5">
        <f t="shared" ref="C27:O27" si="29">SUM(C28:C35)</f>
        <v>4550</v>
      </c>
      <c r="D27" s="5">
        <f t="shared" ref="D27:E27" si="30">SUM(D28:D35)</f>
        <v>4606</v>
      </c>
      <c r="E27" s="5">
        <f t="shared" si="30"/>
        <v>4606</v>
      </c>
      <c r="F27" s="5">
        <f t="shared" ref="F27" si="31">SUM(F28:F35)</f>
        <v>6733</v>
      </c>
      <c r="G27" s="5">
        <f t="shared" ref="G27:H27" si="32">SUM(G28:G35)</f>
        <v>3750</v>
      </c>
      <c r="H27" s="5">
        <f t="shared" si="32"/>
        <v>3750</v>
      </c>
      <c r="I27" s="5">
        <f t="shared" si="29"/>
        <v>50</v>
      </c>
      <c r="J27" s="5">
        <f t="shared" ref="J27:K27" si="33">SUM(J28:J35)</f>
        <v>50</v>
      </c>
      <c r="K27" s="5">
        <f t="shared" si="33"/>
        <v>50</v>
      </c>
      <c r="L27" s="5">
        <f t="shared" ref="L27" si="34">SUM(L28:L35)</f>
        <v>50</v>
      </c>
      <c r="M27" s="5">
        <f t="shared" ref="M27:N27" si="35">SUM(M28:M35)</f>
        <v>0</v>
      </c>
      <c r="N27" s="5">
        <f t="shared" si="35"/>
        <v>0</v>
      </c>
      <c r="O27" s="5">
        <f t="shared" si="29"/>
        <v>0</v>
      </c>
      <c r="P27" s="5">
        <f t="shared" ref="P27:S27" si="36">SUM(P28:P35)</f>
        <v>0</v>
      </c>
      <c r="Q27" s="5">
        <f t="shared" si="36"/>
        <v>0</v>
      </c>
      <c r="R27" s="5">
        <f t="shared" si="36"/>
        <v>0</v>
      </c>
      <c r="S27" s="5">
        <f t="shared" si="36"/>
        <v>0</v>
      </c>
      <c r="T27" s="309">
        <f>(I27+C27+O27)</f>
        <v>4600</v>
      </c>
      <c r="U27" s="309">
        <f>(J27+D27+P27)</f>
        <v>4656</v>
      </c>
      <c r="V27" s="309">
        <f>(K27+E27+Q27)</f>
        <v>4656</v>
      </c>
      <c r="W27" s="309">
        <f>(L27+F27+Q27)</f>
        <v>6783</v>
      </c>
      <c r="X27" s="309">
        <f>(M27+G27+R27)</f>
        <v>3750</v>
      </c>
      <c r="Y27" s="309">
        <f>(N27+H27+S27)</f>
        <v>3750</v>
      </c>
      <c r="Z27" s="29"/>
      <c r="AB27" s="203"/>
      <c r="AC27" s="575"/>
      <c r="AD27" s="203"/>
    </row>
    <row r="28" spans="1:33" x14ac:dyDescent="0.2">
      <c r="A28" s="62" t="s">
        <v>261</v>
      </c>
      <c r="B28" s="8" t="s">
        <v>324</v>
      </c>
      <c r="C28" s="13">
        <v>150</v>
      </c>
      <c r="D28" s="13">
        <v>150</v>
      </c>
      <c r="E28" s="13">
        <v>150</v>
      </c>
      <c r="F28" s="13">
        <f>150+627</f>
        <v>777</v>
      </c>
      <c r="G28" s="13">
        <v>450</v>
      </c>
      <c r="H28" s="13">
        <v>450</v>
      </c>
      <c r="I28" s="13">
        <v>50</v>
      </c>
      <c r="J28" s="13">
        <v>50</v>
      </c>
      <c r="K28" s="13">
        <v>50</v>
      </c>
      <c r="L28" s="13">
        <v>50</v>
      </c>
      <c r="M28" s="13"/>
      <c r="N28" s="13"/>
      <c r="O28" s="13"/>
      <c r="P28" s="13"/>
      <c r="Q28" s="13"/>
      <c r="R28" s="13"/>
      <c r="S28" s="13"/>
      <c r="T28" s="310">
        <f>C28+I28+O28</f>
        <v>200</v>
      </c>
      <c r="U28" s="310">
        <f>D28+J28+P28</f>
        <v>200</v>
      </c>
      <c r="V28" s="310">
        <f>E28+K28+Q28</f>
        <v>200</v>
      </c>
      <c r="W28" s="310">
        <f>F28+L28+Q28</f>
        <v>827</v>
      </c>
      <c r="X28" s="310">
        <f>G28+M28+R28</f>
        <v>450</v>
      </c>
      <c r="Y28" s="310">
        <f>H28+N28+S28</f>
        <v>450</v>
      </c>
      <c r="Z28" s="29"/>
      <c r="AB28" s="203"/>
      <c r="AC28" s="575"/>
      <c r="AD28" s="203"/>
    </row>
    <row r="29" spans="1:33" x14ac:dyDescent="0.2">
      <c r="A29" s="62" t="s">
        <v>262</v>
      </c>
      <c r="B29" s="8" t="s">
        <v>283</v>
      </c>
      <c r="C29" s="13">
        <v>200</v>
      </c>
      <c r="D29" s="13">
        <f>200+56</f>
        <v>256</v>
      </c>
      <c r="E29" s="13">
        <f>200+56</f>
        <v>256</v>
      </c>
      <c r="F29" s="13">
        <f>200+56</f>
        <v>256</v>
      </c>
      <c r="G29" s="13">
        <v>0</v>
      </c>
      <c r="H29" s="13">
        <v>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310">
        <f t="shared" ref="T29:T33" si="37">C29+I29+O29</f>
        <v>200</v>
      </c>
      <c r="U29" s="310">
        <f t="shared" ref="U29:V34" si="38">D29+J29+P29</f>
        <v>256</v>
      </c>
      <c r="V29" s="310">
        <f t="shared" si="38"/>
        <v>256</v>
      </c>
      <c r="W29" s="310">
        <f t="shared" ref="W29:W36" si="39">F29+L29+Q29</f>
        <v>256</v>
      </c>
      <c r="X29" s="310">
        <f t="shared" ref="X29:X36" si="40">G29+M29+R29</f>
        <v>0</v>
      </c>
      <c r="Y29" s="310">
        <f t="shared" ref="Y29:Y36" si="41">H29+N29+S29</f>
        <v>0</v>
      </c>
      <c r="Z29" s="28"/>
      <c r="AB29" s="203"/>
      <c r="AC29" s="575"/>
      <c r="AD29" s="203"/>
    </row>
    <row r="30" spans="1:33" x14ac:dyDescent="0.2">
      <c r="A30" s="62"/>
      <c r="B30" s="8" t="s">
        <v>329</v>
      </c>
      <c r="C30" s="13">
        <v>1750</v>
      </c>
      <c r="D30" s="13">
        <v>1750</v>
      </c>
      <c r="E30" s="13">
        <v>1750</v>
      </c>
      <c r="F30" s="13">
        <f>1750+750</f>
        <v>2500</v>
      </c>
      <c r="G30" s="13">
        <v>1300</v>
      </c>
      <c r="H30" s="13">
        <v>1300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310">
        <f t="shared" si="37"/>
        <v>1750</v>
      </c>
      <c r="U30" s="310">
        <f t="shared" si="38"/>
        <v>1750</v>
      </c>
      <c r="V30" s="310">
        <f t="shared" si="38"/>
        <v>1750</v>
      </c>
      <c r="W30" s="310">
        <f t="shared" si="39"/>
        <v>2500</v>
      </c>
      <c r="X30" s="310">
        <f t="shared" si="40"/>
        <v>1300</v>
      </c>
      <c r="Y30" s="310">
        <f t="shared" si="41"/>
        <v>1300</v>
      </c>
      <c r="Z30" s="28"/>
      <c r="AB30" s="203"/>
      <c r="AC30" s="575"/>
      <c r="AD30" s="203"/>
    </row>
    <row r="31" spans="1:33" x14ac:dyDescent="0.2">
      <c r="A31" s="62"/>
      <c r="B31" s="8" t="s">
        <v>445</v>
      </c>
      <c r="C31" s="13">
        <v>750</v>
      </c>
      <c r="D31" s="13">
        <v>750</v>
      </c>
      <c r="E31" s="13">
        <v>750</v>
      </c>
      <c r="F31" s="13">
        <v>750</v>
      </c>
      <c r="G31" s="13">
        <v>1500</v>
      </c>
      <c r="H31" s="13">
        <v>1500</v>
      </c>
      <c r="I31" s="13"/>
      <c r="J31" s="13"/>
      <c r="K31" s="13"/>
      <c r="L31" s="13"/>
      <c r="M31" s="13">
        <v>0</v>
      </c>
      <c r="N31" s="13">
        <v>0</v>
      </c>
      <c r="O31" s="13"/>
      <c r="P31" s="13"/>
      <c r="Q31" s="13"/>
      <c r="R31" s="13"/>
      <c r="S31" s="13"/>
      <c r="T31" s="310">
        <f t="shared" si="37"/>
        <v>750</v>
      </c>
      <c r="U31" s="310">
        <f t="shared" si="38"/>
        <v>750</v>
      </c>
      <c r="V31" s="310">
        <f t="shared" si="38"/>
        <v>750</v>
      </c>
      <c r="W31" s="310">
        <f t="shared" si="39"/>
        <v>750</v>
      </c>
      <c r="X31" s="310">
        <f t="shared" si="40"/>
        <v>1500</v>
      </c>
      <c r="Y31" s="310">
        <f t="shared" si="41"/>
        <v>1500</v>
      </c>
      <c r="Z31" s="28"/>
      <c r="AB31" s="203"/>
      <c r="AC31" s="575"/>
      <c r="AD31" s="203"/>
    </row>
    <row r="32" spans="1:33" x14ac:dyDescent="0.2">
      <c r="A32" s="62"/>
      <c r="B32" s="8" t="s">
        <v>306</v>
      </c>
      <c r="C32" s="13">
        <v>1700</v>
      </c>
      <c r="D32" s="13">
        <v>1700</v>
      </c>
      <c r="E32" s="13">
        <v>1700</v>
      </c>
      <c r="F32" s="13">
        <f>1700+750</f>
        <v>2450</v>
      </c>
      <c r="G32" s="13">
        <v>500</v>
      </c>
      <c r="H32" s="13">
        <v>500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310">
        <f t="shared" si="37"/>
        <v>1700</v>
      </c>
      <c r="U32" s="310">
        <f t="shared" si="38"/>
        <v>1700</v>
      </c>
      <c r="V32" s="310">
        <f t="shared" si="38"/>
        <v>1700</v>
      </c>
      <c r="W32" s="310">
        <f t="shared" si="39"/>
        <v>2450</v>
      </c>
      <c r="X32" s="310">
        <f t="shared" si="40"/>
        <v>500</v>
      </c>
      <c r="Y32" s="310">
        <f t="shared" si="41"/>
        <v>500</v>
      </c>
      <c r="Z32" s="28"/>
      <c r="AC32" s="316"/>
    </row>
    <row r="33" spans="1:29" hidden="1" x14ac:dyDescent="0.2">
      <c r="A33" s="62"/>
      <c r="B33" s="8"/>
      <c r="C33" s="13"/>
      <c r="D33" s="13"/>
      <c r="E33" s="13"/>
      <c r="F33" s="13"/>
      <c r="G33" s="13">
        <v>0</v>
      </c>
      <c r="H33" s="13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10">
        <f t="shared" si="37"/>
        <v>0</v>
      </c>
      <c r="U33" s="310">
        <f t="shared" si="38"/>
        <v>0</v>
      </c>
      <c r="V33" s="310">
        <f t="shared" si="38"/>
        <v>0</v>
      </c>
      <c r="W33" s="310">
        <f t="shared" si="39"/>
        <v>0</v>
      </c>
      <c r="X33" s="310">
        <f t="shared" si="40"/>
        <v>0</v>
      </c>
      <c r="Y33" s="310">
        <f t="shared" si="41"/>
        <v>0</v>
      </c>
      <c r="Z33" s="28"/>
      <c r="AC33" s="316"/>
    </row>
    <row r="34" spans="1:29" hidden="1" x14ac:dyDescent="0.2">
      <c r="A34" s="62"/>
      <c r="B34" s="8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310">
        <f t="shared" ref="T34" si="42">C34+I34+O34</f>
        <v>0</v>
      </c>
      <c r="U34" s="310">
        <f t="shared" si="38"/>
        <v>0</v>
      </c>
      <c r="V34" s="310">
        <f t="shared" si="38"/>
        <v>0</v>
      </c>
      <c r="W34" s="310">
        <f t="shared" ref="W34" si="43">F34+L34+Q34</f>
        <v>0</v>
      </c>
      <c r="X34" s="310"/>
      <c r="Y34" s="310"/>
      <c r="Z34" s="28"/>
      <c r="AC34" s="316"/>
    </row>
    <row r="35" spans="1:29" hidden="1" x14ac:dyDescent="0.2">
      <c r="A35" s="62"/>
      <c r="B35" s="8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10">
        <f t="shared" ref="T35" si="44">C35+I35+O35</f>
        <v>0</v>
      </c>
      <c r="U35" s="310">
        <f t="shared" ref="U35:V35" si="45">D35+J35+P35</f>
        <v>0</v>
      </c>
      <c r="V35" s="310">
        <f t="shared" si="45"/>
        <v>0</v>
      </c>
      <c r="W35" s="310">
        <f t="shared" ref="W35" si="46">F35+L35+Q35</f>
        <v>0</v>
      </c>
      <c r="X35" s="310">
        <f t="shared" si="40"/>
        <v>0</v>
      </c>
      <c r="Y35" s="310">
        <f t="shared" si="41"/>
        <v>0</v>
      </c>
      <c r="Z35" s="28"/>
      <c r="AC35" s="316"/>
    </row>
    <row r="36" spans="1:29" x14ac:dyDescent="0.2">
      <c r="A36" s="81" t="s">
        <v>263</v>
      </c>
      <c r="B36" s="14" t="s">
        <v>284</v>
      </c>
      <c r="C36" s="5">
        <f t="shared" ref="C36:H36" si="47">SUM(C37:C43)</f>
        <v>1650</v>
      </c>
      <c r="D36" s="5">
        <f t="shared" si="47"/>
        <v>1650</v>
      </c>
      <c r="E36" s="5">
        <f t="shared" si="47"/>
        <v>1650</v>
      </c>
      <c r="F36" s="5">
        <f t="shared" si="47"/>
        <v>2150</v>
      </c>
      <c r="G36" s="5">
        <f t="shared" si="47"/>
        <v>1955</v>
      </c>
      <c r="H36" s="5">
        <f t="shared" si="47"/>
        <v>1955</v>
      </c>
      <c r="I36" s="5">
        <f t="shared" ref="I36:O36" si="48">SUM(I37:I41)</f>
        <v>0</v>
      </c>
      <c r="J36" s="5">
        <f t="shared" ref="J36:K36" si="49">SUM(J37:J41)</f>
        <v>0</v>
      </c>
      <c r="K36" s="5">
        <f t="shared" si="49"/>
        <v>0</v>
      </c>
      <c r="L36" s="5">
        <f t="shared" ref="L36" si="50">SUM(L37:L41)</f>
        <v>0</v>
      </c>
      <c r="M36" s="5">
        <f t="shared" ref="M36:N36" si="51">SUM(M37:M41)</f>
        <v>0</v>
      </c>
      <c r="N36" s="5">
        <f t="shared" si="51"/>
        <v>0</v>
      </c>
      <c r="O36" s="5">
        <f t="shared" si="48"/>
        <v>0</v>
      </c>
      <c r="P36" s="5">
        <f t="shared" ref="P36:S36" si="52">SUM(P37:P41)</f>
        <v>0</v>
      </c>
      <c r="Q36" s="5">
        <f t="shared" ref="Q36" si="53">SUM(Q37:Q41)</f>
        <v>0</v>
      </c>
      <c r="R36" s="5">
        <f t="shared" si="52"/>
        <v>0</v>
      </c>
      <c r="S36" s="5">
        <f t="shared" si="52"/>
        <v>0</v>
      </c>
      <c r="T36" s="309">
        <f t="shared" ref="T36:V40" si="54">C36+I36+O36</f>
        <v>1650</v>
      </c>
      <c r="U36" s="309">
        <f t="shared" si="54"/>
        <v>1650</v>
      </c>
      <c r="V36" s="309">
        <f t="shared" si="54"/>
        <v>1650</v>
      </c>
      <c r="W36" s="309">
        <f t="shared" si="39"/>
        <v>2150</v>
      </c>
      <c r="X36" s="309">
        <f t="shared" si="40"/>
        <v>1955</v>
      </c>
      <c r="Y36" s="309">
        <f t="shared" si="41"/>
        <v>1955</v>
      </c>
      <c r="Z36" s="29"/>
      <c r="AC36" s="316"/>
    </row>
    <row r="37" spans="1:29" x14ac:dyDescent="0.2">
      <c r="A37" s="62" t="s">
        <v>264</v>
      </c>
      <c r="B37" s="8" t="s">
        <v>285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497"/>
      <c r="P37" s="497"/>
      <c r="Q37" s="497"/>
      <c r="R37" s="497"/>
      <c r="S37" s="497"/>
      <c r="T37" s="310">
        <f t="shared" si="54"/>
        <v>0</v>
      </c>
      <c r="U37" s="310">
        <f t="shared" si="54"/>
        <v>0</v>
      </c>
      <c r="V37" s="310">
        <f t="shared" si="54"/>
        <v>0</v>
      </c>
      <c r="W37" s="310">
        <f t="shared" ref="W37:Y38" si="55">F37+L37+Q37</f>
        <v>0</v>
      </c>
      <c r="X37" s="310">
        <f t="shared" si="55"/>
        <v>0</v>
      </c>
      <c r="Y37" s="310">
        <f t="shared" si="55"/>
        <v>0</v>
      </c>
      <c r="Z37" s="28"/>
      <c r="AC37" s="316"/>
    </row>
    <row r="38" spans="1:29" x14ac:dyDescent="0.2">
      <c r="A38" s="62"/>
      <c r="B38" s="8" t="s">
        <v>1224</v>
      </c>
      <c r="C38" s="13">
        <v>200</v>
      </c>
      <c r="D38" s="13">
        <v>200</v>
      </c>
      <c r="E38" s="13">
        <v>200</v>
      </c>
      <c r="F38" s="13">
        <v>200</v>
      </c>
      <c r="G38" s="13">
        <v>200</v>
      </c>
      <c r="H38" s="13">
        <v>200</v>
      </c>
      <c r="I38" s="13"/>
      <c r="J38" s="13"/>
      <c r="K38" s="13"/>
      <c r="L38" s="13"/>
      <c r="M38" s="13"/>
      <c r="N38" s="13"/>
      <c r="O38" s="497"/>
      <c r="P38" s="497"/>
      <c r="Q38" s="497"/>
      <c r="R38" s="497"/>
      <c r="S38" s="497"/>
      <c r="T38" s="310">
        <f t="shared" si="54"/>
        <v>200</v>
      </c>
      <c r="U38" s="310">
        <f t="shared" si="54"/>
        <v>200</v>
      </c>
      <c r="V38" s="310">
        <f t="shared" si="54"/>
        <v>200</v>
      </c>
      <c r="W38" s="310">
        <f t="shared" si="55"/>
        <v>200</v>
      </c>
      <c r="X38" s="310">
        <f t="shared" si="55"/>
        <v>200</v>
      </c>
      <c r="Y38" s="310">
        <f t="shared" si="55"/>
        <v>200</v>
      </c>
      <c r="Z38" s="28"/>
      <c r="AC38" s="316"/>
    </row>
    <row r="39" spans="1:29" x14ac:dyDescent="0.2">
      <c r="A39" s="62"/>
      <c r="B39" s="8" t="s">
        <v>1137</v>
      </c>
      <c r="C39" s="13">
        <v>400</v>
      </c>
      <c r="D39" s="13">
        <v>400</v>
      </c>
      <c r="E39" s="13">
        <v>400</v>
      </c>
      <c r="F39" s="13">
        <v>400</v>
      </c>
      <c r="G39" s="13">
        <v>315</v>
      </c>
      <c r="H39" s="13">
        <v>315</v>
      </c>
      <c r="I39" s="13"/>
      <c r="J39" s="13"/>
      <c r="K39" s="13"/>
      <c r="L39" s="13"/>
      <c r="M39" s="13"/>
      <c r="N39" s="13"/>
      <c r="O39" s="497"/>
      <c r="P39" s="497"/>
      <c r="Q39" s="497"/>
      <c r="R39" s="497"/>
      <c r="S39" s="497"/>
      <c r="T39" s="310">
        <f t="shared" si="54"/>
        <v>400</v>
      </c>
      <c r="U39" s="310">
        <f t="shared" si="54"/>
        <v>400</v>
      </c>
      <c r="V39" s="310">
        <f t="shared" si="54"/>
        <v>400</v>
      </c>
      <c r="W39" s="310">
        <f t="shared" ref="W39" si="56">F39+L39+Q39</f>
        <v>400</v>
      </c>
      <c r="X39" s="310"/>
      <c r="Y39" s="310"/>
      <c r="Z39" s="28"/>
      <c r="AC39" s="316"/>
    </row>
    <row r="40" spans="1:29" x14ac:dyDescent="0.2">
      <c r="A40" s="62"/>
      <c r="B40" s="8" t="s">
        <v>1228</v>
      </c>
      <c r="C40" s="13">
        <v>300</v>
      </c>
      <c r="D40" s="13">
        <v>300</v>
      </c>
      <c r="E40" s="13">
        <v>300</v>
      </c>
      <c r="F40" s="13">
        <f>300+500</f>
        <v>800</v>
      </c>
      <c r="G40" s="13">
        <v>590</v>
      </c>
      <c r="H40" s="13">
        <v>590</v>
      </c>
      <c r="I40" s="13"/>
      <c r="J40" s="13"/>
      <c r="K40" s="13"/>
      <c r="L40" s="13"/>
      <c r="M40" s="13"/>
      <c r="N40" s="13"/>
      <c r="O40" s="497"/>
      <c r="P40" s="497"/>
      <c r="Q40" s="497"/>
      <c r="R40" s="497"/>
      <c r="S40" s="497"/>
      <c r="T40" s="310">
        <f t="shared" si="54"/>
        <v>300</v>
      </c>
      <c r="U40" s="310">
        <f t="shared" si="54"/>
        <v>300</v>
      </c>
      <c r="V40" s="310">
        <f t="shared" si="54"/>
        <v>300</v>
      </c>
      <c r="W40" s="310">
        <f>F40+L40+Q40</f>
        <v>800</v>
      </c>
      <c r="X40" s="310">
        <f>G40+M40+R40</f>
        <v>590</v>
      </c>
      <c r="Y40" s="310">
        <f>H40+N40+S40</f>
        <v>590</v>
      </c>
      <c r="Z40" s="28"/>
      <c r="AC40" s="316"/>
    </row>
    <row r="41" spans="1:29" x14ac:dyDescent="0.2">
      <c r="A41" s="62" t="s">
        <v>265</v>
      </c>
      <c r="B41" s="8" t="s">
        <v>874</v>
      </c>
      <c r="C41" s="13">
        <v>750</v>
      </c>
      <c r="D41" s="13">
        <v>750</v>
      </c>
      <c r="E41" s="13">
        <v>750</v>
      </c>
      <c r="F41" s="13">
        <v>750</v>
      </c>
      <c r="G41" s="13">
        <f>1100-250</f>
        <v>850</v>
      </c>
      <c r="H41" s="13">
        <f>1100-250</f>
        <v>850</v>
      </c>
      <c r="I41" s="13"/>
      <c r="J41" s="13"/>
      <c r="K41" s="13"/>
      <c r="L41" s="13"/>
      <c r="M41" s="13"/>
      <c r="N41" s="13"/>
      <c r="O41" s="497"/>
      <c r="P41" s="497"/>
      <c r="Q41" s="497"/>
      <c r="R41" s="497"/>
      <c r="S41" s="497"/>
      <c r="T41" s="310">
        <f t="shared" ref="T41:T50" si="57">C41+I41+O41</f>
        <v>750</v>
      </c>
      <c r="U41" s="310">
        <f t="shared" ref="U41:U52" si="58">D41+J41+P41</f>
        <v>750</v>
      </c>
      <c r="V41" s="310">
        <f t="shared" ref="V41:V52" si="59">E41+K41+Q41</f>
        <v>750</v>
      </c>
      <c r="W41" s="310">
        <f t="shared" ref="W41:W50" si="60">F41+L41+Q41</f>
        <v>750</v>
      </c>
      <c r="X41" s="310">
        <f t="shared" ref="X41:X50" si="61">G41+M41+R41</f>
        <v>850</v>
      </c>
      <c r="Y41" s="310">
        <f t="shared" ref="Y41:Y50" si="62">H41+N41+S41</f>
        <v>850</v>
      </c>
      <c r="Z41" s="28"/>
      <c r="AC41" s="316"/>
    </row>
    <row r="42" spans="1:29" hidden="1" x14ac:dyDescent="0.2">
      <c r="A42" s="62"/>
      <c r="B42" s="8" t="s">
        <v>322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497"/>
      <c r="P42" s="497"/>
      <c r="Q42" s="497"/>
      <c r="R42" s="497"/>
      <c r="S42" s="497"/>
      <c r="T42" s="310">
        <f t="shared" si="57"/>
        <v>0</v>
      </c>
      <c r="U42" s="310">
        <f t="shared" si="58"/>
        <v>0</v>
      </c>
      <c r="V42" s="310">
        <f t="shared" si="59"/>
        <v>0</v>
      </c>
      <c r="W42" s="310">
        <f t="shared" si="60"/>
        <v>0</v>
      </c>
      <c r="X42" s="310">
        <f t="shared" si="61"/>
        <v>0</v>
      </c>
      <c r="Y42" s="310">
        <f t="shared" si="62"/>
        <v>0</v>
      </c>
      <c r="Z42" s="28"/>
      <c r="AC42" s="316"/>
    </row>
    <row r="43" spans="1:29" hidden="1" x14ac:dyDescent="0.2">
      <c r="A43" s="62"/>
      <c r="B43" s="8" t="s">
        <v>323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497"/>
      <c r="P43" s="497"/>
      <c r="Q43" s="497"/>
      <c r="R43" s="497"/>
      <c r="S43" s="497"/>
      <c r="T43" s="310">
        <f t="shared" si="57"/>
        <v>0</v>
      </c>
      <c r="U43" s="310">
        <f t="shared" si="58"/>
        <v>0</v>
      </c>
      <c r="V43" s="310">
        <f t="shared" si="59"/>
        <v>0</v>
      </c>
      <c r="W43" s="310">
        <f t="shared" si="60"/>
        <v>0</v>
      </c>
      <c r="X43" s="310">
        <f t="shared" si="61"/>
        <v>0</v>
      </c>
      <c r="Y43" s="310">
        <f t="shared" si="62"/>
        <v>0</v>
      </c>
      <c r="Z43" s="28"/>
      <c r="AC43" s="316"/>
    </row>
    <row r="44" spans="1:29" x14ac:dyDescent="0.2">
      <c r="A44" s="81" t="s">
        <v>266</v>
      </c>
      <c r="B44" s="14" t="s">
        <v>286</v>
      </c>
      <c r="C44" s="5">
        <f t="shared" ref="C44:S44" si="63">SUM(C45:C60)</f>
        <v>14190</v>
      </c>
      <c r="D44" s="5">
        <f t="shared" ref="D44:E44" si="64">SUM(D45:D60)</f>
        <v>14190</v>
      </c>
      <c r="E44" s="5">
        <f t="shared" si="64"/>
        <v>14190</v>
      </c>
      <c r="F44" s="5">
        <f t="shared" ref="F44" si="65">SUM(F45:F60)</f>
        <v>14690</v>
      </c>
      <c r="G44" s="5">
        <f t="shared" si="63"/>
        <v>10090</v>
      </c>
      <c r="H44" s="5">
        <f t="shared" si="63"/>
        <v>10090</v>
      </c>
      <c r="I44" s="5">
        <f t="shared" si="63"/>
        <v>5580</v>
      </c>
      <c r="J44" s="5">
        <f t="shared" ref="J44:K44" si="66">SUM(J45:J60)</f>
        <v>5580</v>
      </c>
      <c r="K44" s="5">
        <f t="shared" si="66"/>
        <v>5580</v>
      </c>
      <c r="L44" s="5">
        <f t="shared" ref="L44" si="67">SUM(L45:L60)</f>
        <v>5580</v>
      </c>
      <c r="M44" s="5">
        <f t="shared" si="63"/>
        <v>790</v>
      </c>
      <c r="N44" s="5">
        <f t="shared" si="63"/>
        <v>790</v>
      </c>
      <c r="O44" s="5">
        <f t="shared" si="63"/>
        <v>0</v>
      </c>
      <c r="P44" s="5">
        <f t="shared" si="63"/>
        <v>0</v>
      </c>
      <c r="Q44" s="5">
        <f t="shared" si="63"/>
        <v>0</v>
      </c>
      <c r="R44" s="5">
        <f t="shared" si="63"/>
        <v>0</v>
      </c>
      <c r="S44" s="5">
        <f t="shared" si="63"/>
        <v>0</v>
      </c>
      <c r="T44" s="309">
        <f t="shared" si="57"/>
        <v>19770</v>
      </c>
      <c r="U44" s="309">
        <f t="shared" si="58"/>
        <v>19770</v>
      </c>
      <c r="V44" s="309">
        <f t="shared" si="59"/>
        <v>19770</v>
      </c>
      <c r="W44" s="309">
        <f t="shared" si="60"/>
        <v>20270</v>
      </c>
      <c r="X44" s="309">
        <f t="shared" si="61"/>
        <v>10880</v>
      </c>
      <c r="Y44" s="309">
        <f t="shared" si="62"/>
        <v>10880</v>
      </c>
      <c r="Z44" s="29"/>
      <c r="AC44" s="316"/>
    </row>
    <row r="45" spans="1:29" x14ac:dyDescent="0.2">
      <c r="A45" s="62" t="s">
        <v>267</v>
      </c>
      <c r="B45" s="8" t="s">
        <v>303</v>
      </c>
      <c r="C45" s="13"/>
      <c r="D45" s="13"/>
      <c r="E45" s="13"/>
      <c r="F45" s="13"/>
      <c r="G45" s="13">
        <v>600</v>
      </c>
      <c r="H45" s="13">
        <v>600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310">
        <f t="shared" si="57"/>
        <v>0</v>
      </c>
      <c r="U45" s="310">
        <f t="shared" si="58"/>
        <v>0</v>
      </c>
      <c r="V45" s="310">
        <f t="shared" si="59"/>
        <v>0</v>
      </c>
      <c r="W45" s="310">
        <f t="shared" si="60"/>
        <v>0</v>
      </c>
      <c r="X45" s="310">
        <f t="shared" si="61"/>
        <v>600</v>
      </c>
      <c r="Y45" s="310">
        <f t="shared" si="62"/>
        <v>600</v>
      </c>
      <c r="Z45" s="28"/>
      <c r="AC45" s="316"/>
    </row>
    <row r="46" spans="1:29" x14ac:dyDescent="0.2">
      <c r="A46" s="62" t="s">
        <v>268</v>
      </c>
      <c r="B46" s="8" t="s">
        <v>1229</v>
      </c>
      <c r="C46" s="11">
        <v>60</v>
      </c>
      <c r="D46" s="11">
        <v>60</v>
      </c>
      <c r="E46" s="11">
        <v>60</v>
      </c>
      <c r="F46" s="11">
        <v>60</v>
      </c>
      <c r="G46" s="11">
        <v>20</v>
      </c>
      <c r="H46" s="11">
        <v>20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310">
        <f t="shared" si="57"/>
        <v>60</v>
      </c>
      <c r="U46" s="310">
        <f t="shared" si="58"/>
        <v>60</v>
      </c>
      <c r="V46" s="310">
        <f t="shared" si="59"/>
        <v>60</v>
      </c>
      <c r="W46" s="310">
        <f t="shared" si="60"/>
        <v>60</v>
      </c>
      <c r="X46" s="310">
        <f t="shared" si="61"/>
        <v>20</v>
      </c>
      <c r="Y46" s="310">
        <f t="shared" si="62"/>
        <v>20</v>
      </c>
      <c r="Z46" s="28"/>
      <c r="AC46" s="316"/>
    </row>
    <row r="47" spans="1:29" x14ac:dyDescent="0.2">
      <c r="A47" s="62" t="s">
        <v>269</v>
      </c>
      <c r="B47" s="8" t="s">
        <v>301</v>
      </c>
      <c r="C47" s="11"/>
      <c r="D47" s="11"/>
      <c r="E47" s="11"/>
      <c r="F47" s="11"/>
      <c r="G47" s="11"/>
      <c r="H47" s="11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310">
        <f t="shared" si="57"/>
        <v>0</v>
      </c>
      <c r="U47" s="310">
        <f t="shared" si="58"/>
        <v>0</v>
      </c>
      <c r="V47" s="310">
        <f t="shared" si="59"/>
        <v>0</v>
      </c>
      <c r="W47" s="310">
        <f t="shared" si="60"/>
        <v>0</v>
      </c>
      <c r="X47" s="310">
        <f t="shared" si="61"/>
        <v>0</v>
      </c>
      <c r="Y47" s="310">
        <f t="shared" si="62"/>
        <v>0</v>
      </c>
      <c r="Z47" s="28"/>
      <c r="AC47" s="316"/>
    </row>
    <row r="48" spans="1:29" x14ac:dyDescent="0.2">
      <c r="A48" s="62"/>
      <c r="B48" s="8" t="s">
        <v>1227</v>
      </c>
      <c r="C48" s="11">
        <v>500</v>
      </c>
      <c r="D48" s="11">
        <v>500</v>
      </c>
      <c r="E48" s="11">
        <v>500</v>
      </c>
      <c r="F48" s="11">
        <v>500</v>
      </c>
      <c r="G48" s="11">
        <v>360</v>
      </c>
      <c r="H48" s="11">
        <v>360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310">
        <f t="shared" si="57"/>
        <v>500</v>
      </c>
      <c r="U48" s="310">
        <f t="shared" si="58"/>
        <v>500</v>
      </c>
      <c r="V48" s="310">
        <f t="shared" si="59"/>
        <v>500</v>
      </c>
      <c r="W48" s="310">
        <f t="shared" si="60"/>
        <v>500</v>
      </c>
      <c r="X48" s="310">
        <f t="shared" si="61"/>
        <v>360</v>
      </c>
      <c r="Y48" s="310">
        <f t="shared" si="62"/>
        <v>360</v>
      </c>
      <c r="Z48" s="28"/>
      <c r="AC48" s="316"/>
    </row>
    <row r="49" spans="1:29" x14ac:dyDescent="0.2">
      <c r="A49" s="62"/>
      <c r="B49" s="8" t="s">
        <v>1136</v>
      </c>
      <c r="C49" s="11">
        <v>1080</v>
      </c>
      <c r="D49" s="11">
        <v>1080</v>
      </c>
      <c r="E49" s="11">
        <v>1080</v>
      </c>
      <c r="F49" s="11">
        <v>1080</v>
      </c>
      <c r="G49" s="11">
        <v>800</v>
      </c>
      <c r="H49" s="11">
        <v>800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310">
        <f t="shared" si="57"/>
        <v>1080</v>
      </c>
      <c r="U49" s="310">
        <f t="shared" si="58"/>
        <v>1080</v>
      </c>
      <c r="V49" s="310">
        <f t="shared" si="59"/>
        <v>1080</v>
      </c>
      <c r="W49" s="310">
        <f t="shared" si="60"/>
        <v>1080</v>
      </c>
      <c r="X49" s="310">
        <f t="shared" si="61"/>
        <v>800</v>
      </c>
      <c r="Y49" s="310">
        <f t="shared" si="62"/>
        <v>800</v>
      </c>
      <c r="Z49" s="28"/>
      <c r="AC49" s="316"/>
    </row>
    <row r="50" spans="1:29" x14ac:dyDescent="0.2">
      <c r="A50" s="62"/>
      <c r="B50" s="8" t="s">
        <v>455</v>
      </c>
      <c r="C50" s="11">
        <v>250</v>
      </c>
      <c r="D50" s="11">
        <v>250</v>
      </c>
      <c r="E50" s="11">
        <v>250</v>
      </c>
      <c r="F50" s="11">
        <f>250+500</f>
        <v>750</v>
      </c>
      <c r="G50" s="11">
        <v>300</v>
      </c>
      <c r="H50" s="11">
        <v>300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310">
        <f t="shared" si="57"/>
        <v>250</v>
      </c>
      <c r="U50" s="310">
        <f t="shared" si="58"/>
        <v>250</v>
      </c>
      <c r="V50" s="310">
        <f t="shared" si="59"/>
        <v>250</v>
      </c>
      <c r="W50" s="310">
        <f t="shared" si="60"/>
        <v>750</v>
      </c>
      <c r="X50" s="310">
        <f t="shared" si="61"/>
        <v>300</v>
      </c>
      <c r="Y50" s="310">
        <f t="shared" si="62"/>
        <v>300</v>
      </c>
      <c r="Z50" s="28"/>
      <c r="AC50" s="316"/>
    </row>
    <row r="51" spans="1:29" x14ac:dyDescent="0.2">
      <c r="A51" s="62" t="s">
        <v>270</v>
      </c>
      <c r="B51" s="8" t="s">
        <v>300</v>
      </c>
      <c r="C51" s="11"/>
      <c r="D51" s="11"/>
      <c r="E51" s="11"/>
      <c r="F51" s="11"/>
      <c r="G51" s="11"/>
      <c r="H51" s="11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310">
        <f t="shared" ref="T51:T61" si="68">C51+I51+O51</f>
        <v>0</v>
      </c>
      <c r="U51" s="310">
        <f t="shared" si="58"/>
        <v>0</v>
      </c>
      <c r="V51" s="310">
        <f t="shared" si="59"/>
        <v>0</v>
      </c>
      <c r="W51" s="310">
        <f t="shared" ref="W51:W61" si="69">F51+L51+Q51</f>
        <v>0</v>
      </c>
      <c r="X51" s="310">
        <f t="shared" ref="X51:X61" si="70">G51+M51+R51</f>
        <v>0</v>
      </c>
      <c r="Y51" s="310">
        <f t="shared" ref="Y51:Y61" si="71">H51+N51+S51</f>
        <v>0</v>
      </c>
      <c r="Z51" s="28"/>
      <c r="AC51" s="316"/>
    </row>
    <row r="52" spans="1:29" x14ac:dyDescent="0.2">
      <c r="A52" s="62" t="s">
        <v>271</v>
      </c>
      <c r="B52" s="8" t="s">
        <v>299</v>
      </c>
      <c r="C52" s="11"/>
      <c r="D52" s="11"/>
      <c r="E52" s="11"/>
      <c r="F52" s="11"/>
      <c r="G52" s="11"/>
      <c r="H52" s="11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310">
        <f t="shared" si="68"/>
        <v>0</v>
      </c>
      <c r="U52" s="310">
        <f t="shared" si="58"/>
        <v>0</v>
      </c>
      <c r="V52" s="310">
        <f t="shared" si="59"/>
        <v>0</v>
      </c>
      <c r="W52" s="310">
        <f t="shared" si="69"/>
        <v>0</v>
      </c>
      <c r="X52" s="310">
        <f t="shared" si="70"/>
        <v>0</v>
      </c>
      <c r="Y52" s="310">
        <f t="shared" si="71"/>
        <v>0</v>
      </c>
      <c r="Z52" s="28"/>
      <c r="AC52" s="316"/>
    </row>
    <row r="53" spans="1:29" hidden="1" x14ac:dyDescent="0.2">
      <c r="A53" s="62"/>
      <c r="B53" s="8"/>
      <c r="C53" s="11"/>
      <c r="D53" s="11"/>
      <c r="E53" s="11"/>
      <c r="F53" s="11"/>
      <c r="G53" s="11">
        <v>2220</v>
      </c>
      <c r="H53" s="11">
        <v>2220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310">
        <f t="shared" ref="T53:T56" si="72">C53+I53+O53</f>
        <v>0</v>
      </c>
      <c r="U53" s="310">
        <f t="shared" ref="U53:V56" si="73">D53+J53+P53</f>
        <v>0</v>
      </c>
      <c r="V53" s="310">
        <f t="shared" si="73"/>
        <v>0</v>
      </c>
      <c r="W53" s="310">
        <f t="shared" ref="W53:W56" si="74">F53+L53+Q53</f>
        <v>0</v>
      </c>
      <c r="X53" s="310">
        <f t="shared" si="70"/>
        <v>2220</v>
      </c>
      <c r="Y53" s="310">
        <f t="shared" si="71"/>
        <v>2220</v>
      </c>
      <c r="Z53" s="28"/>
      <c r="AC53" s="316"/>
    </row>
    <row r="54" spans="1:29" x14ac:dyDescent="0.2">
      <c r="A54" s="62"/>
      <c r="B54" s="8" t="s">
        <v>459</v>
      </c>
      <c r="C54" s="11">
        <v>560</v>
      </c>
      <c r="D54" s="11">
        <v>560</v>
      </c>
      <c r="E54" s="11">
        <v>560</v>
      </c>
      <c r="F54" s="11">
        <v>560</v>
      </c>
      <c r="G54" s="11">
        <v>340</v>
      </c>
      <c r="H54" s="11">
        <v>340</v>
      </c>
      <c r="I54" s="13"/>
      <c r="J54" s="13"/>
      <c r="K54" s="13"/>
      <c r="L54" s="13"/>
      <c r="M54" s="13">
        <v>40</v>
      </c>
      <c r="N54" s="13">
        <v>40</v>
      </c>
      <c r="O54" s="13"/>
      <c r="P54" s="13"/>
      <c r="Q54" s="13"/>
      <c r="R54" s="13"/>
      <c r="S54" s="13"/>
      <c r="T54" s="310">
        <f t="shared" si="72"/>
        <v>560</v>
      </c>
      <c r="U54" s="310">
        <f t="shared" si="73"/>
        <v>560</v>
      </c>
      <c r="V54" s="310">
        <f t="shared" si="73"/>
        <v>560</v>
      </c>
      <c r="W54" s="310">
        <f t="shared" si="74"/>
        <v>560</v>
      </c>
      <c r="X54" s="310">
        <f t="shared" si="70"/>
        <v>380</v>
      </c>
      <c r="Y54" s="310">
        <f t="shared" si="71"/>
        <v>380</v>
      </c>
      <c r="Z54" s="28"/>
      <c r="AC54" s="316"/>
    </row>
    <row r="55" spans="1:29" x14ac:dyDescent="0.2">
      <c r="A55" s="62"/>
      <c r="B55" s="8" t="s">
        <v>1225</v>
      </c>
      <c r="C55" s="11">
        <v>630</v>
      </c>
      <c r="D55" s="11">
        <v>630</v>
      </c>
      <c r="E55" s="11">
        <v>630</v>
      </c>
      <c r="F55" s="11">
        <v>630</v>
      </c>
      <c r="G55" s="11"/>
      <c r="H55" s="11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310">
        <f t="shared" si="72"/>
        <v>630</v>
      </c>
      <c r="U55" s="310">
        <f t="shared" si="73"/>
        <v>630</v>
      </c>
      <c r="V55" s="310">
        <f t="shared" si="73"/>
        <v>630</v>
      </c>
      <c r="W55" s="310">
        <f t="shared" si="74"/>
        <v>630</v>
      </c>
      <c r="X55" s="310">
        <f t="shared" si="70"/>
        <v>0</v>
      </c>
      <c r="Y55" s="310">
        <f t="shared" si="71"/>
        <v>0</v>
      </c>
      <c r="Z55" s="28"/>
      <c r="AA55" s="9">
        <f>25000*12+27500*12</f>
        <v>630000</v>
      </c>
      <c r="AC55" s="316"/>
    </row>
    <row r="56" spans="1:29" x14ac:dyDescent="0.2">
      <c r="A56" s="62"/>
      <c r="B56" s="8" t="s">
        <v>1226</v>
      </c>
      <c r="C56" s="11">
        <v>250</v>
      </c>
      <c r="D56" s="11">
        <f>250+400</f>
        <v>650</v>
      </c>
      <c r="E56" s="11">
        <f>250+400</f>
        <v>650</v>
      </c>
      <c r="F56" s="11">
        <f>250+400</f>
        <v>650</v>
      </c>
      <c r="G56" s="11">
        <v>400</v>
      </c>
      <c r="H56" s="11">
        <v>400</v>
      </c>
      <c r="I56" s="13">
        <v>80</v>
      </c>
      <c r="J56" s="13">
        <v>80</v>
      </c>
      <c r="K56" s="13">
        <v>80</v>
      </c>
      <c r="L56" s="13">
        <v>80</v>
      </c>
      <c r="M56" s="13">
        <f>300+300+50+100</f>
        <v>750</v>
      </c>
      <c r="N56" s="13">
        <f>300+300+50+100</f>
        <v>750</v>
      </c>
      <c r="O56" s="13"/>
      <c r="P56" s="13"/>
      <c r="Q56" s="13"/>
      <c r="R56" s="13"/>
      <c r="S56" s="13"/>
      <c r="T56" s="310">
        <f t="shared" si="72"/>
        <v>330</v>
      </c>
      <c r="U56" s="310">
        <f t="shared" si="73"/>
        <v>730</v>
      </c>
      <c r="V56" s="310">
        <f t="shared" si="73"/>
        <v>730</v>
      </c>
      <c r="W56" s="310">
        <f t="shared" si="74"/>
        <v>730</v>
      </c>
      <c r="X56" s="310">
        <f t="shared" si="70"/>
        <v>1150</v>
      </c>
      <c r="Y56" s="310">
        <f t="shared" si="71"/>
        <v>1150</v>
      </c>
      <c r="Z56" s="28"/>
      <c r="AC56" s="316"/>
    </row>
    <row r="57" spans="1:29" hidden="1" x14ac:dyDescent="0.2">
      <c r="A57" s="62"/>
      <c r="B57" s="8"/>
      <c r="C57" s="11"/>
      <c r="D57" s="11"/>
      <c r="E57" s="11"/>
      <c r="F57" s="11"/>
      <c r="G57" s="11"/>
      <c r="H57" s="11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310">
        <f t="shared" ref="T57" si="75">C57+I57+O57</f>
        <v>0</v>
      </c>
      <c r="U57" s="310">
        <f t="shared" ref="U57:V57" si="76">D57+J57+P57</f>
        <v>0</v>
      </c>
      <c r="V57" s="310">
        <f t="shared" si="76"/>
        <v>0</v>
      </c>
      <c r="W57" s="310">
        <f t="shared" ref="W57" si="77">F57+L57+Q57</f>
        <v>0</v>
      </c>
      <c r="X57" s="310">
        <f t="shared" si="70"/>
        <v>0</v>
      </c>
      <c r="Y57" s="310">
        <f t="shared" si="71"/>
        <v>0</v>
      </c>
      <c r="Z57" s="28"/>
      <c r="AC57" s="316"/>
    </row>
    <row r="58" spans="1:29" x14ac:dyDescent="0.2">
      <c r="A58" s="62" t="s">
        <v>272</v>
      </c>
      <c r="B58" s="8" t="s">
        <v>298</v>
      </c>
      <c r="C58" s="11">
        <v>1610</v>
      </c>
      <c r="D58" s="11">
        <f>1610-400</f>
        <v>1210</v>
      </c>
      <c r="E58" s="11">
        <f>1610-400</f>
        <v>1210</v>
      </c>
      <c r="F58" s="11">
        <f>1610-400</f>
        <v>1210</v>
      </c>
      <c r="G58" s="11">
        <v>300</v>
      </c>
      <c r="H58" s="11">
        <v>300</v>
      </c>
      <c r="I58" s="13">
        <f>40+4960+500</f>
        <v>5500</v>
      </c>
      <c r="J58" s="13">
        <f>40+4960+500-3120</f>
        <v>2380</v>
      </c>
      <c r="K58" s="13">
        <f>40+4960+500-3120</f>
        <v>2380</v>
      </c>
      <c r="L58" s="13">
        <f>40+4960+500-3120</f>
        <v>2380</v>
      </c>
      <c r="M58" s="13"/>
      <c r="N58" s="13"/>
      <c r="O58" s="13"/>
      <c r="P58" s="13"/>
      <c r="Q58" s="13"/>
      <c r="R58" s="13"/>
      <c r="S58" s="13"/>
      <c r="T58" s="310">
        <f t="shared" si="68"/>
        <v>7110</v>
      </c>
      <c r="U58" s="310">
        <f t="shared" ref="U58:U72" si="78">D58+J58+P58</f>
        <v>3590</v>
      </c>
      <c r="V58" s="310">
        <f t="shared" ref="V58:V72" si="79">E58+K58+Q58</f>
        <v>3590</v>
      </c>
      <c r="W58" s="310">
        <f t="shared" si="69"/>
        <v>3590</v>
      </c>
      <c r="X58" s="310">
        <f t="shared" si="70"/>
        <v>300</v>
      </c>
      <c r="Y58" s="310">
        <f t="shared" si="71"/>
        <v>300</v>
      </c>
      <c r="Z58" s="28"/>
      <c r="AC58" s="316"/>
    </row>
    <row r="59" spans="1:29" x14ac:dyDescent="0.2">
      <c r="A59" s="62"/>
      <c r="B59" s="8" t="s">
        <v>337</v>
      </c>
      <c r="C59" s="11">
        <v>8500</v>
      </c>
      <c r="D59" s="11">
        <v>8500</v>
      </c>
      <c r="E59" s="11">
        <v>8500</v>
      </c>
      <c r="F59" s="11">
        <v>8500</v>
      </c>
      <c r="G59" s="11">
        <v>4000</v>
      </c>
      <c r="H59" s="11">
        <v>4000</v>
      </c>
      <c r="I59" s="13">
        <v>0</v>
      </c>
      <c r="J59" s="13">
        <v>3120</v>
      </c>
      <c r="K59" s="13">
        <v>3120</v>
      </c>
      <c r="L59" s="13">
        <v>3120</v>
      </c>
      <c r="M59" s="13"/>
      <c r="N59" s="13"/>
      <c r="O59" s="13"/>
      <c r="P59" s="13"/>
      <c r="Q59" s="13"/>
      <c r="R59" s="13"/>
      <c r="S59" s="13"/>
      <c r="T59" s="310">
        <f t="shared" si="68"/>
        <v>8500</v>
      </c>
      <c r="U59" s="310">
        <f t="shared" si="78"/>
        <v>11620</v>
      </c>
      <c r="V59" s="310">
        <f t="shared" si="79"/>
        <v>11620</v>
      </c>
      <c r="W59" s="310">
        <f t="shared" si="69"/>
        <v>11620</v>
      </c>
      <c r="X59" s="310">
        <f t="shared" si="70"/>
        <v>4000</v>
      </c>
      <c r="Y59" s="310">
        <f t="shared" si="71"/>
        <v>4000</v>
      </c>
      <c r="Z59" s="28"/>
      <c r="AC59" s="316"/>
    </row>
    <row r="60" spans="1:29" x14ac:dyDescent="0.2">
      <c r="A60" s="62"/>
      <c r="B60" s="8" t="s">
        <v>442</v>
      </c>
      <c r="C60" s="11">
        <v>750</v>
      </c>
      <c r="D60" s="11">
        <v>750</v>
      </c>
      <c r="E60" s="11">
        <v>750</v>
      </c>
      <c r="F60" s="11">
        <v>750</v>
      </c>
      <c r="G60" s="11">
        <v>750</v>
      </c>
      <c r="H60" s="11">
        <v>750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310">
        <f t="shared" si="68"/>
        <v>750</v>
      </c>
      <c r="U60" s="310">
        <f t="shared" si="78"/>
        <v>750</v>
      </c>
      <c r="V60" s="310">
        <f t="shared" si="79"/>
        <v>750</v>
      </c>
      <c r="W60" s="310">
        <f t="shared" si="69"/>
        <v>750</v>
      </c>
      <c r="X60" s="310">
        <f t="shared" si="70"/>
        <v>750</v>
      </c>
      <c r="Y60" s="310">
        <f t="shared" si="71"/>
        <v>750</v>
      </c>
      <c r="Z60" s="28"/>
      <c r="AC60" s="316"/>
    </row>
    <row r="61" spans="1:29" x14ac:dyDescent="0.2">
      <c r="A61" s="81" t="s">
        <v>273</v>
      </c>
      <c r="B61" s="14" t="s">
        <v>258</v>
      </c>
      <c r="C61" s="6">
        <f t="shared" ref="C61:O61" si="80">SUM(C62:C63)</f>
        <v>180</v>
      </c>
      <c r="D61" s="6">
        <f t="shared" ref="D61:E61" si="81">SUM(D62:D63)</f>
        <v>180</v>
      </c>
      <c r="E61" s="6">
        <f t="shared" si="81"/>
        <v>180</v>
      </c>
      <c r="F61" s="6">
        <f t="shared" ref="F61" si="82">SUM(F62:F63)</f>
        <v>180</v>
      </c>
      <c r="G61" s="6">
        <f t="shared" ref="G61:H61" si="83">SUM(G62:G63)</f>
        <v>230</v>
      </c>
      <c r="H61" s="6">
        <f t="shared" si="83"/>
        <v>230</v>
      </c>
      <c r="I61" s="5">
        <f t="shared" si="80"/>
        <v>10</v>
      </c>
      <c r="J61" s="5">
        <f t="shared" ref="J61:K61" si="84">SUM(J62:J63)</f>
        <v>10</v>
      </c>
      <c r="K61" s="5">
        <f t="shared" si="84"/>
        <v>10</v>
      </c>
      <c r="L61" s="5">
        <f t="shared" ref="L61" si="85">SUM(L62:L63)</f>
        <v>10</v>
      </c>
      <c r="M61" s="5">
        <f t="shared" ref="M61:N61" si="86">SUM(M62:M63)</f>
        <v>20</v>
      </c>
      <c r="N61" s="5">
        <f t="shared" si="86"/>
        <v>20</v>
      </c>
      <c r="O61" s="5">
        <f t="shared" si="80"/>
        <v>0</v>
      </c>
      <c r="P61" s="5">
        <f t="shared" ref="P61:S61" si="87">SUM(P62:P63)</f>
        <v>0</v>
      </c>
      <c r="Q61" s="5">
        <f t="shared" ref="Q61" si="88">SUM(Q62:Q63)</f>
        <v>0</v>
      </c>
      <c r="R61" s="5">
        <f t="shared" si="87"/>
        <v>0</v>
      </c>
      <c r="S61" s="5">
        <f t="shared" si="87"/>
        <v>0</v>
      </c>
      <c r="T61" s="309">
        <f t="shared" si="68"/>
        <v>190</v>
      </c>
      <c r="U61" s="309">
        <f t="shared" si="78"/>
        <v>190</v>
      </c>
      <c r="V61" s="309">
        <f t="shared" si="79"/>
        <v>190</v>
      </c>
      <c r="W61" s="309">
        <f t="shared" si="69"/>
        <v>190</v>
      </c>
      <c r="X61" s="309">
        <f t="shared" si="70"/>
        <v>250</v>
      </c>
      <c r="Y61" s="309">
        <f t="shared" si="71"/>
        <v>250</v>
      </c>
      <c r="Z61" s="29"/>
      <c r="AA61" s="37"/>
      <c r="AB61" s="37"/>
      <c r="AC61" s="316"/>
    </row>
    <row r="62" spans="1:29" x14ac:dyDescent="0.2">
      <c r="A62" s="62" t="s">
        <v>274</v>
      </c>
      <c r="B62" s="8" t="s">
        <v>297</v>
      </c>
      <c r="C62" s="13">
        <v>150</v>
      </c>
      <c r="D62" s="13">
        <v>150</v>
      </c>
      <c r="E62" s="13">
        <v>150</v>
      </c>
      <c r="F62" s="13">
        <v>150</v>
      </c>
      <c r="G62" s="13">
        <v>200</v>
      </c>
      <c r="H62" s="13">
        <v>200</v>
      </c>
      <c r="I62" s="13">
        <v>10</v>
      </c>
      <c r="J62" s="13">
        <v>10</v>
      </c>
      <c r="K62" s="13">
        <v>10</v>
      </c>
      <c r="L62" s="13">
        <v>10</v>
      </c>
      <c r="M62" s="13">
        <v>20</v>
      </c>
      <c r="N62" s="13">
        <v>20</v>
      </c>
      <c r="O62" s="497"/>
      <c r="P62" s="497"/>
      <c r="Q62" s="497"/>
      <c r="R62" s="497">
        <v>0</v>
      </c>
      <c r="S62" s="497">
        <v>0</v>
      </c>
      <c r="T62" s="310">
        <f>C62+I62+O62</f>
        <v>160</v>
      </c>
      <c r="U62" s="310">
        <f t="shared" si="78"/>
        <v>160</v>
      </c>
      <c r="V62" s="310">
        <f t="shared" si="79"/>
        <v>160</v>
      </c>
      <c r="W62" s="310">
        <f>F62+L62+Q62</f>
        <v>160</v>
      </c>
      <c r="X62" s="310">
        <f>G62+M62+R62</f>
        <v>220</v>
      </c>
      <c r="Y62" s="310">
        <f>H62+N62+S62</f>
        <v>220</v>
      </c>
      <c r="Z62" s="28"/>
      <c r="AC62" s="316"/>
    </row>
    <row r="63" spans="1:29" x14ac:dyDescent="0.2">
      <c r="A63" s="62" t="s">
        <v>275</v>
      </c>
      <c r="B63" s="8" t="s">
        <v>309</v>
      </c>
      <c r="C63" s="13">
        <v>30</v>
      </c>
      <c r="D63" s="13">
        <v>30</v>
      </c>
      <c r="E63" s="13">
        <v>30</v>
      </c>
      <c r="F63" s="13">
        <v>30</v>
      </c>
      <c r="G63" s="13">
        <v>30</v>
      </c>
      <c r="H63" s="13">
        <v>30</v>
      </c>
      <c r="I63" s="13"/>
      <c r="J63" s="13"/>
      <c r="K63" s="13"/>
      <c r="L63" s="13"/>
      <c r="M63" s="13"/>
      <c r="N63" s="13"/>
      <c r="O63" s="497"/>
      <c r="P63" s="497"/>
      <c r="Q63" s="497"/>
      <c r="R63" s="497"/>
      <c r="S63" s="497"/>
      <c r="T63" s="310">
        <f t="shared" ref="T63:T72" si="89">C63+I63+O63</f>
        <v>30</v>
      </c>
      <c r="U63" s="310">
        <f t="shared" si="78"/>
        <v>30</v>
      </c>
      <c r="V63" s="310">
        <f t="shared" si="79"/>
        <v>30</v>
      </c>
      <c r="W63" s="310">
        <f t="shared" ref="W63:W72" si="90">F63+L63+Q63</f>
        <v>30</v>
      </c>
      <c r="X63" s="310">
        <f t="shared" ref="X63:X72" si="91">G63+M63+R63</f>
        <v>30</v>
      </c>
      <c r="Y63" s="310">
        <f t="shared" ref="Y63:Y72" si="92">H63+N63+S63</f>
        <v>30</v>
      </c>
      <c r="Z63" s="28"/>
      <c r="AC63" s="316"/>
    </row>
    <row r="64" spans="1:29" x14ac:dyDescent="0.2">
      <c r="A64" s="81" t="s">
        <v>276</v>
      </c>
      <c r="B64" s="14" t="s">
        <v>259</v>
      </c>
      <c r="C64" s="5">
        <f t="shared" ref="C64:S64" si="93">SUM(C65:C72)</f>
        <v>9029</v>
      </c>
      <c r="D64" s="5">
        <f t="shared" ref="D64:E64" si="94">SUM(D65:D72)</f>
        <v>9029</v>
      </c>
      <c r="E64" s="5">
        <f t="shared" si="94"/>
        <v>9029</v>
      </c>
      <c r="F64" s="5">
        <f t="shared" ref="F64" si="95">SUM(F65:F72)</f>
        <v>12339</v>
      </c>
      <c r="G64" s="5">
        <f t="shared" si="93"/>
        <v>1261</v>
      </c>
      <c r="H64" s="5">
        <f t="shared" si="93"/>
        <v>1261</v>
      </c>
      <c r="I64" s="5">
        <f t="shared" si="93"/>
        <v>1520</v>
      </c>
      <c r="J64" s="5">
        <f t="shared" ref="J64:K64" si="96">SUM(J65:J72)</f>
        <v>1520</v>
      </c>
      <c r="K64" s="5">
        <f t="shared" si="96"/>
        <v>1520</v>
      </c>
      <c r="L64" s="5">
        <f t="shared" ref="L64" si="97">SUM(L65:L72)</f>
        <v>1520</v>
      </c>
      <c r="M64" s="5">
        <f t="shared" si="93"/>
        <v>240</v>
      </c>
      <c r="N64" s="5">
        <f t="shared" si="93"/>
        <v>240</v>
      </c>
      <c r="O64" s="5">
        <f t="shared" si="93"/>
        <v>0</v>
      </c>
      <c r="P64" s="5">
        <f t="shared" si="93"/>
        <v>0</v>
      </c>
      <c r="Q64" s="5">
        <f t="shared" si="93"/>
        <v>0</v>
      </c>
      <c r="R64" s="5">
        <f t="shared" si="93"/>
        <v>0</v>
      </c>
      <c r="S64" s="5">
        <f t="shared" si="93"/>
        <v>0</v>
      </c>
      <c r="T64" s="309">
        <f t="shared" si="89"/>
        <v>10549</v>
      </c>
      <c r="U64" s="309">
        <f t="shared" si="78"/>
        <v>10549</v>
      </c>
      <c r="V64" s="309">
        <f t="shared" si="79"/>
        <v>10549</v>
      </c>
      <c r="W64" s="309">
        <f t="shared" si="90"/>
        <v>13859</v>
      </c>
      <c r="X64" s="309">
        <f t="shared" si="91"/>
        <v>1501</v>
      </c>
      <c r="Y64" s="309">
        <f t="shared" si="92"/>
        <v>1501</v>
      </c>
      <c r="Z64" s="29"/>
      <c r="AC64" s="316"/>
    </row>
    <row r="65" spans="1:31" x14ac:dyDescent="0.2">
      <c r="A65" s="62" t="s">
        <v>277</v>
      </c>
      <c r="B65" s="8" t="s">
        <v>287</v>
      </c>
      <c r="C65" s="13">
        <v>3140</v>
      </c>
      <c r="D65" s="13">
        <v>3140</v>
      </c>
      <c r="E65" s="13">
        <v>3140</v>
      </c>
      <c r="F65" s="13">
        <f>3140+1500</f>
        <v>4640</v>
      </c>
      <c r="G65" s="13"/>
      <c r="H65" s="13"/>
      <c r="I65" s="13">
        <v>1520</v>
      </c>
      <c r="J65" s="13">
        <v>1520</v>
      </c>
      <c r="K65" s="13">
        <v>1520</v>
      </c>
      <c r="L65" s="13">
        <v>1520</v>
      </c>
      <c r="M65" s="13">
        <v>240</v>
      </c>
      <c r="N65" s="13">
        <v>240</v>
      </c>
      <c r="O65" s="13"/>
      <c r="P65" s="13"/>
      <c r="Q65" s="13"/>
      <c r="R65" s="13"/>
      <c r="S65" s="13"/>
      <c r="T65" s="310">
        <f t="shared" si="89"/>
        <v>4660</v>
      </c>
      <c r="U65" s="310">
        <f t="shared" si="78"/>
        <v>4660</v>
      </c>
      <c r="V65" s="310">
        <f t="shared" si="79"/>
        <v>4660</v>
      </c>
      <c r="W65" s="310">
        <f t="shared" si="90"/>
        <v>6160</v>
      </c>
      <c r="X65" s="310">
        <f t="shared" si="91"/>
        <v>240</v>
      </c>
      <c r="Y65" s="310">
        <f t="shared" si="92"/>
        <v>240</v>
      </c>
      <c r="Z65" s="28"/>
      <c r="AA65" s="37">
        <f>(C22+C28+C29+C30+C31+C32+C38+C39+C40+C41+C46+C48+C49+C50+C55+C56+C58+C63+C69-250)*0.27</f>
        <v>4468.2300000000005</v>
      </c>
      <c r="AB65" s="37">
        <f>(I22+I28+I29+I30+I31+I32+I38+I39+I40+I41+I46+I48+I49+I50+I55+I56+I58+I63+I71+I72)*0.27</f>
        <v>1520.1000000000001</v>
      </c>
      <c r="AC65" s="37"/>
      <c r="AD65" s="37"/>
      <c r="AE65" s="37"/>
    </row>
    <row r="66" spans="1:31" x14ac:dyDescent="0.2">
      <c r="A66" s="62" t="s">
        <v>278</v>
      </c>
      <c r="B66" s="8" t="s">
        <v>288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310">
        <f t="shared" si="89"/>
        <v>0</v>
      </c>
      <c r="U66" s="310">
        <f t="shared" si="78"/>
        <v>0</v>
      </c>
      <c r="V66" s="310">
        <f t="shared" si="79"/>
        <v>0</v>
      </c>
      <c r="W66" s="310">
        <f t="shared" si="90"/>
        <v>0</v>
      </c>
      <c r="X66" s="310">
        <f t="shared" si="91"/>
        <v>0</v>
      </c>
      <c r="Y66" s="310">
        <f t="shared" si="92"/>
        <v>0</v>
      </c>
      <c r="Z66" s="28"/>
      <c r="AC66" s="316"/>
    </row>
    <row r="67" spans="1:31" x14ac:dyDescent="0.2">
      <c r="A67" s="62" t="s">
        <v>279</v>
      </c>
      <c r="B67" s="8" t="s">
        <v>289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310">
        <f t="shared" si="89"/>
        <v>0</v>
      </c>
      <c r="U67" s="310">
        <f t="shared" si="78"/>
        <v>0</v>
      </c>
      <c r="V67" s="310">
        <f t="shared" si="79"/>
        <v>0</v>
      </c>
      <c r="W67" s="310">
        <f t="shared" si="90"/>
        <v>0</v>
      </c>
      <c r="X67" s="310">
        <f t="shared" si="91"/>
        <v>0</v>
      </c>
      <c r="Y67" s="310">
        <f t="shared" si="92"/>
        <v>0</v>
      </c>
      <c r="Z67" s="28"/>
      <c r="AC67" s="316"/>
    </row>
    <row r="68" spans="1:31" x14ac:dyDescent="0.2">
      <c r="A68" s="62" t="s">
        <v>280</v>
      </c>
      <c r="B68" s="8" t="s">
        <v>290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310">
        <f t="shared" si="89"/>
        <v>0</v>
      </c>
      <c r="U68" s="310">
        <f t="shared" si="78"/>
        <v>0</v>
      </c>
      <c r="V68" s="310">
        <f t="shared" si="79"/>
        <v>0</v>
      </c>
      <c r="W68" s="310">
        <f t="shared" si="90"/>
        <v>0</v>
      </c>
      <c r="X68" s="310">
        <f t="shared" si="91"/>
        <v>0</v>
      </c>
      <c r="Y68" s="310">
        <f t="shared" si="92"/>
        <v>0</v>
      </c>
      <c r="Z68" s="28"/>
      <c r="AC68" s="316"/>
    </row>
    <row r="69" spans="1:31" x14ac:dyDescent="0.2">
      <c r="A69" s="62" t="s">
        <v>281</v>
      </c>
      <c r="B69" s="8" t="s">
        <v>58</v>
      </c>
      <c r="C69" s="13">
        <f>975+4400+514</f>
        <v>5889</v>
      </c>
      <c r="D69" s="13">
        <f>975+4400+514</f>
        <v>5889</v>
      </c>
      <c r="E69" s="13">
        <f>975+4400+514</f>
        <v>5889</v>
      </c>
      <c r="F69" s="13">
        <f>975+4400+514+310+1500</f>
        <v>7699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310">
        <f t="shared" si="89"/>
        <v>5889</v>
      </c>
      <c r="U69" s="310">
        <f t="shared" si="78"/>
        <v>5889</v>
      </c>
      <c r="V69" s="310">
        <f t="shared" si="79"/>
        <v>5889</v>
      </c>
      <c r="W69" s="310">
        <f t="shared" si="90"/>
        <v>7699</v>
      </c>
      <c r="X69" s="310">
        <f t="shared" si="91"/>
        <v>0</v>
      </c>
      <c r="Y69" s="310">
        <f t="shared" si="92"/>
        <v>0</v>
      </c>
      <c r="Z69" s="28"/>
      <c r="AC69" s="316"/>
    </row>
    <row r="70" spans="1:31" hidden="1" x14ac:dyDescent="0.2">
      <c r="A70" s="62"/>
      <c r="B70" s="8"/>
      <c r="C70" s="13"/>
      <c r="D70" s="13"/>
      <c r="E70" s="13"/>
      <c r="F70" s="13"/>
      <c r="G70" s="13">
        <v>5</v>
      </c>
      <c r="H70" s="13">
        <v>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310">
        <f t="shared" si="89"/>
        <v>0</v>
      </c>
      <c r="U70" s="310">
        <f t="shared" si="78"/>
        <v>0</v>
      </c>
      <c r="V70" s="310">
        <f t="shared" si="79"/>
        <v>0</v>
      </c>
      <c r="W70" s="310">
        <f t="shared" si="90"/>
        <v>0</v>
      </c>
      <c r="X70" s="310">
        <f t="shared" si="91"/>
        <v>5</v>
      </c>
      <c r="Y70" s="310">
        <f t="shared" si="92"/>
        <v>5</v>
      </c>
      <c r="Z70" s="28"/>
      <c r="AC70" s="316"/>
    </row>
    <row r="71" spans="1:31" hidden="1" x14ac:dyDescent="0.2">
      <c r="A71" s="62"/>
      <c r="B71" s="8" t="s">
        <v>312</v>
      </c>
      <c r="C71" s="13"/>
      <c r="D71" s="13"/>
      <c r="E71" s="13"/>
      <c r="F71" s="13"/>
      <c r="G71" s="13">
        <v>1000</v>
      </c>
      <c r="H71" s="13">
        <v>1000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310">
        <f t="shared" si="89"/>
        <v>0</v>
      </c>
      <c r="U71" s="310">
        <f t="shared" si="78"/>
        <v>0</v>
      </c>
      <c r="V71" s="310">
        <f t="shared" si="79"/>
        <v>0</v>
      </c>
      <c r="W71" s="310">
        <f t="shared" si="90"/>
        <v>0</v>
      </c>
      <c r="X71" s="310">
        <f t="shared" si="91"/>
        <v>1000</v>
      </c>
      <c r="Y71" s="310">
        <f t="shared" si="92"/>
        <v>1000</v>
      </c>
      <c r="Z71" s="28"/>
      <c r="AC71" s="316"/>
    </row>
    <row r="72" spans="1:31" hidden="1" x14ac:dyDescent="0.2">
      <c r="A72" s="62"/>
      <c r="B72" s="8" t="s">
        <v>1216</v>
      </c>
      <c r="C72" s="13"/>
      <c r="D72" s="13"/>
      <c r="E72" s="13"/>
      <c r="F72" s="13"/>
      <c r="G72" s="13">
        <v>256</v>
      </c>
      <c r="H72" s="13">
        <v>256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310">
        <f t="shared" si="89"/>
        <v>0</v>
      </c>
      <c r="U72" s="310">
        <f t="shared" si="78"/>
        <v>0</v>
      </c>
      <c r="V72" s="310">
        <f t="shared" si="79"/>
        <v>0</v>
      </c>
      <c r="W72" s="310">
        <f t="shared" si="90"/>
        <v>0</v>
      </c>
      <c r="X72" s="310">
        <f t="shared" si="91"/>
        <v>256</v>
      </c>
      <c r="Y72" s="310">
        <f t="shared" si="92"/>
        <v>256</v>
      </c>
      <c r="Z72" s="28"/>
      <c r="AC72" s="316"/>
    </row>
    <row r="73" spans="1:31" x14ac:dyDescent="0.2">
      <c r="A73" s="81" t="s">
        <v>292</v>
      </c>
      <c r="B73" s="115" t="s">
        <v>31</v>
      </c>
      <c r="C73" s="233">
        <f t="shared" ref="C73:S73" si="98">SUM(C27+C36+C44+C61+C64)</f>
        <v>29599</v>
      </c>
      <c r="D73" s="233">
        <f t="shared" ref="D73:F73" si="99">SUM(D27+D36+D44+D61+D64)</f>
        <v>29655</v>
      </c>
      <c r="E73" s="233">
        <f t="shared" ref="E73" si="100">SUM(E27+E36+E44+E61+E64)</f>
        <v>29655</v>
      </c>
      <c r="F73" s="233">
        <f t="shared" si="99"/>
        <v>36092</v>
      </c>
      <c r="G73" s="233">
        <f t="shared" si="98"/>
        <v>17286</v>
      </c>
      <c r="H73" s="233">
        <f t="shared" si="98"/>
        <v>17286</v>
      </c>
      <c r="I73" s="233">
        <f t="shared" si="98"/>
        <v>7160</v>
      </c>
      <c r="J73" s="233">
        <f t="shared" ref="J73:L73" si="101">SUM(J27+J36+J44+J61+J64)</f>
        <v>7160</v>
      </c>
      <c r="K73" s="233">
        <f t="shared" ref="K73" si="102">SUM(K27+K36+K44+K61+K64)</f>
        <v>7160</v>
      </c>
      <c r="L73" s="233">
        <f t="shared" si="101"/>
        <v>7160</v>
      </c>
      <c r="M73" s="233">
        <f t="shared" si="98"/>
        <v>1050</v>
      </c>
      <c r="N73" s="233">
        <f t="shared" si="98"/>
        <v>1050</v>
      </c>
      <c r="O73" s="233">
        <f t="shared" si="98"/>
        <v>0</v>
      </c>
      <c r="P73" s="233">
        <f t="shared" si="98"/>
        <v>0</v>
      </c>
      <c r="Q73" s="233">
        <f t="shared" si="98"/>
        <v>0</v>
      </c>
      <c r="R73" s="233">
        <f t="shared" si="98"/>
        <v>0</v>
      </c>
      <c r="S73" s="233">
        <f t="shared" si="98"/>
        <v>0</v>
      </c>
      <c r="T73" s="161">
        <f>(I73+C73+O73)</f>
        <v>36759</v>
      </c>
      <c r="U73" s="161">
        <f>(J73+D73+P73)</f>
        <v>36815</v>
      </c>
      <c r="V73" s="161">
        <f>(K73+E73+Q73)</f>
        <v>36815</v>
      </c>
      <c r="W73" s="161">
        <f>(L73+F73+Q73)</f>
        <v>43252</v>
      </c>
      <c r="X73" s="161">
        <f>(M73+G73+R73)</f>
        <v>18336</v>
      </c>
      <c r="Y73" s="161">
        <f>(N73+H73+S73)</f>
        <v>18336</v>
      </c>
      <c r="Z73" s="28"/>
      <c r="AC73" s="316"/>
    </row>
    <row r="74" spans="1:31" x14ac:dyDescent="0.2">
      <c r="A74" s="153" t="s">
        <v>291</v>
      </c>
      <c r="B74" s="115" t="s">
        <v>440</v>
      </c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4">
        <f t="shared" ref="T74:V75" si="103">C74+I74+O74</f>
        <v>0</v>
      </c>
      <c r="U74" s="234">
        <f t="shared" si="103"/>
        <v>0</v>
      </c>
      <c r="V74" s="234">
        <f t="shared" si="103"/>
        <v>0</v>
      </c>
      <c r="W74" s="234">
        <f t="shared" ref="W74:Y75" si="104">F74+L74+Q74</f>
        <v>0</v>
      </c>
      <c r="X74" s="234">
        <f t="shared" si="104"/>
        <v>0</v>
      </c>
      <c r="Y74" s="234">
        <f t="shared" si="104"/>
        <v>0</v>
      </c>
      <c r="Z74" s="28"/>
      <c r="AC74" s="316"/>
    </row>
    <row r="75" spans="1:31" ht="13.5" thickBot="1" x14ac:dyDescent="0.25">
      <c r="A75" s="153" t="s">
        <v>317</v>
      </c>
      <c r="B75" s="152" t="s">
        <v>40</v>
      </c>
      <c r="C75" s="233"/>
      <c r="D75" s="233"/>
      <c r="E75" s="233"/>
      <c r="F75" s="233"/>
      <c r="G75" s="234">
        <v>0</v>
      </c>
      <c r="H75" s="234">
        <v>0</v>
      </c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>
        <f t="shared" si="103"/>
        <v>0</v>
      </c>
      <c r="U75" s="234">
        <f t="shared" si="103"/>
        <v>0</v>
      </c>
      <c r="V75" s="234">
        <f t="shared" si="103"/>
        <v>0</v>
      </c>
      <c r="W75" s="234">
        <f t="shared" si="104"/>
        <v>0</v>
      </c>
      <c r="X75" s="234">
        <f t="shared" si="104"/>
        <v>0</v>
      </c>
      <c r="Y75" s="234">
        <f t="shared" si="104"/>
        <v>0</v>
      </c>
      <c r="Z75" s="28"/>
      <c r="AC75" s="316"/>
    </row>
    <row r="76" spans="1:31" ht="16.5" thickBot="1" x14ac:dyDescent="0.3">
      <c r="A76" s="153"/>
      <c r="B76" s="207" t="s">
        <v>10</v>
      </c>
      <c r="C76" s="235">
        <f t="shared" ref="C76:Y76" si="105">SUM(C23+C26+C73+C74+C75)</f>
        <v>239065</v>
      </c>
      <c r="D76" s="235">
        <f t="shared" ref="D76:F76" si="106">SUM(D23+D26+D73+D74+D75)</f>
        <v>239121</v>
      </c>
      <c r="E76" s="235">
        <f t="shared" ref="E76" si="107">SUM(E23+E26+E73+E74+E75)</f>
        <v>239121</v>
      </c>
      <c r="F76" s="235">
        <f t="shared" si="106"/>
        <v>245558</v>
      </c>
      <c r="G76" s="235">
        <f t="shared" si="105"/>
        <v>191985</v>
      </c>
      <c r="H76" s="235">
        <f t="shared" si="105"/>
        <v>191985</v>
      </c>
      <c r="I76" s="235">
        <f t="shared" si="105"/>
        <v>32140</v>
      </c>
      <c r="J76" s="235">
        <f t="shared" ref="J76:L76" si="108">SUM(J23+J26+J73+J74+J75)</f>
        <v>32140</v>
      </c>
      <c r="K76" s="235">
        <f t="shared" ref="K76" si="109">SUM(K23+K26+K73+K74+K75)</f>
        <v>32140</v>
      </c>
      <c r="L76" s="235">
        <f t="shared" si="108"/>
        <v>32140</v>
      </c>
      <c r="M76" s="235">
        <f t="shared" si="105"/>
        <v>24457</v>
      </c>
      <c r="N76" s="235">
        <f t="shared" si="105"/>
        <v>24457</v>
      </c>
      <c r="O76" s="235">
        <f t="shared" si="105"/>
        <v>0</v>
      </c>
      <c r="P76" s="235">
        <f t="shared" si="105"/>
        <v>0</v>
      </c>
      <c r="Q76" s="235">
        <f t="shared" si="105"/>
        <v>0</v>
      </c>
      <c r="R76" s="235">
        <f t="shared" si="105"/>
        <v>0</v>
      </c>
      <c r="S76" s="235">
        <f t="shared" si="105"/>
        <v>0</v>
      </c>
      <c r="T76" s="235">
        <f t="shared" si="105"/>
        <v>271205</v>
      </c>
      <c r="U76" s="235">
        <f t="shared" si="105"/>
        <v>271261</v>
      </c>
      <c r="V76" s="235">
        <f t="shared" ref="V76" si="110">SUM(V23+V26+V73+V74+V75)</f>
        <v>271261</v>
      </c>
      <c r="W76" s="235">
        <f t="shared" si="105"/>
        <v>277698</v>
      </c>
      <c r="X76" s="235">
        <f t="shared" si="105"/>
        <v>200398</v>
      </c>
      <c r="Y76" s="593">
        <f t="shared" si="105"/>
        <v>200398</v>
      </c>
      <c r="Z76" s="28"/>
      <c r="AC76" s="316"/>
    </row>
    <row r="77" spans="1:31" x14ac:dyDescent="0.2">
      <c r="A77" s="153" t="s">
        <v>318</v>
      </c>
      <c r="B77" s="206" t="s">
        <v>756</v>
      </c>
      <c r="C77" s="236">
        <f t="shared" ref="C77:S77" si="111">SUM(C78:C79)</f>
        <v>1000</v>
      </c>
      <c r="D77" s="236">
        <f t="shared" ref="D77:F77" si="112">SUM(D78:D79)</f>
        <v>1000</v>
      </c>
      <c r="E77" s="236">
        <f t="shared" ref="E77" si="113">SUM(E78:E79)</f>
        <v>1000</v>
      </c>
      <c r="F77" s="236">
        <f t="shared" si="112"/>
        <v>3000</v>
      </c>
      <c r="G77" s="236">
        <f t="shared" ref="G77:H77" si="114">SUM(G78:G79)</f>
        <v>1000</v>
      </c>
      <c r="H77" s="236">
        <f t="shared" si="114"/>
        <v>1000</v>
      </c>
      <c r="I77" s="236">
        <f t="shared" si="111"/>
        <v>0</v>
      </c>
      <c r="J77" s="236">
        <f t="shared" ref="J77:L77" si="115">SUM(J78:J79)</f>
        <v>0</v>
      </c>
      <c r="K77" s="236">
        <f t="shared" ref="K77" si="116">SUM(K78:K79)</f>
        <v>0</v>
      </c>
      <c r="L77" s="236">
        <f t="shared" si="115"/>
        <v>0</v>
      </c>
      <c r="M77" s="236">
        <f t="shared" si="111"/>
        <v>0</v>
      </c>
      <c r="N77" s="236">
        <f t="shared" si="111"/>
        <v>0</v>
      </c>
      <c r="O77" s="236">
        <f t="shared" si="111"/>
        <v>0</v>
      </c>
      <c r="P77" s="236">
        <f t="shared" si="111"/>
        <v>0</v>
      </c>
      <c r="Q77" s="236">
        <f t="shared" si="111"/>
        <v>0</v>
      </c>
      <c r="R77" s="236">
        <f t="shared" si="111"/>
        <v>0</v>
      </c>
      <c r="S77" s="236">
        <f t="shared" si="111"/>
        <v>0</v>
      </c>
      <c r="T77" s="161">
        <f>(I77+C77+O77)</f>
        <v>1000</v>
      </c>
      <c r="U77" s="161">
        <f>(J77+D77+P77)</f>
        <v>1000</v>
      </c>
      <c r="V77" s="161">
        <f>(K77+E77+Q77)</f>
        <v>1000</v>
      </c>
      <c r="W77" s="161">
        <f>(L77+F77+Q77)</f>
        <v>3000</v>
      </c>
      <c r="X77" s="161">
        <f>(M77+G77+R77)</f>
        <v>1000</v>
      </c>
      <c r="Y77" s="161">
        <f>(N77+H77+S77)</f>
        <v>1000</v>
      </c>
      <c r="Z77" s="28"/>
      <c r="AC77" s="316"/>
    </row>
    <row r="78" spans="1:31" hidden="1" x14ac:dyDescent="0.2">
      <c r="A78" s="153"/>
      <c r="B78" s="8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310"/>
      <c r="U78" s="310"/>
      <c r="V78" s="310"/>
      <c r="W78" s="310"/>
      <c r="X78" s="310"/>
      <c r="Y78" s="310">
        <f>SUM(H78+N78+S78)</f>
        <v>0</v>
      </c>
      <c r="Z78" s="28"/>
      <c r="AC78" s="316"/>
    </row>
    <row r="79" spans="1:31" ht="13.5" thickBot="1" x14ac:dyDescent="0.25">
      <c r="A79" s="153"/>
      <c r="B79" s="12" t="s">
        <v>864</v>
      </c>
      <c r="C79" s="32">
        <v>1000</v>
      </c>
      <c r="D79" s="32">
        <v>1000</v>
      </c>
      <c r="E79" s="32">
        <v>1000</v>
      </c>
      <c r="F79" s="32">
        <f>1000+2000</f>
        <v>3000</v>
      </c>
      <c r="G79" s="32">
        <v>1000</v>
      </c>
      <c r="H79" s="32">
        <v>1000</v>
      </c>
      <c r="I79" s="32"/>
      <c r="J79" s="32"/>
      <c r="K79" s="32"/>
      <c r="L79" s="32"/>
      <c r="M79" s="32"/>
      <c r="N79" s="32"/>
      <c r="O79" s="32"/>
      <c r="P79" s="32"/>
      <c r="Q79" s="32"/>
      <c r="R79" s="32">
        <v>0</v>
      </c>
      <c r="S79" s="32">
        <v>0</v>
      </c>
      <c r="T79" s="592">
        <f>(I79+C79+O79)</f>
        <v>1000</v>
      </c>
      <c r="U79" s="592">
        <f>(J79+D79+P79)</f>
        <v>1000</v>
      </c>
      <c r="V79" s="592">
        <f>(K79+E79+Q79)</f>
        <v>1000</v>
      </c>
      <c r="W79" s="592">
        <f>(L79+F79+Q79)</f>
        <v>3000</v>
      </c>
      <c r="X79" s="592">
        <f>(M79+G79+R79)</f>
        <v>1000</v>
      </c>
      <c r="Y79" s="592">
        <f>(N79+H79+S79)</f>
        <v>1000</v>
      </c>
      <c r="Z79" s="28"/>
      <c r="AC79" s="316"/>
    </row>
    <row r="80" spans="1:31" ht="20.25" thickBot="1" x14ac:dyDescent="0.4">
      <c r="A80" s="150"/>
      <c r="B80" s="156" t="s">
        <v>7</v>
      </c>
      <c r="C80" s="235">
        <f t="shared" ref="C80:S80" si="117">SUM(C23+C26+C73+C74+C75+C77)</f>
        <v>240065</v>
      </c>
      <c r="D80" s="235">
        <f t="shared" ref="D80:F80" si="118">SUM(D23+D26+D73+D74+D75+D77)</f>
        <v>240121</v>
      </c>
      <c r="E80" s="235">
        <f t="shared" ref="E80" si="119">SUM(E23+E26+E73+E74+E75+E77)</f>
        <v>240121</v>
      </c>
      <c r="F80" s="235">
        <f t="shared" si="118"/>
        <v>248558</v>
      </c>
      <c r="G80" s="235">
        <f t="shared" si="117"/>
        <v>192985</v>
      </c>
      <c r="H80" s="235">
        <f t="shared" si="117"/>
        <v>192985</v>
      </c>
      <c r="I80" s="235">
        <f t="shared" si="117"/>
        <v>32140</v>
      </c>
      <c r="J80" s="235">
        <f t="shared" ref="J80:L80" si="120">SUM(J23+J26+J73+J74+J75+J77)</f>
        <v>32140</v>
      </c>
      <c r="K80" s="235">
        <f t="shared" ref="K80" si="121">SUM(K23+K26+K73+K74+K75+K77)</f>
        <v>32140</v>
      </c>
      <c r="L80" s="235">
        <f t="shared" si="120"/>
        <v>32140</v>
      </c>
      <c r="M80" s="235">
        <f t="shared" si="117"/>
        <v>24457</v>
      </c>
      <c r="N80" s="235">
        <f t="shared" si="117"/>
        <v>24457</v>
      </c>
      <c r="O80" s="235">
        <f t="shared" si="117"/>
        <v>0</v>
      </c>
      <c r="P80" s="235">
        <f t="shared" si="117"/>
        <v>0</v>
      </c>
      <c r="Q80" s="235">
        <f t="shared" si="117"/>
        <v>0</v>
      </c>
      <c r="R80" s="235">
        <f t="shared" si="117"/>
        <v>0</v>
      </c>
      <c r="S80" s="235">
        <f t="shared" si="117"/>
        <v>0</v>
      </c>
      <c r="T80" s="155">
        <f t="shared" ref="T80:Y80" si="122">SUM(T76+T77)</f>
        <v>272205</v>
      </c>
      <c r="U80" s="155">
        <f t="shared" si="122"/>
        <v>272261</v>
      </c>
      <c r="V80" s="155">
        <f t="shared" si="122"/>
        <v>272261</v>
      </c>
      <c r="W80" s="155">
        <f t="shared" si="122"/>
        <v>280698</v>
      </c>
      <c r="X80" s="155">
        <f t="shared" si="122"/>
        <v>201398</v>
      </c>
      <c r="Y80" s="593">
        <f t="shared" si="122"/>
        <v>201398</v>
      </c>
      <c r="Z80" s="29"/>
      <c r="AB80" s="203"/>
      <c r="AC80" s="316"/>
    </row>
    <row r="81" spans="1:30" x14ac:dyDescent="0.2">
      <c r="A81" s="62"/>
      <c r="B81" s="78" t="s">
        <v>59</v>
      </c>
      <c r="C81" s="154">
        <v>32</v>
      </c>
      <c r="D81" s="154">
        <v>32</v>
      </c>
      <c r="E81" s="154">
        <v>32</v>
      </c>
      <c r="F81" s="154">
        <v>32</v>
      </c>
      <c r="G81" s="154">
        <v>34</v>
      </c>
      <c r="H81" s="154">
        <v>34</v>
      </c>
      <c r="I81" s="82">
        <v>4</v>
      </c>
      <c r="J81" s="82">
        <v>4</v>
      </c>
      <c r="K81" s="82">
        <v>4</v>
      </c>
      <c r="L81" s="82">
        <v>4</v>
      </c>
      <c r="M81" s="82">
        <v>4</v>
      </c>
      <c r="N81" s="82">
        <v>4</v>
      </c>
      <c r="O81" s="82"/>
      <c r="P81" s="82"/>
      <c r="Q81" s="82"/>
      <c r="R81" s="82"/>
      <c r="S81" s="82"/>
      <c r="T81" s="41">
        <f>(I81+C81+O81)</f>
        <v>36</v>
      </c>
      <c r="U81" s="41">
        <f>(J81+D81+P81)</f>
        <v>36</v>
      </c>
      <c r="V81" s="41">
        <f>(K81+E81+Q81)</f>
        <v>36</v>
      </c>
      <c r="W81" s="41">
        <f>(L81+F81+Q81)</f>
        <v>36</v>
      </c>
      <c r="X81" s="41">
        <f>(M81+G81+R81)</f>
        <v>38</v>
      </c>
      <c r="Y81" s="41">
        <f>(N81+H81+S81)</f>
        <v>38</v>
      </c>
      <c r="Z81" s="29"/>
      <c r="AB81" s="203"/>
      <c r="AC81" s="316"/>
    </row>
    <row r="82" spans="1:30" x14ac:dyDescent="0.2">
      <c r="X82" s="37">
        <f>SUM('2.működés'!F13)</f>
        <v>142046</v>
      </c>
      <c r="Y82" s="37">
        <f>SUM('2.működés'!H13)</f>
        <v>133919</v>
      </c>
      <c r="AB82" s="203"/>
      <c r="AC82" s="316"/>
    </row>
    <row r="83" spans="1:30" x14ac:dyDescent="0.2">
      <c r="B83" s="9" t="s">
        <v>428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37"/>
      <c r="T83" s="37">
        <v>16067</v>
      </c>
      <c r="U83" s="37">
        <v>16067</v>
      </c>
      <c r="V83" s="37">
        <v>16067</v>
      </c>
      <c r="W83" s="37">
        <v>16067</v>
      </c>
      <c r="X83" s="37">
        <f t="shared" ref="X83:Y83" si="123">980+1+19</f>
        <v>1000</v>
      </c>
      <c r="Y83" s="37">
        <f t="shared" si="123"/>
        <v>1000</v>
      </c>
      <c r="AA83" s="37"/>
      <c r="AB83" s="203"/>
      <c r="AC83" s="316"/>
    </row>
    <row r="84" spans="1:30" x14ac:dyDescent="0.2">
      <c r="B84" s="9" t="s">
        <v>966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37"/>
      <c r="T84" s="37">
        <f>SUM('2.működés'!C13)</f>
        <v>133919</v>
      </c>
      <c r="U84" s="37">
        <f>SUM('2.működés'!D13)</f>
        <v>133919</v>
      </c>
      <c r="V84" s="37">
        <f>SUM('2.működés'!E13)</f>
        <v>133919</v>
      </c>
      <c r="W84" s="37">
        <f>SUM('2.működés'!F13)</f>
        <v>142046</v>
      </c>
      <c r="X84" s="37">
        <f>SUM('2.működés'!F61)</f>
        <v>48369</v>
      </c>
      <c r="Y84" s="37">
        <f>SUM('2.működés'!H61)</f>
        <v>48369</v>
      </c>
      <c r="AA84" s="37"/>
      <c r="AB84" s="203"/>
      <c r="AC84" s="316"/>
    </row>
    <row r="85" spans="1:30" x14ac:dyDescent="0.2">
      <c r="B85" s="9" t="s">
        <v>406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37"/>
      <c r="T85" s="37">
        <f>700+980+1+19</f>
        <v>1700</v>
      </c>
      <c r="U85" s="37">
        <f>700+980+1+(19+56)</f>
        <v>1756</v>
      </c>
      <c r="V85" s="37">
        <f>700+980+1+(19+56)</f>
        <v>1756</v>
      </c>
      <c r="W85" s="37">
        <f>700+980+1+(19+56+310)</f>
        <v>2066</v>
      </c>
      <c r="X85" s="37">
        <v>4000</v>
      </c>
      <c r="Y85" s="37">
        <v>4000</v>
      </c>
      <c r="AA85" s="37"/>
      <c r="AB85" s="203"/>
      <c r="AC85" s="316"/>
    </row>
    <row r="86" spans="1:30" x14ac:dyDescent="0.2">
      <c r="B86" s="9" t="s">
        <v>872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37"/>
      <c r="T86" s="37">
        <f>SUM('2.működés'!C61)</f>
        <v>48369</v>
      </c>
      <c r="U86" s="37">
        <f>SUM('2.működés'!D61)</f>
        <v>48369</v>
      </c>
      <c r="V86" s="37">
        <f>SUM('2.működés'!E61)</f>
        <v>48369</v>
      </c>
      <c r="W86" s="37">
        <f>SUM('2.működés'!F61)</f>
        <v>48369</v>
      </c>
      <c r="X86" s="37">
        <v>3400</v>
      </c>
      <c r="Y86" s="37">
        <v>3400</v>
      </c>
      <c r="AA86" s="37">
        <f>(2500+2500+2500+13500+(2500+1500)+(2500+3355))+(1500+1500+1500+3000+1500+1500)+7014</f>
        <v>48369</v>
      </c>
      <c r="AB86" s="203"/>
      <c r="AC86" s="316"/>
    </row>
    <row r="87" spans="1:30" x14ac:dyDescent="0.2">
      <c r="B87" s="9" t="s">
        <v>871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37"/>
      <c r="T87" s="37">
        <v>4000</v>
      </c>
      <c r="U87" s="37">
        <v>4000</v>
      </c>
      <c r="V87" s="37">
        <v>4000</v>
      </c>
      <c r="W87" s="37">
        <v>4000</v>
      </c>
      <c r="X87" s="37"/>
      <c r="Y87" s="37"/>
      <c r="AA87" s="37"/>
      <c r="AB87" s="203"/>
      <c r="AC87" s="316"/>
    </row>
    <row r="88" spans="1:30" hidden="1" x14ac:dyDescent="0.2">
      <c r="X88" s="37">
        <f>SUM('2.működés'!F64)</f>
        <v>0</v>
      </c>
      <c r="Y88" s="37">
        <f>SUM('2.működés'!H64)</f>
        <v>0</v>
      </c>
      <c r="AA88" s="37"/>
      <c r="AB88" s="203"/>
      <c r="AC88" s="316"/>
    </row>
    <row r="89" spans="1:30" hidden="1" x14ac:dyDescent="0.2">
      <c r="B89" s="9" t="s">
        <v>1061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37"/>
      <c r="T89" s="37">
        <f>SUM('2.működés'!C64)</f>
        <v>0</v>
      </c>
      <c r="U89" s="37">
        <f>SUM('2.működés'!D64)</f>
        <v>0</v>
      </c>
      <c r="V89" s="37">
        <f>SUM('2.működés'!E64)</f>
        <v>0</v>
      </c>
      <c r="W89" s="37">
        <f>SUM('2.működés'!F64)</f>
        <v>0</v>
      </c>
      <c r="X89" s="499">
        <f>SUM(X82:X88)</f>
        <v>198815</v>
      </c>
      <c r="Y89" s="499">
        <f>SUM(Y82:Y88)</f>
        <v>190688</v>
      </c>
      <c r="AA89" s="37"/>
      <c r="AB89" s="203"/>
      <c r="AC89" s="316"/>
    </row>
    <row r="90" spans="1:30" hidden="1" x14ac:dyDescent="0.2">
      <c r="B90" s="9" t="s">
        <v>1168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37"/>
      <c r="T90" s="37">
        <f>'2.működés'!C66</f>
        <v>0</v>
      </c>
      <c r="U90" s="37">
        <f>'2.működés'!D66</f>
        <v>0</v>
      </c>
      <c r="V90" s="37">
        <f>'2.működés'!E66</f>
        <v>0</v>
      </c>
      <c r="W90" s="37">
        <f>'2.működés'!F66</f>
        <v>0</v>
      </c>
      <c r="X90" s="617">
        <f>SUM(X80-X89)</f>
        <v>2583</v>
      </c>
      <c r="Y90" s="617">
        <f>SUM(Y80-Y89)</f>
        <v>10710</v>
      </c>
      <c r="AA90" s="37"/>
      <c r="AB90" s="203"/>
      <c r="AC90" s="625"/>
      <c r="AD90" s="203"/>
    </row>
    <row r="91" spans="1:30" x14ac:dyDescent="0.2">
      <c r="B91" s="498" t="s">
        <v>1217</v>
      </c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499"/>
      <c r="T91" s="499">
        <f>SUM(T83:T90)</f>
        <v>204055</v>
      </c>
      <c r="U91" s="499">
        <f t="shared" ref="U91" si="124">SUM(U83:U90)</f>
        <v>204111</v>
      </c>
      <c r="V91" s="499">
        <f t="shared" ref="V91:W91" si="125">SUM(V83:V90)</f>
        <v>204111</v>
      </c>
      <c r="W91" s="499">
        <f t="shared" si="125"/>
        <v>212548</v>
      </c>
      <c r="Y91" s="76"/>
      <c r="AC91" s="28"/>
    </row>
    <row r="92" spans="1:30" x14ac:dyDescent="0.2">
      <c r="B92" s="9" t="s">
        <v>333</v>
      </c>
      <c r="S92" s="37"/>
      <c r="T92" s="617">
        <f>SUM(T80-T91)</f>
        <v>68150</v>
      </c>
      <c r="U92" s="617">
        <f>SUM(U80-U91)</f>
        <v>68150</v>
      </c>
      <c r="V92" s="617">
        <f>SUM(V80-V91)</f>
        <v>68150</v>
      </c>
      <c r="W92" s="617">
        <f>SUM(W80-W91)</f>
        <v>68150</v>
      </c>
      <c r="Z92"/>
      <c r="AC92" s="28"/>
    </row>
    <row r="93" spans="1:30" x14ac:dyDescent="0.2">
      <c r="B93" s="9" t="s">
        <v>1130</v>
      </c>
      <c r="T93" s="76">
        <f>T84+T92</f>
        <v>202069</v>
      </c>
      <c r="U93" s="76">
        <f>U84+U92</f>
        <v>202069</v>
      </c>
      <c r="V93" s="76">
        <f>V84+V92</f>
        <v>202069</v>
      </c>
      <c r="W93" s="76">
        <f>W84+W92</f>
        <v>210196</v>
      </c>
      <c r="Z93"/>
      <c r="AC93" s="28"/>
    </row>
    <row r="94" spans="1:30" x14ac:dyDescent="0.2">
      <c r="W94" s="76"/>
      <c r="AC94" s="28"/>
    </row>
    <row r="95" spans="1:30" x14ac:dyDescent="0.2">
      <c r="AC95" s="29"/>
    </row>
    <row r="96" spans="1:30" hidden="1" x14ac:dyDescent="0.2">
      <c r="C96" s="76">
        <f>(252+C28+C29+C30+C31+C32+C38+C39+C40+C41+C46+C48+C49+C50+C55+C56+C58+C63+(C69-4400))*0.27</f>
        <v>3334.7700000000004</v>
      </c>
      <c r="D96" s="76">
        <f t="shared" ref="D96:H96" si="126">(252+D28+D29+D30+D31+D32+D38+D39+D40+D41+D46+D48+D49+D50+D55+D56+D58+D63+(D69-4400))*0.27</f>
        <v>3349.8900000000003</v>
      </c>
      <c r="E96" s="76"/>
      <c r="F96" s="76">
        <f t="shared" si="126"/>
        <v>4682.88</v>
      </c>
      <c r="G96" s="76">
        <f t="shared" si="126"/>
        <v>1017.09</v>
      </c>
      <c r="H96" s="76">
        <f t="shared" si="126"/>
        <v>1017.09</v>
      </c>
      <c r="I96" s="76">
        <f>(I28+I29+I30+I31+I32+I38+I39+I40+I41+I46+I48+I49+I50+I55+I56+I58+I63+(I69))*0.27</f>
        <v>1520.1000000000001</v>
      </c>
      <c r="AC96" s="28"/>
    </row>
    <row r="97" spans="29:29" x14ac:dyDescent="0.2">
      <c r="AC97" s="28"/>
    </row>
    <row r="98" spans="29:29" x14ac:dyDescent="0.2">
      <c r="AC98" s="29"/>
    </row>
    <row r="99" spans="29:29" x14ac:dyDescent="0.2">
      <c r="AC99" s="29"/>
    </row>
    <row r="100" spans="29:29" x14ac:dyDescent="0.2">
      <c r="AC100" s="28"/>
    </row>
    <row r="101" spans="29:29" x14ac:dyDescent="0.2">
      <c r="AC101" s="28"/>
    </row>
    <row r="102" spans="29:29" x14ac:dyDescent="0.2">
      <c r="AC102" s="28"/>
    </row>
    <row r="103" spans="29:29" x14ac:dyDescent="0.2">
      <c r="AC103" s="28"/>
    </row>
    <row r="104" spans="29:29" x14ac:dyDescent="0.2">
      <c r="AC104" s="28"/>
    </row>
    <row r="105" spans="29:29" x14ac:dyDescent="0.2">
      <c r="AC105" s="28"/>
    </row>
    <row r="106" spans="29:29" x14ac:dyDescent="0.2">
      <c r="AC106" s="28"/>
    </row>
    <row r="107" spans="29:29" x14ac:dyDescent="0.2">
      <c r="AC107" s="29"/>
    </row>
    <row r="108" spans="29:29" x14ac:dyDescent="0.2">
      <c r="AC108" s="28"/>
    </row>
    <row r="109" spans="29:29" x14ac:dyDescent="0.2">
      <c r="AC109" s="28"/>
    </row>
    <row r="110" spans="29:29" x14ac:dyDescent="0.2">
      <c r="AC110" s="28"/>
    </row>
    <row r="111" spans="29:29" x14ac:dyDescent="0.2">
      <c r="AC111" s="28"/>
    </row>
    <row r="112" spans="29:29" x14ac:dyDescent="0.2">
      <c r="AC112" s="28"/>
    </row>
    <row r="113" spans="29:29" x14ac:dyDescent="0.2">
      <c r="AC113" s="28"/>
    </row>
    <row r="114" spans="29:29" x14ac:dyDescent="0.2">
      <c r="AC114" s="28"/>
    </row>
    <row r="115" spans="29:29" x14ac:dyDescent="0.2">
      <c r="AC115" s="28"/>
    </row>
    <row r="116" spans="29:29" x14ac:dyDescent="0.2">
      <c r="AC116" s="28"/>
    </row>
    <row r="117" spans="29:29" x14ac:dyDescent="0.2">
      <c r="AC117" s="29"/>
    </row>
    <row r="118" spans="29:29" x14ac:dyDescent="0.2">
      <c r="AC118" s="28"/>
    </row>
    <row r="119" spans="29:29" x14ac:dyDescent="0.2">
      <c r="AC119" s="28"/>
    </row>
    <row r="120" spans="29:29" x14ac:dyDescent="0.2">
      <c r="AC120" s="28"/>
    </row>
    <row r="121" spans="29:29" x14ac:dyDescent="0.2">
      <c r="AC121" s="28"/>
    </row>
    <row r="122" spans="29:29" x14ac:dyDescent="0.2">
      <c r="AC122" s="28"/>
    </row>
    <row r="123" spans="29:29" x14ac:dyDescent="0.2">
      <c r="AC123" s="28"/>
    </row>
    <row r="124" spans="29:29" x14ac:dyDescent="0.2">
      <c r="AC124" s="28"/>
    </row>
    <row r="125" spans="29:29" x14ac:dyDescent="0.2">
      <c r="AC125" s="28"/>
    </row>
    <row r="126" spans="29:29" x14ac:dyDescent="0.2">
      <c r="AC126" s="28"/>
    </row>
    <row r="127" spans="29:29" x14ac:dyDescent="0.2">
      <c r="AC127" s="28"/>
    </row>
    <row r="128" spans="29:29" x14ac:dyDescent="0.2">
      <c r="AC128" s="28"/>
    </row>
    <row r="129" spans="26:29" x14ac:dyDescent="0.2">
      <c r="AC129" s="29"/>
    </row>
    <row r="130" spans="26:29" x14ac:dyDescent="0.2">
      <c r="AC130" s="28"/>
    </row>
    <row r="131" spans="26:29" x14ac:dyDescent="0.2">
      <c r="AC131" s="28"/>
    </row>
    <row r="132" spans="26:29" x14ac:dyDescent="0.2">
      <c r="AC132" s="28"/>
    </row>
    <row r="133" spans="26:29" x14ac:dyDescent="0.2">
      <c r="AC133" s="28"/>
    </row>
    <row r="134" spans="26:29" x14ac:dyDescent="0.2">
      <c r="AC134" s="28"/>
    </row>
    <row r="135" spans="26:29" x14ac:dyDescent="0.2">
      <c r="AC135" s="28"/>
    </row>
    <row r="136" spans="26:29" x14ac:dyDescent="0.2">
      <c r="AC136" s="28"/>
    </row>
    <row r="137" spans="26:29" x14ac:dyDescent="0.2">
      <c r="AC137" s="28"/>
    </row>
    <row r="138" spans="26:29" x14ac:dyDescent="0.2">
      <c r="AC138" s="28"/>
    </row>
    <row r="139" spans="26:29" x14ac:dyDescent="0.2">
      <c r="AC139" s="28"/>
    </row>
    <row r="140" spans="26:29" x14ac:dyDescent="0.2">
      <c r="Z140" s="9">
        <f>(Z26+Z34+Z35+Z36+Z37+Z38+Z39+Z40+Z41+Z43+Z44+Z46+Z47+Z48+Z49+Z50+Z51+Z52+Z53+Z65+Z76+Z77+Z78+Z82+(Z90-1000))*0.27+I138</f>
        <v>-270</v>
      </c>
      <c r="AC140" s="29"/>
    </row>
    <row r="141" spans="26:29" x14ac:dyDescent="0.2">
      <c r="AC141" s="28"/>
    </row>
    <row r="142" spans="26:29" x14ac:dyDescent="0.2">
      <c r="AC142" s="28"/>
    </row>
    <row r="143" spans="26:29" x14ac:dyDescent="0.2">
      <c r="AC143" s="28"/>
    </row>
    <row r="144" spans="26:29" x14ac:dyDescent="0.2">
      <c r="AC144" s="28"/>
    </row>
    <row r="145" spans="29:29" x14ac:dyDescent="0.2">
      <c r="AC145" s="28"/>
    </row>
    <row r="146" spans="29:29" x14ac:dyDescent="0.2">
      <c r="AC146" s="28"/>
    </row>
    <row r="147" spans="29:29" x14ac:dyDescent="0.2">
      <c r="AC147" s="28"/>
    </row>
    <row r="148" spans="29:29" x14ac:dyDescent="0.2">
      <c r="AC148" s="29"/>
    </row>
    <row r="149" spans="29:29" x14ac:dyDescent="0.2">
      <c r="AC149" s="28"/>
    </row>
    <row r="159" spans="29:29" x14ac:dyDescent="0.2">
      <c r="AC159" s="314"/>
    </row>
    <row r="160" spans="29:29" x14ac:dyDescent="0.2">
      <c r="AC160" s="316"/>
    </row>
    <row r="161" spans="29:29" x14ac:dyDescent="0.2">
      <c r="AC161" s="316"/>
    </row>
    <row r="162" spans="29:29" x14ac:dyDescent="0.2">
      <c r="AC162" s="316"/>
    </row>
    <row r="163" spans="29:29" x14ac:dyDescent="0.2">
      <c r="AC163" s="316"/>
    </row>
    <row r="164" spans="29:29" x14ac:dyDescent="0.2">
      <c r="AC164" s="316"/>
    </row>
    <row r="165" spans="29:29" x14ac:dyDescent="0.2">
      <c r="AC165" s="316"/>
    </row>
    <row r="166" spans="29:29" x14ac:dyDescent="0.2">
      <c r="AC166" s="316"/>
    </row>
    <row r="167" spans="29:29" x14ac:dyDescent="0.2">
      <c r="AC167" s="316"/>
    </row>
    <row r="168" spans="29:29" x14ac:dyDescent="0.2">
      <c r="AC168" s="316"/>
    </row>
    <row r="169" spans="29:29" x14ac:dyDescent="0.2">
      <c r="AC169" s="316"/>
    </row>
    <row r="170" spans="29:29" x14ac:dyDescent="0.2">
      <c r="AC170" s="316"/>
    </row>
    <row r="171" spans="29:29" x14ac:dyDescent="0.2">
      <c r="AC171" s="316"/>
    </row>
    <row r="172" spans="29:29" x14ac:dyDescent="0.2">
      <c r="AC172" s="316"/>
    </row>
    <row r="173" spans="29:29" x14ac:dyDescent="0.2">
      <c r="AC173" s="316"/>
    </row>
    <row r="174" spans="29:29" x14ac:dyDescent="0.2">
      <c r="AC174" s="316"/>
    </row>
    <row r="175" spans="29:29" x14ac:dyDescent="0.2">
      <c r="AC175" s="316"/>
    </row>
    <row r="176" spans="29:29" x14ac:dyDescent="0.2">
      <c r="AC176" s="316"/>
    </row>
    <row r="177" spans="29:29" x14ac:dyDescent="0.2">
      <c r="AC177" s="316"/>
    </row>
    <row r="178" spans="29:29" x14ac:dyDescent="0.2">
      <c r="AC178" s="316"/>
    </row>
    <row r="179" spans="29:29" x14ac:dyDescent="0.2">
      <c r="AC179" s="316"/>
    </row>
    <row r="180" spans="29:29" x14ac:dyDescent="0.2">
      <c r="AC180" s="316"/>
    </row>
    <row r="181" spans="29:29" x14ac:dyDescent="0.2">
      <c r="AC181" s="316"/>
    </row>
    <row r="182" spans="29:29" x14ac:dyDescent="0.2">
      <c r="AC182" s="316"/>
    </row>
    <row r="183" spans="29:29" x14ac:dyDescent="0.2">
      <c r="AC183" s="316"/>
    </row>
    <row r="184" spans="29:29" x14ac:dyDescent="0.2">
      <c r="AC184" s="316"/>
    </row>
    <row r="185" spans="29:29" x14ac:dyDescent="0.2">
      <c r="AC185" s="316"/>
    </row>
    <row r="186" spans="29:29" x14ac:dyDescent="0.2">
      <c r="AC186" s="316"/>
    </row>
    <row r="187" spans="29:29" x14ac:dyDescent="0.2">
      <c r="AC187" s="316"/>
    </row>
    <row r="188" spans="29:29" x14ac:dyDescent="0.2">
      <c r="AC188" s="316"/>
    </row>
    <row r="189" spans="29:29" x14ac:dyDescent="0.2">
      <c r="AC189" s="316"/>
    </row>
    <row r="190" spans="29:29" x14ac:dyDescent="0.2">
      <c r="AC190" s="316"/>
    </row>
    <row r="191" spans="29:29" x14ac:dyDescent="0.2">
      <c r="AC191" s="316"/>
    </row>
    <row r="192" spans="29:29" x14ac:dyDescent="0.2">
      <c r="AC192" s="316"/>
    </row>
    <row r="193" spans="29:29" x14ac:dyDescent="0.2">
      <c r="AC193" s="316"/>
    </row>
    <row r="194" spans="29:29" x14ac:dyDescent="0.2">
      <c r="AC194" s="316"/>
    </row>
    <row r="195" spans="29:29" x14ac:dyDescent="0.2">
      <c r="AC195" s="316"/>
    </row>
    <row r="196" spans="29:29" x14ac:dyDescent="0.2">
      <c r="AC196" s="316"/>
    </row>
    <row r="197" spans="29:29" x14ac:dyDescent="0.2">
      <c r="AC197" s="316"/>
    </row>
    <row r="198" spans="29:29" x14ac:dyDescent="0.2">
      <c r="AC198" s="316"/>
    </row>
    <row r="199" spans="29:29" x14ac:dyDescent="0.2">
      <c r="AC199" s="316"/>
    </row>
    <row r="200" spans="29:29" x14ac:dyDescent="0.2">
      <c r="AC200" s="316"/>
    </row>
    <row r="201" spans="29:29" x14ac:dyDescent="0.2">
      <c r="AC201" s="316"/>
    </row>
    <row r="202" spans="29:29" x14ac:dyDescent="0.2">
      <c r="AC202" s="316"/>
    </row>
    <row r="203" spans="29:29" x14ac:dyDescent="0.2">
      <c r="AC203" s="316"/>
    </row>
    <row r="204" spans="29:29" x14ac:dyDescent="0.2">
      <c r="AC204" s="316"/>
    </row>
    <row r="205" spans="29:29" x14ac:dyDescent="0.2">
      <c r="AC205" s="316"/>
    </row>
    <row r="206" spans="29:29" x14ac:dyDescent="0.2">
      <c r="AC206" s="316"/>
    </row>
    <row r="207" spans="29:29" x14ac:dyDescent="0.2">
      <c r="AC207" s="316"/>
    </row>
    <row r="208" spans="29:29" x14ac:dyDescent="0.2">
      <c r="AC208" s="316"/>
    </row>
    <row r="209" spans="29:29" x14ac:dyDescent="0.2">
      <c r="AC209" s="316"/>
    </row>
    <row r="210" spans="29:29" x14ac:dyDescent="0.2">
      <c r="AC210" s="316"/>
    </row>
    <row r="211" spans="29:29" x14ac:dyDescent="0.2">
      <c r="AC211" s="316"/>
    </row>
    <row r="212" spans="29:29" x14ac:dyDescent="0.2">
      <c r="AC212" s="316"/>
    </row>
    <row r="213" spans="29:29" x14ac:dyDescent="0.2">
      <c r="AC213" s="316"/>
    </row>
    <row r="214" spans="29:29" x14ac:dyDescent="0.2">
      <c r="AC214" s="316"/>
    </row>
    <row r="215" spans="29:29" x14ac:dyDescent="0.2">
      <c r="AC215" s="316"/>
    </row>
    <row r="216" spans="29:29" x14ac:dyDescent="0.2">
      <c r="AC216" s="316"/>
    </row>
    <row r="217" spans="29:29" x14ac:dyDescent="0.2">
      <c r="AC217" s="316"/>
    </row>
    <row r="218" spans="29:29" x14ac:dyDescent="0.2">
      <c r="AC218" s="316"/>
    </row>
    <row r="219" spans="29:29" x14ac:dyDescent="0.2">
      <c r="AC219" s="316"/>
    </row>
    <row r="220" spans="29:29" x14ac:dyDescent="0.2">
      <c r="AC220" s="316"/>
    </row>
    <row r="221" spans="29:29" x14ac:dyDescent="0.2">
      <c r="AC221" s="316"/>
    </row>
    <row r="222" spans="29:29" x14ac:dyDescent="0.2">
      <c r="AC222" s="316"/>
    </row>
    <row r="223" spans="29:29" x14ac:dyDescent="0.2">
      <c r="AC223" s="316"/>
    </row>
    <row r="224" spans="29:29" x14ac:dyDescent="0.2">
      <c r="AC224" s="316"/>
    </row>
    <row r="225" spans="29:29" x14ac:dyDescent="0.2">
      <c r="AC225" s="316"/>
    </row>
    <row r="226" spans="29:29" x14ac:dyDescent="0.2">
      <c r="AC226" s="316"/>
    </row>
    <row r="227" spans="29:29" x14ac:dyDescent="0.2">
      <c r="AC227" s="316"/>
    </row>
    <row r="228" spans="29:29" x14ac:dyDescent="0.2">
      <c r="AC228" s="316"/>
    </row>
  </sheetData>
  <mergeCells count="9">
    <mergeCell ref="A6:Y6"/>
    <mergeCell ref="A4:Y4"/>
    <mergeCell ref="A5:Y5"/>
    <mergeCell ref="A8:A9"/>
    <mergeCell ref="B8:B9"/>
    <mergeCell ref="C8:H8"/>
    <mergeCell ref="I8:N8"/>
    <mergeCell ref="O8:S8"/>
    <mergeCell ref="T8:W8"/>
  </mergeCells>
  <phoneticPr fontId="13" type="noConversion"/>
  <pageMargins left="0.35433070866141736" right="0" top="0.19685039370078741" bottom="0.15748031496062992" header="0.19685039370078741" footer="0.15748031496062992"/>
  <pageSetup paperSize="9" scale="75" orientation="landscape" r:id="rId1"/>
  <headerFooter alignWithMargins="0"/>
  <rowBreaks count="1" manualBreakCount="1">
    <brk id="51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7"/>
  <sheetViews>
    <sheetView zoomScaleNormal="100" workbookViewId="0">
      <selection activeCell="A30" sqref="A30:C32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6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6" width="12.7109375" customWidth="1"/>
    <col min="17" max="17" width="12.7109375" hidden="1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5"/>
      <c r="K1" s="85"/>
      <c r="L1" s="85"/>
      <c r="M1" s="85"/>
      <c r="N1" s="85" t="s">
        <v>1429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6"/>
      <c r="B2" s="3"/>
      <c r="C2" s="87"/>
      <c r="D2" s="3"/>
      <c r="E2" s="3"/>
      <c r="F2" s="3"/>
      <c r="G2" s="3"/>
      <c r="H2" s="3"/>
      <c r="I2" s="602"/>
      <c r="J2" s="88"/>
      <c r="K2" s="88"/>
      <c r="L2" s="88"/>
      <c r="M2" s="88"/>
      <c r="N2" s="181" t="str">
        <f>'1.Bev-kiad.'!F2</f>
        <v>a 20/2023.(IX.29.)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6"/>
      <c r="B3" s="3"/>
      <c r="C3" s="87"/>
      <c r="D3" s="3"/>
      <c r="E3" s="3"/>
      <c r="F3" s="3"/>
      <c r="G3" s="3"/>
      <c r="H3" s="3"/>
      <c r="I3" s="602"/>
      <c r="J3" s="88"/>
      <c r="K3" s="88"/>
      <c r="L3" s="88"/>
      <c r="M3" s="88"/>
      <c r="N3" s="181" t="s">
        <v>1362</v>
      </c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828" t="s">
        <v>27</v>
      </c>
      <c r="B4" s="829"/>
      <c r="C4" s="829"/>
      <c r="D4" s="829"/>
      <c r="E4" s="829"/>
      <c r="F4" s="829"/>
      <c r="G4" s="54"/>
      <c r="H4" s="54"/>
      <c r="I4" s="88"/>
      <c r="J4" s="88"/>
      <c r="K4" s="548"/>
      <c r="L4" s="90"/>
      <c r="M4" s="90"/>
      <c r="N4" s="54"/>
      <c r="O4" s="54"/>
      <c r="P4" s="54"/>
      <c r="Q4" s="54"/>
      <c r="R4" s="3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ht="15" x14ac:dyDescent="0.2">
      <c r="A5" s="828" t="s">
        <v>1141</v>
      </c>
      <c r="B5" s="829"/>
      <c r="C5" s="829"/>
      <c r="D5" s="829"/>
      <c r="E5" s="829"/>
      <c r="F5" s="829"/>
      <c r="G5" s="54"/>
      <c r="H5" s="54"/>
      <c r="I5" s="88"/>
      <c r="J5" s="88"/>
      <c r="K5" s="548"/>
      <c r="L5" s="90"/>
      <c r="M5" s="90"/>
      <c r="N5" s="54"/>
      <c r="O5" s="54"/>
      <c r="P5" s="54"/>
      <c r="Q5" s="3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2" x14ac:dyDescent="0.2">
      <c r="A6" s="3"/>
      <c r="B6" s="3"/>
      <c r="C6" s="87"/>
      <c r="D6" s="54"/>
      <c r="E6" s="54"/>
      <c r="F6" s="85" t="s">
        <v>28</v>
      </c>
      <c r="G6" s="54"/>
      <c r="H6" s="54"/>
      <c r="J6" s="85"/>
      <c r="L6" s="91"/>
      <c r="M6" s="91"/>
      <c r="N6" s="54"/>
      <c r="O6" s="54"/>
      <c r="P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2" ht="42.75" x14ac:dyDescent="0.2">
      <c r="A7" s="573" t="s">
        <v>371</v>
      </c>
      <c r="B7" s="572" t="s">
        <v>1218</v>
      </c>
      <c r="C7" s="582">
        <v>2023</v>
      </c>
      <c r="D7" s="582">
        <v>2024</v>
      </c>
      <c r="E7" s="582">
        <v>2025</v>
      </c>
      <c r="F7" s="582">
        <v>2026</v>
      </c>
      <c r="G7" s="581"/>
      <c r="H7" s="293"/>
      <c r="J7" s="581"/>
      <c r="K7" s="92"/>
      <c r="L7" s="92"/>
      <c r="M7" s="92"/>
    </row>
    <row r="8" spans="1:32" ht="15" customHeight="1" x14ac:dyDescent="0.2">
      <c r="A8" s="633" t="s">
        <v>64</v>
      </c>
      <c r="B8" s="583">
        <f>SUM(B9:B9)</f>
        <v>217219</v>
      </c>
      <c r="C8" s="583">
        <f>SUM(C9:C10)</f>
        <v>35362</v>
      </c>
      <c r="D8" s="583">
        <f>SUM(D9:D10)</f>
        <v>337714</v>
      </c>
      <c r="E8" s="583">
        <f>SUM(E9:E10)</f>
        <v>337714</v>
      </c>
      <c r="F8" s="585" t="s">
        <v>66</v>
      </c>
      <c r="G8" s="293"/>
      <c r="H8" s="293"/>
      <c r="I8" s="293"/>
      <c r="J8" s="293"/>
      <c r="K8" s="27"/>
      <c r="L8" s="27"/>
      <c r="M8" s="27"/>
    </row>
    <row r="9" spans="1:32" ht="16.5" customHeight="1" x14ac:dyDescent="0.2">
      <c r="A9" s="634" t="s">
        <v>1018</v>
      </c>
      <c r="B9" s="432">
        <f>106619+110600</f>
        <v>217219</v>
      </c>
      <c r="C9" s="145">
        <v>2128</v>
      </c>
      <c r="D9" s="584" t="s">
        <v>66</v>
      </c>
      <c r="E9" s="584" t="s">
        <v>66</v>
      </c>
      <c r="F9" s="585" t="s">
        <v>66</v>
      </c>
      <c r="G9" s="195"/>
      <c r="H9" s="195"/>
      <c r="I9" s="195"/>
      <c r="J9" s="195"/>
      <c r="K9" s="27"/>
      <c r="L9" s="27"/>
      <c r="M9" s="27"/>
    </row>
    <row r="10" spans="1:32" ht="16.5" customHeight="1" x14ac:dyDescent="0.2">
      <c r="A10" s="634" t="s">
        <v>1348</v>
      </c>
      <c r="B10" s="432">
        <v>0</v>
      </c>
      <c r="C10" s="145">
        <v>33234</v>
      </c>
      <c r="D10" s="432">
        <v>337714</v>
      </c>
      <c r="E10" s="432">
        <v>337714</v>
      </c>
      <c r="F10" s="585"/>
      <c r="G10" s="195"/>
      <c r="H10" s="195"/>
      <c r="I10" s="195"/>
      <c r="J10" s="195"/>
      <c r="K10" s="27"/>
      <c r="L10" s="27"/>
      <c r="M10" s="27"/>
    </row>
    <row r="11" spans="1:32" ht="17.25" customHeight="1" x14ac:dyDescent="0.2">
      <c r="A11" s="628" t="s">
        <v>65</v>
      </c>
      <c r="B11" s="184">
        <f>SUM(B12)+B13</f>
        <v>689446</v>
      </c>
      <c r="C11" s="184">
        <f>SUM(C12)+C13</f>
        <v>777868</v>
      </c>
      <c r="D11" s="583">
        <f>D12</f>
        <v>104371</v>
      </c>
      <c r="E11" s="587"/>
      <c r="F11" s="549" t="s">
        <v>66</v>
      </c>
      <c r="G11" s="578"/>
      <c r="H11" s="578"/>
      <c r="I11" s="578"/>
      <c r="J11" s="578"/>
      <c r="K11" s="27"/>
      <c r="L11" s="27"/>
      <c r="M11" s="27"/>
    </row>
    <row r="12" spans="1:32" ht="25.5" x14ac:dyDescent="0.2">
      <c r="A12" s="634" t="s">
        <v>1349</v>
      </c>
      <c r="B12" s="432">
        <v>689446</v>
      </c>
      <c r="C12" s="145">
        <v>550279</v>
      </c>
      <c r="D12" s="432">
        <v>104371</v>
      </c>
      <c r="E12" s="584" t="s">
        <v>66</v>
      </c>
      <c r="F12" s="40" t="s">
        <v>66</v>
      </c>
      <c r="G12" s="579"/>
      <c r="H12" s="579"/>
      <c r="I12" s="579"/>
      <c r="J12" s="579"/>
      <c r="K12" s="27"/>
      <c r="L12" s="27"/>
      <c r="M12" s="27"/>
      <c r="Q12" s="145">
        <f>'3.felh'!D68+'8.Önk.'!AY109+'8.Önk.'!O107+'8.Önk.'!O108+'8.Önk.'!O109+1155</f>
        <v>598077</v>
      </c>
    </row>
    <row r="13" spans="1:32" ht="27.75" customHeight="1" x14ac:dyDescent="0.2">
      <c r="A13" s="634" t="s">
        <v>1145</v>
      </c>
      <c r="B13" s="432">
        <v>0</v>
      </c>
      <c r="C13" s="145">
        <f>'3.felh'!D71+'8.Önk.'!O114+'8.Önk.'!O115+'8.Önk.'!O116+'8.Önk.'!O117+1</f>
        <v>227589</v>
      </c>
      <c r="D13" s="40" t="s">
        <v>66</v>
      </c>
      <c r="E13" s="40" t="s">
        <v>66</v>
      </c>
      <c r="F13" s="40" t="s">
        <v>66</v>
      </c>
      <c r="G13" s="579"/>
      <c r="H13" s="579"/>
      <c r="I13" s="579"/>
      <c r="J13" s="579"/>
      <c r="K13" s="27"/>
      <c r="L13" s="27"/>
      <c r="M13" s="27"/>
    </row>
    <row r="14" spans="1:32" ht="15.75" customHeight="1" x14ac:dyDescent="0.2">
      <c r="A14" s="628" t="s">
        <v>67</v>
      </c>
      <c r="B14" s="664">
        <v>0</v>
      </c>
      <c r="C14" s="664">
        <v>0</v>
      </c>
      <c r="D14" s="587" t="s">
        <v>66</v>
      </c>
      <c r="E14" s="587" t="s">
        <v>66</v>
      </c>
      <c r="F14" s="549" t="s">
        <v>66</v>
      </c>
      <c r="G14" s="578"/>
      <c r="H14" s="578"/>
      <c r="I14" s="578"/>
      <c r="J14" s="578"/>
      <c r="K14" s="27"/>
      <c r="L14" s="27"/>
      <c r="M14" s="27"/>
    </row>
    <row r="15" spans="1:32" x14ac:dyDescent="0.2">
      <c r="A15" s="629" t="s">
        <v>66</v>
      </c>
      <c r="B15" s="145">
        <v>0</v>
      </c>
      <c r="C15" s="145">
        <v>0</v>
      </c>
      <c r="D15" s="584" t="s">
        <v>66</v>
      </c>
      <c r="E15" s="584" t="s">
        <v>66</v>
      </c>
      <c r="F15" s="40" t="s">
        <v>66</v>
      </c>
      <c r="G15" s="579"/>
      <c r="H15" s="579"/>
      <c r="I15" s="579"/>
      <c r="J15" s="579"/>
      <c r="K15" s="27"/>
      <c r="L15" s="27"/>
      <c r="M15" s="27"/>
    </row>
    <row r="16" spans="1:32" x14ac:dyDescent="0.2">
      <c r="A16" s="628" t="s">
        <v>47</v>
      </c>
      <c r="B16" s="105">
        <f>SUM(B8+B11)</f>
        <v>906665</v>
      </c>
      <c r="C16" s="105">
        <f>SUM(C8+C11)</f>
        <v>813230</v>
      </c>
      <c r="D16" s="750">
        <f>D8+D11</f>
        <v>442085</v>
      </c>
      <c r="E16" s="750">
        <f>E8+E11</f>
        <v>337714</v>
      </c>
      <c r="F16" s="586" t="s">
        <v>66</v>
      </c>
      <c r="G16" s="580"/>
      <c r="H16" s="580"/>
      <c r="I16" s="580"/>
      <c r="J16" s="580"/>
      <c r="K16" s="93"/>
      <c r="L16" s="93"/>
      <c r="M16" s="93"/>
    </row>
    <row r="17" spans="1:17" x14ac:dyDescent="0.2">
      <c r="A17" s="3"/>
      <c r="B17" s="3"/>
      <c r="C17" s="3"/>
      <c r="D17" s="185"/>
      <c r="E17" s="185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2.9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7" ht="16.5" customHeight="1" x14ac:dyDescent="0.2">
      <c r="A19" s="821" t="s">
        <v>904</v>
      </c>
      <c r="B19" s="821"/>
      <c r="C19" s="821"/>
      <c r="D19" s="821"/>
      <c r="E19" s="821"/>
      <c r="F19" s="821"/>
      <c r="G19" s="821"/>
      <c r="H19" s="821"/>
      <c r="I19" s="821"/>
      <c r="J19" s="821"/>
      <c r="K19" s="821"/>
      <c r="L19" s="821"/>
      <c r="M19" s="821"/>
      <c r="N19" s="821"/>
    </row>
    <row r="20" spans="1:17" ht="12.95" customHeight="1" x14ac:dyDescent="0.2">
      <c r="A20" s="828" t="s">
        <v>1219</v>
      </c>
      <c r="B20" s="829"/>
      <c r="C20" s="829"/>
      <c r="D20" s="829"/>
      <c r="E20" s="829"/>
      <c r="F20" s="829"/>
      <c r="G20" s="829"/>
      <c r="H20" s="829"/>
      <c r="I20" s="829"/>
      <c r="J20" s="829"/>
      <c r="K20" s="829"/>
      <c r="L20" s="829"/>
      <c r="M20" s="829"/>
      <c r="N20" s="829"/>
    </row>
    <row r="21" spans="1:17" ht="12.95" customHeight="1" x14ac:dyDescent="0.2">
      <c r="A21" s="3"/>
      <c r="B21" s="3"/>
      <c r="C21" s="87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5" t="s">
        <v>0</v>
      </c>
    </row>
    <row r="22" spans="1:17" ht="17.25" customHeight="1" x14ac:dyDescent="0.2">
      <c r="A22" s="826" t="s">
        <v>886</v>
      </c>
      <c r="B22" s="826" t="s">
        <v>68</v>
      </c>
      <c r="C22" s="826" t="s">
        <v>69</v>
      </c>
      <c r="D22" s="830" t="s">
        <v>866</v>
      </c>
      <c r="E22" s="830"/>
      <c r="F22" s="830"/>
      <c r="G22" s="830"/>
      <c r="H22" s="830"/>
      <c r="I22" s="830"/>
      <c r="J22" s="830"/>
      <c r="K22" s="830"/>
      <c r="L22" s="429"/>
      <c r="M22" s="429"/>
      <c r="N22" s="833" t="s">
        <v>47</v>
      </c>
    </row>
    <row r="23" spans="1:17" ht="33.75" customHeight="1" x14ac:dyDescent="0.2">
      <c r="A23" s="826"/>
      <c r="B23" s="826"/>
      <c r="C23" s="826"/>
      <c r="D23" s="822">
        <v>2023</v>
      </c>
      <c r="E23" s="823"/>
      <c r="F23" s="822">
        <v>2024</v>
      </c>
      <c r="G23" s="823"/>
      <c r="H23" s="822">
        <v>2025</v>
      </c>
      <c r="I23" s="823"/>
      <c r="J23" s="822">
        <v>2026</v>
      </c>
      <c r="K23" s="823"/>
      <c r="L23" s="830" t="s">
        <v>1220</v>
      </c>
      <c r="M23" s="848"/>
      <c r="N23" s="833"/>
    </row>
    <row r="24" spans="1:17" ht="15.75" customHeight="1" x14ac:dyDescent="0.2">
      <c r="A24" s="827"/>
      <c r="B24" s="827"/>
      <c r="C24" s="827"/>
      <c r="D24" s="120" t="s">
        <v>887</v>
      </c>
      <c r="E24" s="120" t="s">
        <v>888</v>
      </c>
      <c r="F24" s="120" t="s">
        <v>887</v>
      </c>
      <c r="G24" s="120" t="s">
        <v>888</v>
      </c>
      <c r="H24" s="120" t="s">
        <v>887</v>
      </c>
      <c r="I24" s="120" t="s">
        <v>888</v>
      </c>
      <c r="J24" s="120" t="s">
        <v>887</v>
      </c>
      <c r="K24" s="120" t="s">
        <v>888</v>
      </c>
      <c r="L24" s="120" t="s">
        <v>887</v>
      </c>
      <c r="M24" s="120" t="s">
        <v>888</v>
      </c>
      <c r="N24" s="834"/>
    </row>
    <row r="25" spans="1:17" ht="24.75" customHeight="1" x14ac:dyDescent="0.2">
      <c r="A25" s="431" t="s">
        <v>889</v>
      </c>
      <c r="B25" s="26">
        <v>2019</v>
      </c>
      <c r="C25" s="432">
        <v>100000</v>
      </c>
      <c r="D25" s="121">
        <v>10400</v>
      </c>
      <c r="E25" s="121">
        <v>13895</v>
      </c>
      <c r="F25" s="145">
        <v>10400</v>
      </c>
      <c r="G25" s="145">
        <v>10000</v>
      </c>
      <c r="H25" s="145">
        <v>10400</v>
      </c>
      <c r="I25" s="145">
        <v>8000</v>
      </c>
      <c r="J25" s="145">
        <v>10400</v>
      </c>
      <c r="K25" s="145">
        <v>6000</v>
      </c>
      <c r="L25" s="145">
        <v>16800</v>
      </c>
      <c r="M25" s="145">
        <f>3000+1000</f>
        <v>4000</v>
      </c>
      <c r="N25" s="40">
        <f>SUM(D25:M25)</f>
        <v>100295</v>
      </c>
      <c r="O25" s="820"/>
    </row>
    <row r="26" spans="1:17" x14ac:dyDescent="0.2">
      <c r="A26" s="59" t="s">
        <v>890</v>
      </c>
      <c r="B26" s="62">
        <v>2019</v>
      </c>
      <c r="C26" s="432">
        <v>100000</v>
      </c>
      <c r="D26" s="121">
        <v>9756</v>
      </c>
      <c r="E26" s="121">
        <v>14685</v>
      </c>
      <c r="F26" s="145">
        <v>9756</v>
      </c>
      <c r="G26" s="59">
        <v>11000</v>
      </c>
      <c r="H26" s="145">
        <v>9756</v>
      </c>
      <c r="I26" s="59">
        <v>9000</v>
      </c>
      <c r="J26" s="145">
        <v>9756</v>
      </c>
      <c r="K26" s="59">
        <v>7000</v>
      </c>
      <c r="L26" s="59">
        <v>22689</v>
      </c>
      <c r="M26" s="59">
        <f>5000+2500+500</f>
        <v>8000</v>
      </c>
      <c r="N26" s="40">
        <f t="shared" ref="N26:N29" si="0">SUM(D26:M26)</f>
        <v>111398</v>
      </c>
      <c r="O26" s="820"/>
    </row>
    <row r="27" spans="1:17" x14ac:dyDescent="0.2">
      <c r="A27" s="59" t="s">
        <v>1049</v>
      </c>
      <c r="B27" s="62">
        <v>2022</v>
      </c>
      <c r="C27" s="432">
        <v>342000</v>
      </c>
      <c r="D27" s="121">
        <v>38000</v>
      </c>
      <c r="E27" s="121">
        <v>12920</v>
      </c>
      <c r="F27" s="145">
        <v>38000</v>
      </c>
      <c r="G27" s="59">
        <v>11000</v>
      </c>
      <c r="H27" s="145">
        <v>38000</v>
      </c>
      <c r="I27" s="59">
        <v>9500</v>
      </c>
      <c r="J27" s="145">
        <v>38000</v>
      </c>
      <c r="K27" s="59">
        <v>8000</v>
      </c>
      <c r="L27" s="59">
        <f>(38000*4)</f>
        <v>152000</v>
      </c>
      <c r="M27" s="59">
        <f>6000+4500+3000+1000</f>
        <v>14500</v>
      </c>
      <c r="N27" s="40">
        <f t="shared" ref="N27" si="1">SUM(D27:M27)</f>
        <v>359920</v>
      </c>
      <c r="O27" s="748"/>
    </row>
    <row r="28" spans="1:17" ht="12.95" customHeight="1" x14ac:dyDescent="0.2">
      <c r="A28" s="59" t="s">
        <v>1336</v>
      </c>
      <c r="B28" s="62">
        <v>2023</v>
      </c>
      <c r="C28" s="432">
        <v>350000</v>
      </c>
      <c r="D28" s="121">
        <v>0</v>
      </c>
      <c r="E28" s="121">
        <v>0</v>
      </c>
      <c r="F28" s="145">
        <v>27632</v>
      </c>
      <c r="G28" s="59">
        <v>58628</v>
      </c>
      <c r="H28" s="145">
        <v>36842</v>
      </c>
      <c r="I28" s="59">
        <v>52573</v>
      </c>
      <c r="J28" s="145">
        <v>36842</v>
      </c>
      <c r="K28" s="59">
        <v>46294</v>
      </c>
      <c r="L28" s="59">
        <v>248684</v>
      </c>
      <c r="M28" s="59">
        <v>148366</v>
      </c>
      <c r="N28" s="40">
        <f t="shared" si="0"/>
        <v>655861</v>
      </c>
    </row>
    <row r="29" spans="1:17" ht="12.95" customHeight="1" x14ac:dyDescent="0.2">
      <c r="A29" s="94" t="s">
        <v>47</v>
      </c>
      <c r="B29" s="63"/>
      <c r="C29" s="184">
        <f t="shared" ref="C29:M29" si="2">SUM(C25:C28)</f>
        <v>892000</v>
      </c>
      <c r="D29" s="122">
        <f t="shared" si="2"/>
        <v>58156</v>
      </c>
      <c r="E29" s="122">
        <f t="shared" si="2"/>
        <v>41500</v>
      </c>
      <c r="F29" s="59">
        <f t="shared" si="2"/>
        <v>85788</v>
      </c>
      <c r="G29" s="59">
        <f t="shared" si="2"/>
        <v>90628</v>
      </c>
      <c r="H29" s="59">
        <f t="shared" si="2"/>
        <v>94998</v>
      </c>
      <c r="I29" s="61">
        <f t="shared" si="2"/>
        <v>79073</v>
      </c>
      <c r="J29" s="59">
        <f t="shared" si="2"/>
        <v>94998</v>
      </c>
      <c r="K29" s="59">
        <f t="shared" si="2"/>
        <v>67294</v>
      </c>
      <c r="L29" s="59">
        <f>SUM(L25:L28)</f>
        <v>440173</v>
      </c>
      <c r="M29" s="59">
        <f t="shared" si="2"/>
        <v>174866</v>
      </c>
      <c r="N29" s="549">
        <f t="shared" si="0"/>
        <v>1227474</v>
      </c>
      <c r="O29" s="213"/>
    </row>
    <row r="30" spans="1:17" ht="22.5" customHeight="1" x14ac:dyDescent="0.2">
      <c r="A30" s="835" t="s">
        <v>358</v>
      </c>
      <c r="B30" s="836"/>
      <c r="C30" s="837"/>
      <c r="D30" s="830" t="s">
        <v>370</v>
      </c>
      <c r="E30" s="830"/>
      <c r="F30" s="830"/>
      <c r="G30" s="830"/>
      <c r="H30" s="830"/>
      <c r="I30" s="830"/>
      <c r="J30" s="830"/>
      <c r="K30" s="830"/>
      <c r="L30" s="429"/>
      <c r="M30" s="429"/>
      <c r="N30" s="833" t="s">
        <v>47</v>
      </c>
    </row>
    <row r="31" spans="1:17" ht="21.75" customHeight="1" x14ac:dyDescent="0.2">
      <c r="A31" s="838"/>
      <c r="B31" s="839"/>
      <c r="C31" s="840"/>
      <c r="D31" s="831">
        <f>D23</f>
        <v>2023</v>
      </c>
      <c r="E31" s="832"/>
      <c r="F31" s="824">
        <f>F23</f>
        <v>2024</v>
      </c>
      <c r="G31" s="825"/>
      <c r="H31" s="824">
        <f t="shared" ref="H31" si="3">H23</f>
        <v>2025</v>
      </c>
      <c r="I31" s="825"/>
      <c r="J31" s="824">
        <f t="shared" ref="J31" si="4">J23</f>
        <v>2026</v>
      </c>
      <c r="K31" s="825"/>
      <c r="L31" s="824" t="str">
        <f t="shared" ref="L31" si="5">L23</f>
        <v>2027 és további évek</v>
      </c>
      <c r="M31" s="825"/>
      <c r="N31" s="834"/>
    </row>
    <row r="32" spans="1:17" ht="12.95" customHeight="1" x14ac:dyDescent="0.2">
      <c r="A32" s="841"/>
      <c r="B32" s="842"/>
      <c r="C32" s="843"/>
      <c r="D32" s="844">
        <f>SUM('2.működés'!F75+'2.működés'!F76+'2.működés'!F77+'2.működés'!F79+'2.működés'!F87+'2.működés'!F82+'3.felh'!F25+'2.működés'!F81)/2</f>
        <v>540740</v>
      </c>
      <c r="E32" s="845"/>
      <c r="F32" s="846">
        <v>270000</v>
      </c>
      <c r="G32" s="847"/>
      <c r="H32" s="846">
        <v>270000</v>
      </c>
      <c r="I32" s="847"/>
      <c r="J32" s="846">
        <v>270000</v>
      </c>
      <c r="K32" s="847"/>
      <c r="L32" s="846">
        <f>(270000*7)</f>
        <v>1890000</v>
      </c>
      <c r="M32" s="847"/>
      <c r="N32" s="40">
        <f>SUM(D32:M32)</f>
        <v>3240740</v>
      </c>
    </row>
    <row r="33" spans="2:8" ht="12.95" customHeight="1" x14ac:dyDescent="0.2">
      <c r="B33" s="76"/>
      <c r="C33" s="95"/>
    </row>
    <row r="34" spans="2:8" ht="12.95" hidden="1" customHeight="1" x14ac:dyDescent="0.2">
      <c r="B34" s="76"/>
      <c r="C34" s="95"/>
      <c r="D34" s="76">
        <f>('2.működés'!D74+'2.működés'!D79+'2.működés'!D81+'2.működés'!D87+'2.működés'!D82+'3.felh'!D27)/2</f>
        <v>290740</v>
      </c>
      <c r="E34" s="76"/>
      <c r="F34" s="76">
        <f>('2.működés'!E74+'2.működés'!E79+'2.működés'!E81+'2.működés'!E87+'2.működés'!E82+'3.felh'!E27)/2</f>
        <v>290740</v>
      </c>
      <c r="G34" s="76"/>
      <c r="H34" s="76"/>
    </row>
    <row r="35" spans="2:8" ht="12.95" hidden="1" customHeight="1" x14ac:dyDescent="0.2">
      <c r="B35" s="76"/>
      <c r="C35" s="95"/>
      <c r="D35" s="76">
        <f>D34*2</f>
        <v>581480</v>
      </c>
      <c r="E35" s="76"/>
    </row>
    <row r="36" spans="2:8" ht="12.95" hidden="1" customHeight="1" x14ac:dyDescent="0.2">
      <c r="B36" s="76"/>
      <c r="C36" s="95"/>
      <c r="D36" s="76">
        <f>368582-D35</f>
        <v>-212898</v>
      </c>
      <c r="E36" s="76"/>
    </row>
    <row r="37" spans="2:8" ht="12.95" customHeight="1" x14ac:dyDescent="0.2">
      <c r="B37" s="76"/>
      <c r="C37" s="95"/>
    </row>
    <row r="38" spans="2:8" ht="12.95" hidden="1" customHeight="1" x14ac:dyDescent="0.2">
      <c r="B38" s="76"/>
      <c r="C38" s="95"/>
      <c r="F38" s="76">
        <f>'2.működés'!C74+'2.működés'!C79+35000+'2.működés'!C81+'2.működés'!C82-980+'2.működés'!C87-22000+'3.felh'!C27-500</f>
        <v>533000</v>
      </c>
    </row>
    <row r="39" spans="2:8" ht="12.95" hidden="1" customHeight="1" x14ac:dyDescent="0.2">
      <c r="B39" s="76"/>
      <c r="C39" s="95"/>
      <c r="F39">
        <f>F38/2</f>
        <v>266500</v>
      </c>
    </row>
    <row r="40" spans="2:8" ht="12.95" customHeight="1" x14ac:dyDescent="0.2">
      <c r="B40" s="76"/>
      <c r="C40" s="95"/>
    </row>
    <row r="41" spans="2:8" ht="12.95" customHeight="1" x14ac:dyDescent="0.2">
      <c r="B41" s="76"/>
      <c r="C41" s="95"/>
    </row>
    <row r="42" spans="2:8" ht="12.95" customHeight="1" x14ac:dyDescent="0.2">
      <c r="B42" s="76"/>
      <c r="C42" s="95"/>
    </row>
    <row r="43" spans="2:8" ht="12.95" customHeight="1" x14ac:dyDescent="0.2">
      <c r="B43" s="76"/>
      <c r="C43" s="95"/>
    </row>
    <row r="44" spans="2:8" ht="12.95" customHeight="1" x14ac:dyDescent="0.2">
      <c r="B44" s="76"/>
      <c r="C44" s="95"/>
    </row>
    <row r="45" spans="2:8" ht="12.95" customHeight="1" x14ac:dyDescent="0.2">
      <c r="B45" s="76"/>
      <c r="C45" s="95"/>
    </row>
    <row r="46" spans="2:8" ht="12.95" customHeight="1" x14ac:dyDescent="0.2">
      <c r="B46" s="76"/>
      <c r="C46" s="95"/>
    </row>
    <row r="47" spans="2:8" ht="12.95" customHeight="1" x14ac:dyDescent="0.2">
      <c r="B47" s="76"/>
      <c r="C47" s="95"/>
    </row>
    <row r="48" spans="2:8" ht="12.95" customHeight="1" x14ac:dyDescent="0.2">
      <c r="B48" s="76"/>
      <c r="C48" s="95"/>
    </row>
    <row r="49" spans="2:3" ht="12.95" customHeight="1" x14ac:dyDescent="0.2">
      <c r="B49" s="76"/>
      <c r="C49" s="95"/>
    </row>
    <row r="50" spans="2:3" ht="12.95" customHeight="1" x14ac:dyDescent="0.2">
      <c r="B50" s="76"/>
      <c r="C50" s="95"/>
    </row>
    <row r="51" spans="2:3" ht="12.95" customHeight="1" x14ac:dyDescent="0.2">
      <c r="B51" s="76"/>
      <c r="C51" s="95"/>
    </row>
    <row r="52" spans="2:3" ht="12.95" customHeight="1" x14ac:dyDescent="0.2">
      <c r="B52" s="76"/>
      <c r="C52" s="95"/>
    </row>
    <row r="53" spans="2:3" ht="12.95" customHeight="1" x14ac:dyDescent="0.2">
      <c r="B53" s="76"/>
      <c r="C53" s="95"/>
    </row>
    <row r="54" spans="2:3" ht="12.95" customHeight="1" x14ac:dyDescent="0.2">
      <c r="B54" s="76"/>
      <c r="C54" s="95"/>
    </row>
    <row r="55" spans="2:3" ht="12.95" customHeight="1" x14ac:dyDescent="0.2">
      <c r="B55" s="76"/>
      <c r="C55" s="95"/>
    </row>
    <row r="56" spans="2:3" ht="12.95" customHeight="1" x14ac:dyDescent="0.2">
      <c r="B56" s="76"/>
      <c r="C56" s="95"/>
    </row>
    <row r="57" spans="2:3" ht="12.95" customHeight="1" x14ac:dyDescent="0.2">
      <c r="B57" s="76"/>
      <c r="C57" s="95"/>
    </row>
    <row r="58" spans="2:3" ht="12.95" customHeight="1" x14ac:dyDescent="0.2">
      <c r="B58" s="76"/>
      <c r="C58" s="95"/>
    </row>
    <row r="59" spans="2:3" ht="12.95" customHeight="1" x14ac:dyDescent="0.2">
      <c r="B59" s="76"/>
      <c r="C59" s="95"/>
    </row>
    <row r="60" spans="2:3" ht="12.95" customHeight="1" x14ac:dyDescent="0.2">
      <c r="B60" s="76"/>
      <c r="C60" s="95"/>
    </row>
    <row r="61" spans="2:3" ht="12.95" customHeight="1" x14ac:dyDescent="0.2">
      <c r="B61" s="76"/>
      <c r="C61" s="95"/>
    </row>
    <row r="62" spans="2:3" ht="12.95" customHeight="1" x14ac:dyDescent="0.2">
      <c r="B62" s="76"/>
      <c r="C62" s="95"/>
    </row>
    <row r="63" spans="2:3" ht="12.95" customHeight="1" x14ac:dyDescent="0.2">
      <c r="B63" s="76"/>
      <c r="C63" s="95"/>
    </row>
    <row r="64" spans="2:3" ht="12.95" customHeight="1" x14ac:dyDescent="0.2">
      <c r="B64" s="76"/>
      <c r="C64" s="95"/>
    </row>
    <row r="65" spans="2:3" ht="12.95" customHeight="1" x14ac:dyDescent="0.2">
      <c r="B65" s="76"/>
      <c r="C65" s="95"/>
    </row>
    <row r="66" spans="2:3" ht="12.95" customHeight="1" x14ac:dyDescent="0.2">
      <c r="B66" s="76"/>
      <c r="C66" s="95"/>
    </row>
    <row r="67" spans="2:3" ht="12.95" customHeight="1" x14ac:dyDescent="0.2">
      <c r="B67" s="76"/>
      <c r="C67" s="95"/>
    </row>
    <row r="68" spans="2:3" ht="12.95" customHeight="1" x14ac:dyDescent="0.2">
      <c r="B68" s="76"/>
      <c r="C68" s="95"/>
    </row>
    <row r="69" spans="2:3" ht="12.95" customHeight="1" x14ac:dyDescent="0.2">
      <c r="B69" s="76"/>
      <c r="C69" s="95"/>
    </row>
    <row r="70" spans="2:3" x14ac:dyDescent="0.2">
      <c r="B70" s="76"/>
      <c r="C70" s="95"/>
    </row>
    <row r="71" spans="2:3" x14ac:dyDescent="0.2">
      <c r="B71" s="76"/>
      <c r="C71" s="95"/>
    </row>
    <row r="72" spans="2:3" x14ac:dyDescent="0.2">
      <c r="B72" s="76"/>
      <c r="C72" s="95"/>
    </row>
    <row r="73" spans="2:3" x14ac:dyDescent="0.2">
      <c r="B73" s="76"/>
      <c r="C73" s="95"/>
    </row>
    <row r="74" spans="2:3" x14ac:dyDescent="0.2">
      <c r="B74" s="76"/>
      <c r="C74" s="95"/>
    </row>
    <row r="75" spans="2:3" x14ac:dyDescent="0.2">
      <c r="B75" s="76"/>
      <c r="C75" s="95"/>
    </row>
    <row r="76" spans="2:3" x14ac:dyDescent="0.2">
      <c r="B76" s="76"/>
      <c r="C76" s="95"/>
    </row>
    <row r="77" spans="2:3" x14ac:dyDescent="0.2">
      <c r="B77" s="76"/>
      <c r="C77" s="95"/>
    </row>
    <row r="78" spans="2:3" x14ac:dyDescent="0.2">
      <c r="B78" s="76"/>
      <c r="C78" s="95"/>
    </row>
    <row r="79" spans="2:3" x14ac:dyDescent="0.2">
      <c r="B79" s="76"/>
      <c r="C79" s="95"/>
    </row>
    <row r="80" spans="2:3" x14ac:dyDescent="0.2">
      <c r="B80" s="76"/>
      <c r="C80" s="95"/>
    </row>
    <row r="81" spans="2:3" x14ac:dyDescent="0.2">
      <c r="B81" s="76"/>
      <c r="C81" s="95"/>
    </row>
    <row r="82" spans="2:3" x14ac:dyDescent="0.2">
      <c r="B82" s="76"/>
      <c r="C82" s="95"/>
    </row>
    <row r="83" spans="2:3" x14ac:dyDescent="0.2">
      <c r="B83" s="76"/>
      <c r="C83" s="95"/>
    </row>
    <row r="84" spans="2:3" x14ac:dyDescent="0.2">
      <c r="B84" s="76"/>
      <c r="C84" s="95"/>
    </row>
    <row r="85" spans="2:3" x14ac:dyDescent="0.2">
      <c r="B85" s="76"/>
      <c r="C85" s="95"/>
    </row>
    <row r="86" spans="2:3" x14ac:dyDescent="0.2">
      <c r="B86" s="76"/>
      <c r="C86" s="95"/>
    </row>
    <row r="87" spans="2:3" x14ac:dyDescent="0.2">
      <c r="B87" s="76"/>
      <c r="C87" s="95"/>
    </row>
  </sheetData>
  <mergeCells count="28">
    <mergeCell ref="A4:F4"/>
    <mergeCell ref="A5:F5"/>
    <mergeCell ref="A30:C32"/>
    <mergeCell ref="F23:G23"/>
    <mergeCell ref="N30:N31"/>
    <mergeCell ref="D32:E32"/>
    <mergeCell ref="F32:G32"/>
    <mergeCell ref="H32:I32"/>
    <mergeCell ref="J32:K32"/>
    <mergeCell ref="L23:M23"/>
    <mergeCell ref="L31:M31"/>
    <mergeCell ref="L32:M32"/>
    <mergeCell ref="O25:O26"/>
    <mergeCell ref="A19:N19"/>
    <mergeCell ref="H23:I23"/>
    <mergeCell ref="H31:I31"/>
    <mergeCell ref="D23:E23"/>
    <mergeCell ref="J31:K31"/>
    <mergeCell ref="A22:A24"/>
    <mergeCell ref="A20:N20"/>
    <mergeCell ref="B22:B24"/>
    <mergeCell ref="D30:K30"/>
    <mergeCell ref="J23:K23"/>
    <mergeCell ref="F31:G31"/>
    <mergeCell ref="C22:C24"/>
    <mergeCell ref="D31:E31"/>
    <mergeCell ref="D22:K22"/>
    <mergeCell ref="N22:N24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17" customWidth="1"/>
    <col min="2" max="2" width="46.85546875" style="317" customWidth="1"/>
    <col min="3" max="3" width="15.28515625" style="317" customWidth="1"/>
    <col min="4" max="4" width="13.7109375" style="317" customWidth="1"/>
    <col min="5" max="5" width="13.85546875" style="317" customWidth="1"/>
    <col min="6" max="7" width="9.140625" style="317" hidden="1" customWidth="1"/>
    <col min="8" max="16384" width="9.140625" style="317"/>
  </cols>
  <sheetData>
    <row r="1" spans="1:7" x14ac:dyDescent="0.2">
      <c r="E1" s="318" t="s">
        <v>359</v>
      </c>
    </row>
    <row r="2" spans="1:7" ht="19.5" x14ac:dyDescent="0.35">
      <c r="A2" s="758" t="s">
        <v>27</v>
      </c>
      <c r="B2" s="766"/>
      <c r="C2" s="766"/>
      <c r="D2" s="766"/>
      <c r="E2" s="766"/>
    </row>
    <row r="3" spans="1:7" ht="19.5" x14ac:dyDescent="0.35">
      <c r="A3" s="758" t="s">
        <v>697</v>
      </c>
      <c r="B3" s="766"/>
      <c r="C3" s="766"/>
      <c r="D3" s="766"/>
      <c r="E3" s="766"/>
    </row>
    <row r="4" spans="1:7" ht="20.25" thickBot="1" x14ac:dyDescent="0.4">
      <c r="B4" s="312"/>
      <c r="C4" s="312"/>
      <c r="D4" s="312"/>
    </row>
    <row r="5" spans="1:7" s="322" customFormat="1" ht="48.75" customHeight="1" thickBot="1" x14ac:dyDescent="0.25">
      <c r="A5" s="319"/>
      <c r="B5" s="320" t="s">
        <v>489</v>
      </c>
      <c r="C5" s="320" t="s">
        <v>44</v>
      </c>
      <c r="D5" s="320" t="s">
        <v>490</v>
      </c>
      <c r="E5" s="321" t="s">
        <v>47</v>
      </c>
    </row>
    <row r="6" spans="1:7" x14ac:dyDescent="0.2">
      <c r="A6" s="323" t="s">
        <v>491</v>
      </c>
      <c r="B6" s="324" t="s">
        <v>492</v>
      </c>
      <c r="C6" s="325">
        <v>2162596</v>
      </c>
      <c r="D6" s="325">
        <v>31806</v>
      </c>
      <c r="E6" s="326">
        <f>SUM(C6:D6)</f>
        <v>2194402</v>
      </c>
      <c r="G6" s="317">
        <v>252931</v>
      </c>
    </row>
    <row r="7" spans="1:7" x14ac:dyDescent="0.2">
      <c r="A7" s="327" t="s">
        <v>493</v>
      </c>
      <c r="B7" s="328" t="s">
        <v>494</v>
      </c>
      <c r="C7" s="329">
        <v>813907</v>
      </c>
      <c r="D7" s="329">
        <v>185259</v>
      </c>
      <c r="E7" s="330">
        <f>SUM(C7:D7)</f>
        <v>999166</v>
      </c>
      <c r="F7" s="331"/>
      <c r="G7" s="317">
        <v>252931</v>
      </c>
    </row>
    <row r="8" spans="1:7" x14ac:dyDescent="0.2">
      <c r="A8" s="332" t="s">
        <v>495</v>
      </c>
      <c r="B8" s="333" t="s">
        <v>496</v>
      </c>
      <c r="C8" s="334">
        <f>C6-C7</f>
        <v>1348689</v>
      </c>
      <c r="D8" s="334">
        <f>D6-D7</f>
        <v>-153453</v>
      </c>
      <c r="E8" s="335">
        <f>E6-E7</f>
        <v>1195236</v>
      </c>
      <c r="F8" s="336"/>
    </row>
    <row r="9" spans="1:7" x14ac:dyDescent="0.2">
      <c r="A9" s="327" t="s">
        <v>497</v>
      </c>
      <c r="B9" s="328" t="s">
        <v>498</v>
      </c>
      <c r="C9" s="329">
        <v>162293</v>
      </c>
      <c r="D9" s="329">
        <v>173994</v>
      </c>
      <c r="E9" s="330">
        <f>SUM(C9:D9)</f>
        <v>336287</v>
      </c>
      <c r="F9" s="331">
        <f>E6+E9</f>
        <v>2530689</v>
      </c>
      <c r="G9" s="331">
        <f>F9-G6</f>
        <v>2277758</v>
      </c>
    </row>
    <row r="10" spans="1:7" x14ac:dyDescent="0.2">
      <c r="A10" s="327" t="s">
        <v>499</v>
      </c>
      <c r="B10" s="328" t="s">
        <v>500</v>
      </c>
      <c r="C10" s="329">
        <v>184852</v>
      </c>
      <c r="D10" s="329">
        <v>0</v>
      </c>
      <c r="E10" s="330">
        <f>SUM(C10:D10)</f>
        <v>184852</v>
      </c>
      <c r="F10" s="331">
        <f>E7+E10</f>
        <v>1184018</v>
      </c>
      <c r="G10" s="331">
        <f>F10-G7</f>
        <v>931087</v>
      </c>
    </row>
    <row r="11" spans="1:7" ht="14.25" customHeight="1" x14ac:dyDescent="0.2">
      <c r="A11" s="332" t="s">
        <v>501</v>
      </c>
      <c r="B11" s="333" t="s">
        <v>502</v>
      </c>
      <c r="C11" s="334">
        <f>C9-C10</f>
        <v>-22559</v>
      </c>
      <c r="D11" s="334">
        <f>D9-D10</f>
        <v>173994</v>
      </c>
      <c r="E11" s="335">
        <f>E9-E10</f>
        <v>151435</v>
      </c>
    </row>
    <row r="12" spans="1:7" x14ac:dyDescent="0.2">
      <c r="A12" s="332" t="s">
        <v>503</v>
      </c>
      <c r="B12" s="333" t="s">
        <v>504</v>
      </c>
      <c r="C12" s="334">
        <f>C8+C11</f>
        <v>1326130</v>
      </c>
      <c r="D12" s="334">
        <f>D8+D11</f>
        <v>20541</v>
      </c>
      <c r="E12" s="335">
        <f>E8+E11</f>
        <v>1346671</v>
      </c>
    </row>
    <row r="13" spans="1:7" x14ac:dyDescent="0.2">
      <c r="A13" s="332">
        <v>15</v>
      </c>
      <c r="B13" s="333" t="s">
        <v>505</v>
      </c>
      <c r="C13" s="334">
        <f>C12</f>
        <v>1326130</v>
      </c>
      <c r="D13" s="334">
        <f>D12</f>
        <v>20541</v>
      </c>
      <c r="E13" s="335">
        <f>E12</f>
        <v>1346671</v>
      </c>
    </row>
    <row r="14" spans="1:7" ht="25.5" hidden="1" x14ac:dyDescent="0.2">
      <c r="A14" s="332" t="s">
        <v>506</v>
      </c>
      <c r="B14" s="333" t="s">
        <v>507</v>
      </c>
      <c r="C14" s="337">
        <v>0</v>
      </c>
      <c r="D14" s="337">
        <v>0</v>
      </c>
      <c r="E14" s="338">
        <f>SUM(C14:D14)</f>
        <v>0</v>
      </c>
    </row>
    <row r="15" spans="1:7" ht="13.5" thickBot="1" x14ac:dyDescent="0.25">
      <c r="A15" s="339">
        <v>17</v>
      </c>
      <c r="B15" s="340" t="s">
        <v>508</v>
      </c>
      <c r="C15" s="341">
        <f>C12-C14</f>
        <v>1326130</v>
      </c>
      <c r="D15" s="341">
        <f>D12-D14</f>
        <v>20541</v>
      </c>
      <c r="E15" s="342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17" customWidth="1"/>
    <col min="2" max="2" width="8.140625" style="317" customWidth="1"/>
    <col min="3" max="3" width="78.5703125" style="317" customWidth="1"/>
    <col min="4" max="4" width="13.42578125" style="317" customWidth="1"/>
    <col min="5" max="5" width="14.140625" style="317" customWidth="1"/>
    <col min="6" max="6" width="12.42578125" style="317" customWidth="1"/>
    <col min="7" max="16384" width="9.140625" style="317"/>
  </cols>
  <sheetData>
    <row r="1" spans="2:8" x14ac:dyDescent="0.2">
      <c r="F1" s="318" t="s">
        <v>467</v>
      </c>
    </row>
    <row r="2" spans="2:8" ht="19.5" x14ac:dyDescent="0.35">
      <c r="B2" s="758" t="s">
        <v>27</v>
      </c>
      <c r="C2" s="766"/>
      <c r="D2" s="766"/>
      <c r="E2" s="766"/>
      <c r="F2" s="766"/>
      <c r="G2"/>
      <c r="H2"/>
    </row>
    <row r="3" spans="2:8" ht="19.5" x14ac:dyDescent="0.35">
      <c r="B3" s="758" t="s">
        <v>698</v>
      </c>
      <c r="C3" s="766"/>
      <c r="D3" s="766"/>
      <c r="E3" s="766"/>
      <c r="F3" s="766"/>
      <c r="G3"/>
      <c r="H3"/>
    </row>
    <row r="4" spans="2:8" x14ac:dyDescent="0.2">
      <c r="F4" s="318"/>
    </row>
    <row r="5" spans="2:8" x14ac:dyDescent="0.2">
      <c r="F5" s="318" t="s">
        <v>708</v>
      </c>
    </row>
    <row r="6" spans="2:8" s="322" customFormat="1" ht="31.5" x14ac:dyDescent="0.2">
      <c r="B6" s="343"/>
      <c r="C6" s="344" t="s">
        <v>71</v>
      </c>
      <c r="D6" s="344" t="s">
        <v>510</v>
      </c>
      <c r="E6" s="343" t="s">
        <v>511</v>
      </c>
      <c r="F6" s="343" t="s">
        <v>512</v>
      </c>
    </row>
    <row r="7" spans="2:8" hidden="1" x14ac:dyDescent="0.2">
      <c r="B7" s="345" t="s">
        <v>491</v>
      </c>
      <c r="C7" s="328" t="s">
        <v>513</v>
      </c>
      <c r="D7" s="329">
        <v>0</v>
      </c>
      <c r="E7" s="329">
        <v>0</v>
      </c>
      <c r="F7" s="329">
        <v>0</v>
      </c>
    </row>
    <row r="8" spans="2:8" hidden="1" x14ac:dyDescent="0.2">
      <c r="B8" s="345" t="s">
        <v>493</v>
      </c>
      <c r="C8" s="328" t="s">
        <v>514</v>
      </c>
      <c r="D8" s="329">
        <v>71</v>
      </c>
      <c r="E8" s="329">
        <v>0</v>
      </c>
      <c r="F8" s="329">
        <v>34</v>
      </c>
    </row>
    <row r="9" spans="2:8" x14ac:dyDescent="0.2">
      <c r="B9" s="345" t="s">
        <v>491</v>
      </c>
      <c r="C9" s="328" t="s">
        <v>515</v>
      </c>
      <c r="D9" s="329">
        <v>292</v>
      </c>
      <c r="E9" s="329">
        <f>E7+E8</f>
        <v>0</v>
      </c>
      <c r="F9" s="329">
        <v>812</v>
      </c>
    </row>
    <row r="10" spans="2:8" hidden="1" x14ac:dyDescent="0.2">
      <c r="B10" s="345" t="s">
        <v>499</v>
      </c>
      <c r="C10" s="328" t="s">
        <v>516</v>
      </c>
      <c r="D10" s="329">
        <v>453294</v>
      </c>
      <c r="E10" s="329">
        <v>0</v>
      </c>
      <c r="F10" s="329">
        <v>456355</v>
      </c>
    </row>
    <row r="11" spans="2:8" hidden="1" x14ac:dyDescent="0.2">
      <c r="B11" s="345" t="s">
        <v>501</v>
      </c>
      <c r="C11" s="328" t="s">
        <v>517</v>
      </c>
      <c r="D11" s="329">
        <v>20376</v>
      </c>
      <c r="E11" s="329">
        <v>0</v>
      </c>
      <c r="F11" s="329">
        <v>0</v>
      </c>
    </row>
    <row r="12" spans="2:8" hidden="1" x14ac:dyDescent="0.2">
      <c r="B12" s="345" t="s">
        <v>518</v>
      </c>
      <c r="C12" s="328" t="s">
        <v>519</v>
      </c>
      <c r="D12" s="329">
        <v>0</v>
      </c>
      <c r="E12" s="329">
        <v>0</v>
      </c>
      <c r="F12" s="329">
        <v>0</v>
      </c>
    </row>
    <row r="13" spans="2:8" x14ac:dyDescent="0.2">
      <c r="B13" s="345" t="s">
        <v>493</v>
      </c>
      <c r="C13" s="328" t="s">
        <v>520</v>
      </c>
      <c r="D13" s="329">
        <v>4808307</v>
      </c>
      <c r="E13" s="329">
        <f>E10+E11+E12</f>
        <v>0</v>
      </c>
      <c r="F13" s="329">
        <v>4824355</v>
      </c>
    </row>
    <row r="14" spans="2:8" hidden="1" x14ac:dyDescent="0.2">
      <c r="B14" s="345" t="s">
        <v>521</v>
      </c>
      <c r="C14" s="328" t="s">
        <v>522</v>
      </c>
      <c r="D14" s="329">
        <v>0</v>
      </c>
      <c r="E14" s="329">
        <v>0</v>
      </c>
      <c r="F14" s="329">
        <v>0</v>
      </c>
    </row>
    <row r="15" spans="2:8" hidden="1" x14ac:dyDescent="0.2">
      <c r="B15" s="345" t="s">
        <v>523</v>
      </c>
      <c r="C15" s="328" t="s">
        <v>524</v>
      </c>
      <c r="D15" s="329">
        <v>0</v>
      </c>
      <c r="E15" s="329">
        <v>0</v>
      </c>
      <c r="F15" s="329">
        <v>0</v>
      </c>
    </row>
    <row r="16" spans="2:8" hidden="1" x14ac:dyDescent="0.2">
      <c r="B16" s="345" t="s">
        <v>525</v>
      </c>
      <c r="C16" s="328" t="s">
        <v>526</v>
      </c>
      <c r="D16" s="329">
        <v>0</v>
      </c>
      <c r="E16" s="329">
        <v>0</v>
      </c>
      <c r="F16" s="329">
        <v>0</v>
      </c>
    </row>
    <row r="17" spans="2:6" hidden="1" x14ac:dyDescent="0.2">
      <c r="B17" s="345">
        <v>17</v>
      </c>
      <c r="C17" s="328" t="s">
        <v>527</v>
      </c>
      <c r="D17" s="329">
        <v>0</v>
      </c>
      <c r="E17" s="329">
        <v>0</v>
      </c>
      <c r="F17" s="329">
        <v>0</v>
      </c>
    </row>
    <row r="18" spans="2:6" x14ac:dyDescent="0.2">
      <c r="B18" s="345" t="s">
        <v>499</v>
      </c>
      <c r="C18" s="328" t="s">
        <v>528</v>
      </c>
      <c r="D18" s="329">
        <v>196666</v>
      </c>
      <c r="E18" s="329">
        <f>E14+E17</f>
        <v>0</v>
      </c>
      <c r="F18" s="329">
        <v>196506</v>
      </c>
    </row>
    <row r="19" spans="2:6" x14ac:dyDescent="0.2">
      <c r="B19" s="346" t="s">
        <v>499</v>
      </c>
      <c r="C19" s="333" t="s">
        <v>529</v>
      </c>
      <c r="D19" s="334">
        <f>D9+D13+D18</f>
        <v>5005265</v>
      </c>
      <c r="E19" s="334">
        <f>E9+E13+E18</f>
        <v>0</v>
      </c>
      <c r="F19" s="334">
        <f>F9+F13+F18</f>
        <v>5021673</v>
      </c>
    </row>
    <row r="20" spans="2:6" hidden="1" x14ac:dyDescent="0.2">
      <c r="C20" s="328" t="s">
        <v>530</v>
      </c>
      <c r="D20" s="329">
        <v>945</v>
      </c>
      <c r="E20" s="329">
        <v>0</v>
      </c>
      <c r="F20" s="329">
        <v>881</v>
      </c>
    </row>
    <row r="21" spans="2:6" x14ac:dyDescent="0.2">
      <c r="B21" s="345" t="s">
        <v>503</v>
      </c>
      <c r="C21" s="328" t="s">
        <v>718</v>
      </c>
      <c r="D21" s="329">
        <v>0</v>
      </c>
      <c r="E21" s="329">
        <f t="shared" ref="D21:F22" si="0">E20</f>
        <v>0</v>
      </c>
      <c r="F21" s="329">
        <v>160</v>
      </c>
    </row>
    <row r="22" spans="2:6" x14ac:dyDescent="0.2">
      <c r="B22" s="346" t="s">
        <v>518</v>
      </c>
      <c r="C22" s="333" t="s">
        <v>531</v>
      </c>
      <c r="D22" s="334">
        <f t="shared" si="0"/>
        <v>0</v>
      </c>
      <c r="E22" s="334">
        <f t="shared" si="0"/>
        <v>0</v>
      </c>
      <c r="F22" s="334">
        <f t="shared" si="0"/>
        <v>160</v>
      </c>
    </row>
    <row r="23" spans="2:6" hidden="1" x14ac:dyDescent="0.2">
      <c r="B23" s="345">
        <v>44</v>
      </c>
      <c r="C23" s="328" t="s">
        <v>532</v>
      </c>
      <c r="D23" s="329">
        <v>0</v>
      </c>
      <c r="E23" s="329">
        <v>0</v>
      </c>
      <c r="F23" s="329">
        <v>0</v>
      </c>
    </row>
    <row r="24" spans="2:6" hidden="1" x14ac:dyDescent="0.2">
      <c r="B24" s="346">
        <v>46</v>
      </c>
      <c r="C24" s="333" t="s">
        <v>533</v>
      </c>
      <c r="D24" s="334">
        <f>D23</f>
        <v>0</v>
      </c>
      <c r="E24" s="334">
        <f>E23</f>
        <v>0</v>
      </c>
      <c r="F24" s="334">
        <f>F23</f>
        <v>0</v>
      </c>
    </row>
    <row r="25" spans="2:6" hidden="1" x14ac:dyDescent="0.2">
      <c r="B25" s="345">
        <v>10</v>
      </c>
      <c r="C25" s="328" t="s">
        <v>534</v>
      </c>
      <c r="D25" s="329">
        <v>568</v>
      </c>
      <c r="E25" s="329">
        <v>0</v>
      </c>
      <c r="F25" s="329">
        <v>959</v>
      </c>
    </row>
    <row r="26" spans="2:6" x14ac:dyDescent="0.2">
      <c r="B26" s="345">
        <v>10</v>
      </c>
      <c r="C26" s="328" t="s">
        <v>535</v>
      </c>
      <c r="D26" s="329">
        <v>245</v>
      </c>
      <c r="E26" s="329">
        <f>E25</f>
        <v>0</v>
      </c>
      <c r="F26" s="329">
        <v>187</v>
      </c>
    </row>
    <row r="27" spans="2:6" x14ac:dyDescent="0.2">
      <c r="B27" s="345">
        <v>11</v>
      </c>
      <c r="C27" s="328" t="s">
        <v>709</v>
      </c>
      <c r="D27" s="329">
        <v>158112</v>
      </c>
      <c r="E27" s="329">
        <v>0</v>
      </c>
      <c r="F27" s="329">
        <v>1349783</v>
      </c>
    </row>
    <row r="28" spans="2:6" hidden="1" x14ac:dyDescent="0.2">
      <c r="B28" s="346">
        <v>12</v>
      </c>
      <c r="C28" s="333" t="s">
        <v>536</v>
      </c>
      <c r="D28" s="334">
        <f>D27</f>
        <v>158112</v>
      </c>
      <c r="E28" s="334">
        <f>E27</f>
        <v>0</v>
      </c>
      <c r="F28" s="334">
        <f>F27</f>
        <v>1349783</v>
      </c>
    </row>
    <row r="29" spans="2:6" x14ac:dyDescent="0.2">
      <c r="B29" s="346">
        <v>12</v>
      </c>
      <c r="C29" s="333" t="s">
        <v>537</v>
      </c>
      <c r="D29" s="334">
        <f>D26+D28+D24</f>
        <v>158357</v>
      </c>
      <c r="E29" s="334">
        <f>E26+E28+E24</f>
        <v>0</v>
      </c>
      <c r="F29" s="334">
        <f>F26+F28+F24</f>
        <v>1349970</v>
      </c>
    </row>
    <row r="30" spans="2:6" hidden="1" x14ac:dyDescent="0.2">
      <c r="B30" s="345">
        <v>62</v>
      </c>
      <c r="C30" s="328" t="s">
        <v>538</v>
      </c>
      <c r="D30" s="329">
        <v>0</v>
      </c>
      <c r="E30" s="329">
        <v>0</v>
      </c>
      <c r="F30" s="329">
        <v>0</v>
      </c>
    </row>
    <row r="31" spans="2:6" hidden="1" x14ac:dyDescent="0.2">
      <c r="B31" s="345">
        <v>66</v>
      </c>
      <c r="C31" s="328" t="s">
        <v>539</v>
      </c>
      <c r="D31" s="329">
        <v>0</v>
      </c>
      <c r="E31" s="329">
        <v>0</v>
      </c>
      <c r="F31" s="329">
        <v>0</v>
      </c>
    </row>
    <row r="32" spans="2:6" hidden="1" x14ac:dyDescent="0.2">
      <c r="B32" s="345">
        <v>67</v>
      </c>
      <c r="C32" s="328" t="s">
        <v>540</v>
      </c>
      <c r="D32" s="329">
        <v>0</v>
      </c>
      <c r="E32" s="329">
        <v>0</v>
      </c>
      <c r="F32" s="329">
        <v>0</v>
      </c>
    </row>
    <row r="33" spans="2:6" hidden="1" x14ac:dyDescent="0.2">
      <c r="B33" s="345">
        <v>68</v>
      </c>
      <c r="C33" s="328" t="s">
        <v>541</v>
      </c>
      <c r="D33" s="329">
        <v>0</v>
      </c>
      <c r="E33" s="329">
        <v>0</v>
      </c>
      <c r="F33" s="329">
        <v>0</v>
      </c>
    </row>
    <row r="34" spans="2:6" hidden="1" x14ac:dyDescent="0.2">
      <c r="B34" s="345" t="s">
        <v>542</v>
      </c>
      <c r="C34" s="328" t="s">
        <v>543</v>
      </c>
      <c r="D34" s="329">
        <v>0</v>
      </c>
      <c r="E34" s="329">
        <v>0</v>
      </c>
      <c r="F34" s="329">
        <v>0</v>
      </c>
    </row>
    <row r="35" spans="2:6" ht="25.5" hidden="1" x14ac:dyDescent="0.2">
      <c r="B35" s="347">
        <v>70</v>
      </c>
      <c r="C35" s="328" t="s">
        <v>710</v>
      </c>
      <c r="D35" s="337">
        <v>0</v>
      </c>
      <c r="E35" s="337">
        <v>0</v>
      </c>
      <c r="F35" s="337">
        <v>0</v>
      </c>
    </row>
    <row r="36" spans="2:6" hidden="1" x14ac:dyDescent="0.2">
      <c r="B36" s="345">
        <v>73</v>
      </c>
      <c r="C36" s="328" t="s">
        <v>544</v>
      </c>
      <c r="D36" s="329">
        <v>0</v>
      </c>
      <c r="E36" s="329">
        <v>0</v>
      </c>
      <c r="F36" s="329">
        <v>0</v>
      </c>
    </row>
    <row r="37" spans="2:6" hidden="1" x14ac:dyDescent="0.2">
      <c r="B37" s="345">
        <v>78</v>
      </c>
      <c r="C37" s="328" t="s">
        <v>545</v>
      </c>
      <c r="D37" s="329">
        <v>0</v>
      </c>
      <c r="E37" s="329">
        <v>0</v>
      </c>
      <c r="F37" s="329">
        <v>0</v>
      </c>
    </row>
    <row r="38" spans="2:6" hidden="1" x14ac:dyDescent="0.2">
      <c r="B38" s="345">
        <v>79</v>
      </c>
      <c r="C38" s="328" t="s">
        <v>546</v>
      </c>
      <c r="D38" s="329">
        <v>0</v>
      </c>
      <c r="E38" s="329">
        <v>0</v>
      </c>
      <c r="F38" s="329">
        <v>0</v>
      </c>
    </row>
    <row r="39" spans="2:6" hidden="1" x14ac:dyDescent="0.2">
      <c r="B39" s="345">
        <v>81</v>
      </c>
      <c r="C39" s="328" t="s">
        <v>547</v>
      </c>
      <c r="D39" s="329">
        <v>0</v>
      </c>
      <c r="E39" s="329">
        <v>0</v>
      </c>
      <c r="F39" s="329">
        <v>0</v>
      </c>
    </row>
    <row r="40" spans="2:6" ht="25.5" hidden="1" x14ac:dyDescent="0.2">
      <c r="B40" s="347">
        <v>85</v>
      </c>
      <c r="C40" s="328" t="s">
        <v>711</v>
      </c>
      <c r="D40" s="337">
        <v>0</v>
      </c>
      <c r="E40" s="337">
        <v>0</v>
      </c>
      <c r="F40" s="337">
        <v>0</v>
      </c>
    </row>
    <row r="41" spans="2:6" ht="25.5" hidden="1" x14ac:dyDescent="0.2">
      <c r="B41" s="347">
        <v>92</v>
      </c>
      <c r="C41" s="328" t="s">
        <v>712</v>
      </c>
      <c r="D41" s="337">
        <v>0</v>
      </c>
      <c r="E41" s="337">
        <v>0</v>
      </c>
      <c r="F41" s="337">
        <v>0</v>
      </c>
    </row>
    <row r="42" spans="2:6" x14ac:dyDescent="0.2">
      <c r="B42" s="345">
        <v>13</v>
      </c>
      <c r="C42" s="328" t="s">
        <v>548</v>
      </c>
      <c r="D42" s="329">
        <v>25534</v>
      </c>
      <c r="E42" s="329">
        <f>E30+E34+E38+E40</f>
        <v>0</v>
      </c>
      <c r="F42" s="329">
        <v>42542</v>
      </c>
    </row>
    <row r="43" spans="2:6" ht="12.75" hidden="1" customHeight="1" x14ac:dyDescent="0.2">
      <c r="B43" s="345">
        <v>123</v>
      </c>
      <c r="C43" s="328" t="s">
        <v>549</v>
      </c>
      <c r="D43" s="329">
        <v>0</v>
      </c>
      <c r="E43" s="329">
        <v>0</v>
      </c>
      <c r="F43" s="329">
        <v>0</v>
      </c>
    </row>
    <row r="44" spans="2:6" hidden="1" x14ac:dyDescent="0.2">
      <c r="B44" s="345">
        <v>125</v>
      </c>
      <c r="C44" s="328" t="s">
        <v>550</v>
      </c>
      <c r="D44" s="329">
        <v>0</v>
      </c>
      <c r="E44" s="329">
        <v>0</v>
      </c>
      <c r="F44" s="329">
        <v>0</v>
      </c>
    </row>
    <row r="45" spans="2:6" x14ac:dyDescent="0.2">
      <c r="B45" s="345">
        <v>14</v>
      </c>
      <c r="C45" s="328" t="s">
        <v>551</v>
      </c>
      <c r="D45" s="329">
        <v>4768</v>
      </c>
      <c r="E45" s="329">
        <f>E43</f>
        <v>0</v>
      </c>
      <c r="F45" s="329">
        <v>53571</v>
      </c>
    </row>
    <row r="46" spans="2:6" hidden="1" x14ac:dyDescent="0.2">
      <c r="B46" s="345">
        <v>142</v>
      </c>
      <c r="C46" s="328" t="s">
        <v>552</v>
      </c>
      <c r="D46" s="329">
        <v>0</v>
      </c>
      <c r="E46" s="329">
        <v>0</v>
      </c>
      <c r="F46" s="329">
        <v>0</v>
      </c>
    </row>
    <row r="47" spans="2:6" hidden="1" x14ac:dyDescent="0.2">
      <c r="B47" s="345">
        <v>147</v>
      </c>
      <c r="C47" s="328" t="s">
        <v>553</v>
      </c>
      <c r="D47" s="329">
        <v>0</v>
      </c>
      <c r="E47" s="329">
        <v>0</v>
      </c>
      <c r="F47" s="329">
        <v>0</v>
      </c>
    </row>
    <row r="48" spans="2:6" hidden="1" x14ac:dyDescent="0.2">
      <c r="B48" s="345">
        <v>152</v>
      </c>
      <c r="C48" s="328" t="s">
        <v>554</v>
      </c>
      <c r="D48" s="329">
        <v>0</v>
      </c>
      <c r="E48" s="329">
        <v>0</v>
      </c>
      <c r="F48" s="329">
        <v>0</v>
      </c>
    </row>
    <row r="49" spans="2:6" x14ac:dyDescent="0.2">
      <c r="B49" s="345">
        <v>15</v>
      </c>
      <c r="C49" s="328" t="s">
        <v>555</v>
      </c>
      <c r="D49" s="329">
        <v>663</v>
      </c>
      <c r="E49" s="329">
        <f>E46+E48</f>
        <v>0</v>
      </c>
      <c r="F49" s="329">
        <v>533</v>
      </c>
    </row>
    <row r="50" spans="2:6" x14ac:dyDescent="0.2">
      <c r="B50" s="346">
        <v>16</v>
      </c>
      <c r="C50" s="333" t="s">
        <v>556</v>
      </c>
      <c r="D50" s="334">
        <f>D42+D45+D49</f>
        <v>30965</v>
      </c>
      <c r="E50" s="334">
        <f>E42+E45+E49</f>
        <v>0</v>
      </c>
      <c r="F50" s="334">
        <f>F42+F45+F49</f>
        <v>96646</v>
      </c>
    </row>
    <row r="51" spans="2:6" hidden="1" x14ac:dyDescent="0.2">
      <c r="B51" s="345">
        <v>161</v>
      </c>
      <c r="C51" s="328" t="s">
        <v>557</v>
      </c>
      <c r="D51" s="329">
        <v>0</v>
      </c>
      <c r="E51" s="329">
        <v>0</v>
      </c>
      <c r="F51" s="329">
        <v>1155</v>
      </c>
    </row>
    <row r="52" spans="2:6" hidden="1" x14ac:dyDescent="0.2">
      <c r="B52" s="346">
        <v>164</v>
      </c>
      <c r="C52" s="333" t="s">
        <v>558</v>
      </c>
      <c r="D52" s="334">
        <f>SUM(D51)</f>
        <v>0</v>
      </c>
      <c r="E52" s="334">
        <f>SUM(E51)</f>
        <v>0</v>
      </c>
      <c r="F52" s="334">
        <f>SUM(F51)</f>
        <v>1155</v>
      </c>
    </row>
    <row r="53" spans="2:6" hidden="1" x14ac:dyDescent="0.2">
      <c r="B53" s="345">
        <v>166</v>
      </c>
      <c r="C53" s="328" t="s">
        <v>559</v>
      </c>
      <c r="D53" s="329">
        <v>0</v>
      </c>
      <c r="E53" s="329">
        <v>0</v>
      </c>
      <c r="F53" s="329">
        <v>0</v>
      </c>
    </row>
    <row r="54" spans="2:6" hidden="1" x14ac:dyDescent="0.2">
      <c r="B54" s="346">
        <v>167</v>
      </c>
      <c r="C54" s="333" t="s">
        <v>560</v>
      </c>
      <c r="D54" s="334">
        <f>SUM(D53)</f>
        <v>0</v>
      </c>
      <c r="E54" s="334">
        <f>SUM(E53)</f>
        <v>0</v>
      </c>
      <c r="F54" s="334">
        <f>SUM(F53)</f>
        <v>0</v>
      </c>
    </row>
    <row r="55" spans="2:6" hidden="1" x14ac:dyDescent="0.2">
      <c r="B55" s="345">
        <v>168</v>
      </c>
      <c r="C55" s="328" t="s">
        <v>561</v>
      </c>
      <c r="D55" s="329">
        <v>0</v>
      </c>
      <c r="E55" s="329">
        <v>0</v>
      </c>
      <c r="F55" s="329">
        <v>0</v>
      </c>
    </row>
    <row r="56" spans="2:6" ht="25.5" hidden="1" x14ac:dyDescent="0.2">
      <c r="B56" s="345">
        <v>169</v>
      </c>
      <c r="C56" s="328" t="s">
        <v>562</v>
      </c>
      <c r="D56" s="337">
        <v>0</v>
      </c>
      <c r="E56" s="337">
        <v>0</v>
      </c>
      <c r="F56" s="337">
        <v>0</v>
      </c>
    </row>
    <row r="57" spans="2:6" hidden="1" x14ac:dyDescent="0.2">
      <c r="B57" s="346">
        <v>170</v>
      </c>
      <c r="C57" s="333" t="s">
        <v>563</v>
      </c>
      <c r="D57" s="334">
        <f>D56+D55</f>
        <v>0</v>
      </c>
      <c r="E57" s="334">
        <f>E56+E55</f>
        <v>0</v>
      </c>
      <c r="F57" s="334">
        <f>F56+F55</f>
        <v>0</v>
      </c>
    </row>
    <row r="58" spans="2:6" x14ac:dyDescent="0.2">
      <c r="B58" s="346">
        <v>17</v>
      </c>
      <c r="C58" s="333" t="s">
        <v>713</v>
      </c>
      <c r="D58" s="334">
        <v>1051</v>
      </c>
      <c r="E58" s="334">
        <f>E52+E54+E57</f>
        <v>0</v>
      </c>
      <c r="F58" s="334">
        <f>F52+F54+F57</f>
        <v>1155</v>
      </c>
    </row>
    <row r="59" spans="2:6" hidden="1" x14ac:dyDescent="0.2">
      <c r="B59" s="345">
        <v>172</v>
      </c>
      <c r="C59" s="328" t="s">
        <v>564</v>
      </c>
      <c r="D59" s="329">
        <v>0</v>
      </c>
      <c r="E59" s="329">
        <v>0</v>
      </c>
      <c r="F59" s="329">
        <v>0</v>
      </c>
    </row>
    <row r="60" spans="2:6" hidden="1" x14ac:dyDescent="0.2">
      <c r="B60" s="345">
        <v>173</v>
      </c>
      <c r="C60" s="328" t="s">
        <v>565</v>
      </c>
      <c r="D60" s="329">
        <v>0</v>
      </c>
      <c r="E60" s="329">
        <v>0</v>
      </c>
      <c r="F60" s="329">
        <v>0</v>
      </c>
    </row>
    <row r="61" spans="2:6" x14ac:dyDescent="0.2">
      <c r="B61" s="346">
        <v>18</v>
      </c>
      <c r="C61" s="333" t="s">
        <v>566</v>
      </c>
      <c r="D61" s="334">
        <v>101</v>
      </c>
      <c r="E61" s="334">
        <f>E59+E60</f>
        <v>0</v>
      </c>
      <c r="F61" s="334">
        <f>F59+F60</f>
        <v>0</v>
      </c>
    </row>
    <row r="62" spans="2:6" x14ac:dyDescent="0.2">
      <c r="B62" s="346">
        <v>19</v>
      </c>
      <c r="C62" s="333" t="s">
        <v>567</v>
      </c>
      <c r="D62" s="334">
        <f>D19+D22+D29+D50+D58+D61</f>
        <v>5195739</v>
      </c>
      <c r="E62" s="334">
        <f>E19+E22+E29+E50+E57+E61</f>
        <v>0</v>
      </c>
      <c r="F62" s="334">
        <f>F19+F22+F29+F50+F58+F61</f>
        <v>6469604</v>
      </c>
    </row>
    <row r="63" spans="2:6" x14ac:dyDescent="0.2">
      <c r="B63" s="345">
        <v>20</v>
      </c>
      <c r="C63" s="328" t="s">
        <v>714</v>
      </c>
      <c r="D63" s="329">
        <v>5004269</v>
      </c>
      <c r="E63" s="329">
        <v>0</v>
      </c>
      <c r="F63" s="329">
        <v>5397196</v>
      </c>
    </row>
    <row r="64" spans="2:6" x14ac:dyDescent="0.2">
      <c r="B64" s="345">
        <v>181</v>
      </c>
      <c r="C64" s="328" t="s">
        <v>568</v>
      </c>
      <c r="D64" s="329">
        <v>410107</v>
      </c>
      <c r="E64" s="329">
        <v>0</v>
      </c>
      <c r="F64" s="329">
        <v>0</v>
      </c>
    </row>
    <row r="65" spans="2:6" x14ac:dyDescent="0.2">
      <c r="B65" s="345">
        <v>21</v>
      </c>
      <c r="C65" s="328" t="s">
        <v>569</v>
      </c>
      <c r="D65" s="329">
        <v>-871417</v>
      </c>
      <c r="E65" s="329">
        <v>0</v>
      </c>
      <c r="F65" s="329">
        <v>-799071</v>
      </c>
    </row>
    <row r="66" spans="2:6" x14ac:dyDescent="0.2">
      <c r="B66" s="345">
        <v>23</v>
      </c>
      <c r="C66" s="328" t="s">
        <v>570</v>
      </c>
      <c r="D66" s="329">
        <v>55541</v>
      </c>
      <c r="E66" s="329">
        <v>0</v>
      </c>
      <c r="F66" s="329">
        <v>113006</v>
      </c>
    </row>
    <row r="67" spans="2:6" x14ac:dyDescent="0.2">
      <c r="B67" s="346">
        <v>24</v>
      </c>
      <c r="C67" s="333" t="s">
        <v>571</v>
      </c>
      <c r="D67" s="334">
        <f>D63+D64+D65+D66</f>
        <v>4598500</v>
      </c>
      <c r="E67" s="334">
        <f>E63+E64+E65+E66</f>
        <v>0</v>
      </c>
      <c r="F67" s="334">
        <f>F63+F64+F65+F66</f>
        <v>4711131</v>
      </c>
    </row>
    <row r="68" spans="2:6" hidden="1" x14ac:dyDescent="0.2">
      <c r="B68" s="345">
        <v>189</v>
      </c>
      <c r="C68" s="328" t="s">
        <v>715</v>
      </c>
      <c r="D68" s="329">
        <v>0</v>
      </c>
      <c r="E68" s="329">
        <v>0</v>
      </c>
      <c r="F68" s="329">
        <v>0</v>
      </c>
    </row>
    <row r="69" spans="2:6" hidden="1" x14ac:dyDescent="0.2">
      <c r="B69" s="345">
        <v>190</v>
      </c>
      <c r="C69" s="328" t="s">
        <v>716</v>
      </c>
      <c r="D69" s="329">
        <v>0</v>
      </c>
      <c r="E69" s="329">
        <v>0</v>
      </c>
      <c r="F69" s="329">
        <v>0</v>
      </c>
    </row>
    <row r="70" spans="2:6" hidden="1" x14ac:dyDescent="0.2">
      <c r="B70" s="345">
        <v>186</v>
      </c>
      <c r="C70" s="328" t="s">
        <v>572</v>
      </c>
      <c r="D70" s="329">
        <v>0</v>
      </c>
      <c r="E70" s="329">
        <v>0</v>
      </c>
      <c r="F70" s="329">
        <v>0</v>
      </c>
    </row>
    <row r="71" spans="2:6" hidden="1" x14ac:dyDescent="0.2">
      <c r="B71" s="346" t="s">
        <v>717</v>
      </c>
      <c r="C71" s="333" t="s">
        <v>573</v>
      </c>
      <c r="D71" s="334">
        <f>D69+D68+D70</f>
        <v>0</v>
      </c>
      <c r="E71" s="334">
        <f>E69+E68+E70</f>
        <v>0</v>
      </c>
      <c r="F71" s="334">
        <f>F69+F68+F70</f>
        <v>0</v>
      </c>
    </row>
    <row r="72" spans="2:6" ht="25.5" hidden="1" x14ac:dyDescent="0.2">
      <c r="B72" s="347">
        <v>225</v>
      </c>
      <c r="C72" s="328" t="s">
        <v>574</v>
      </c>
      <c r="D72" s="337">
        <v>0</v>
      </c>
      <c r="E72" s="337">
        <v>0</v>
      </c>
      <c r="F72" s="337">
        <v>0</v>
      </c>
    </row>
    <row r="73" spans="2:6" hidden="1" x14ac:dyDescent="0.2">
      <c r="B73" s="346">
        <v>236</v>
      </c>
      <c r="C73" s="333" t="s">
        <v>575</v>
      </c>
      <c r="D73" s="334">
        <f>D72</f>
        <v>0</v>
      </c>
      <c r="E73" s="334">
        <f>E72</f>
        <v>0</v>
      </c>
      <c r="F73" s="334">
        <f>F72</f>
        <v>0</v>
      </c>
    </row>
    <row r="74" spans="2:6" x14ac:dyDescent="0.2">
      <c r="B74" s="345">
        <v>25</v>
      </c>
      <c r="C74" s="328" t="s">
        <v>573</v>
      </c>
      <c r="D74" s="329">
        <v>63120</v>
      </c>
      <c r="E74" s="329">
        <v>0</v>
      </c>
      <c r="F74" s="329">
        <v>71</v>
      </c>
    </row>
    <row r="75" spans="2:6" hidden="1" x14ac:dyDescent="0.2">
      <c r="B75" s="345">
        <v>26</v>
      </c>
      <c r="C75" s="328" t="s">
        <v>576</v>
      </c>
      <c r="D75" s="329"/>
      <c r="E75" s="329"/>
      <c r="F75" s="329"/>
    </row>
    <row r="76" spans="2:6" x14ac:dyDescent="0.2">
      <c r="B76" s="345">
        <v>26</v>
      </c>
      <c r="C76" s="328" t="s">
        <v>575</v>
      </c>
      <c r="D76" s="329">
        <v>13583</v>
      </c>
      <c r="E76" s="329">
        <v>0</v>
      </c>
      <c r="F76" s="329">
        <v>77224</v>
      </c>
    </row>
    <row r="77" spans="2:6" x14ac:dyDescent="0.2">
      <c r="B77" s="345">
        <v>27</v>
      </c>
      <c r="C77" s="328" t="s">
        <v>577</v>
      </c>
      <c r="D77" s="329">
        <v>8782</v>
      </c>
      <c r="E77" s="329">
        <f>E74+E76</f>
        <v>0</v>
      </c>
      <c r="F77" s="329">
        <v>4988</v>
      </c>
    </row>
    <row r="78" spans="2:6" x14ac:dyDescent="0.2">
      <c r="B78" s="346">
        <v>28</v>
      </c>
      <c r="C78" s="333" t="s">
        <v>578</v>
      </c>
      <c r="D78" s="334">
        <f>D71+D77+D73+D74+D76</f>
        <v>85485</v>
      </c>
      <c r="E78" s="334">
        <f>E71+E77+E73+E74+E76</f>
        <v>0</v>
      </c>
      <c r="F78" s="334">
        <f>F71+F77+F73+F74+F76</f>
        <v>82283</v>
      </c>
    </row>
    <row r="79" spans="2:6" hidden="1" x14ac:dyDescent="0.2">
      <c r="B79" s="345">
        <v>251</v>
      </c>
      <c r="C79" s="328" t="s">
        <v>579</v>
      </c>
      <c r="D79" s="329">
        <v>28949</v>
      </c>
      <c r="E79" s="329">
        <v>0</v>
      </c>
      <c r="F79" s="329"/>
    </row>
    <row r="80" spans="2:6" hidden="1" x14ac:dyDescent="0.2">
      <c r="B80" s="345">
        <v>252</v>
      </c>
      <c r="C80" s="328" t="s">
        <v>580</v>
      </c>
      <c r="D80" s="329">
        <v>482805</v>
      </c>
      <c r="E80" s="329">
        <v>0</v>
      </c>
      <c r="F80" s="329">
        <v>1676190</v>
      </c>
    </row>
    <row r="81" spans="2:6" x14ac:dyDescent="0.2">
      <c r="B81" s="346">
        <v>30</v>
      </c>
      <c r="C81" s="333" t="s">
        <v>581</v>
      </c>
      <c r="D81" s="334">
        <f>D79+D80</f>
        <v>511754</v>
      </c>
      <c r="E81" s="334">
        <f>E79+E80</f>
        <v>0</v>
      </c>
      <c r="F81" s="334">
        <f>F79+F80</f>
        <v>1676190</v>
      </c>
    </row>
    <row r="82" spans="2:6" x14ac:dyDescent="0.2">
      <c r="B82" s="346">
        <v>31</v>
      </c>
      <c r="C82" s="333" t="s">
        <v>582</v>
      </c>
      <c r="D82" s="334">
        <f>D67+D78+D81</f>
        <v>5195739</v>
      </c>
      <c r="E82" s="334">
        <f>E67+E78+E81</f>
        <v>0</v>
      </c>
      <c r="F82" s="334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17" customFormat="1" x14ac:dyDescent="0.2">
      <c r="E1" s="318" t="s">
        <v>488</v>
      </c>
    </row>
    <row r="2" spans="1:8" s="317" customFormat="1" ht="19.5" x14ac:dyDescent="0.35">
      <c r="A2" s="758" t="s">
        <v>27</v>
      </c>
      <c r="B2" s="766"/>
      <c r="C2" s="766"/>
      <c r="D2" s="766"/>
      <c r="E2" s="766"/>
      <c r="F2" s="766"/>
      <c r="G2"/>
      <c r="H2"/>
    </row>
    <row r="3" spans="1:8" s="317" customFormat="1" ht="19.5" x14ac:dyDescent="0.35">
      <c r="A3" s="758" t="s">
        <v>699</v>
      </c>
      <c r="B3" s="766"/>
      <c r="C3" s="766"/>
      <c r="D3" s="766"/>
      <c r="E3" s="766"/>
      <c r="F3" s="766"/>
      <c r="G3"/>
      <c r="H3"/>
    </row>
    <row r="4" spans="1:8" ht="5.25" customHeight="1" x14ac:dyDescent="0.2"/>
    <row r="5" spans="1:8" ht="31.5" x14ac:dyDescent="0.2">
      <c r="A5" s="348"/>
      <c r="B5" s="349" t="s">
        <v>71</v>
      </c>
      <c r="C5" s="349" t="s">
        <v>510</v>
      </c>
      <c r="D5" s="349" t="s">
        <v>511</v>
      </c>
      <c r="E5" s="349" t="s">
        <v>512</v>
      </c>
    </row>
    <row r="6" spans="1:8" x14ac:dyDescent="0.2">
      <c r="A6" s="350" t="s">
        <v>491</v>
      </c>
      <c r="B6" s="351" t="s">
        <v>584</v>
      </c>
      <c r="C6" s="352">
        <v>376071</v>
      </c>
      <c r="D6" s="352">
        <v>0</v>
      </c>
      <c r="E6" s="352">
        <v>420997</v>
      </c>
    </row>
    <row r="7" spans="1:8" x14ac:dyDescent="0.2">
      <c r="A7" s="350" t="s">
        <v>493</v>
      </c>
      <c r="B7" s="351" t="s">
        <v>585</v>
      </c>
      <c r="C7" s="352">
        <v>10661</v>
      </c>
      <c r="D7" s="352">
        <v>0</v>
      </c>
      <c r="E7" s="352">
        <v>8508</v>
      </c>
    </row>
    <row r="8" spans="1:8" x14ac:dyDescent="0.2">
      <c r="A8" s="350" t="s">
        <v>495</v>
      </c>
      <c r="B8" s="351" t="s">
        <v>586</v>
      </c>
      <c r="C8" s="352">
        <v>20059</v>
      </c>
      <c r="D8" s="352">
        <v>0</v>
      </c>
      <c r="E8" s="352">
        <v>30058</v>
      </c>
    </row>
    <row r="9" spans="1:8" x14ac:dyDescent="0.2">
      <c r="A9" s="353" t="s">
        <v>497</v>
      </c>
      <c r="B9" s="354" t="s">
        <v>587</v>
      </c>
      <c r="C9" s="355">
        <f>SUM(C6:C8)</f>
        <v>406791</v>
      </c>
      <c r="D9" s="355">
        <f>SUM(D6:D8)</f>
        <v>0</v>
      </c>
      <c r="E9" s="355">
        <f>SUM(E6:E8)</f>
        <v>459563</v>
      </c>
    </row>
    <row r="10" spans="1:8" x14ac:dyDescent="0.2">
      <c r="A10" s="350" t="s">
        <v>518</v>
      </c>
      <c r="B10" s="351" t="s">
        <v>588</v>
      </c>
      <c r="C10" s="352">
        <v>689293</v>
      </c>
      <c r="D10" s="352">
        <v>0</v>
      </c>
      <c r="E10" s="352">
        <v>411244</v>
      </c>
    </row>
    <row r="11" spans="1:8" x14ac:dyDescent="0.2">
      <c r="A11" s="350" t="s">
        <v>506</v>
      </c>
      <c r="B11" s="351" t="s">
        <v>589</v>
      </c>
      <c r="C11" s="352">
        <v>19631</v>
      </c>
      <c r="D11" s="352">
        <v>0</v>
      </c>
      <c r="E11" s="352">
        <v>53204</v>
      </c>
    </row>
    <row r="12" spans="1:8" x14ac:dyDescent="0.2">
      <c r="A12" s="350">
        <v>10</v>
      </c>
      <c r="B12" s="351" t="s">
        <v>590</v>
      </c>
      <c r="C12" s="352">
        <v>6831</v>
      </c>
      <c r="D12" s="352">
        <v>0</v>
      </c>
      <c r="E12" s="352">
        <v>0</v>
      </c>
    </row>
    <row r="13" spans="1:8" x14ac:dyDescent="0.2">
      <c r="A13" s="350">
        <v>11</v>
      </c>
      <c r="B13" s="351" t="s">
        <v>591</v>
      </c>
      <c r="C13" s="352">
        <v>204957</v>
      </c>
      <c r="D13" s="352">
        <v>0</v>
      </c>
      <c r="E13" s="352">
        <v>164858</v>
      </c>
    </row>
    <row r="14" spans="1:8" x14ac:dyDescent="0.2">
      <c r="A14" s="353">
        <v>12</v>
      </c>
      <c r="B14" s="354" t="s">
        <v>592</v>
      </c>
      <c r="C14" s="355">
        <f>SUM(C10:C13)</f>
        <v>920712</v>
      </c>
      <c r="D14" s="355">
        <f>SUM(D10:D13)</f>
        <v>0</v>
      </c>
      <c r="E14" s="355">
        <f>SUM(E10:E13)</f>
        <v>629306</v>
      </c>
    </row>
    <row r="15" spans="1:8" x14ac:dyDescent="0.2">
      <c r="A15" s="350">
        <v>13</v>
      </c>
      <c r="B15" s="351" t="s">
        <v>593</v>
      </c>
      <c r="C15" s="352">
        <v>17806</v>
      </c>
      <c r="D15" s="352">
        <v>0</v>
      </c>
      <c r="E15" s="352">
        <v>6592</v>
      </c>
    </row>
    <row r="16" spans="1:8" x14ac:dyDescent="0.2">
      <c r="A16" s="350">
        <v>14</v>
      </c>
      <c r="B16" s="351" t="s">
        <v>594</v>
      </c>
      <c r="C16" s="352">
        <v>145978</v>
      </c>
      <c r="D16" s="352">
        <v>0</v>
      </c>
      <c r="E16" s="352">
        <v>125511</v>
      </c>
    </row>
    <row r="17" spans="1:5" hidden="1" x14ac:dyDescent="0.2">
      <c r="A17" s="350">
        <v>16</v>
      </c>
      <c r="B17" s="351" t="s">
        <v>595</v>
      </c>
      <c r="C17" s="352">
        <v>0</v>
      </c>
      <c r="D17" s="352">
        <v>0</v>
      </c>
      <c r="E17" s="352">
        <v>0</v>
      </c>
    </row>
    <row r="18" spans="1:5" x14ac:dyDescent="0.2">
      <c r="A18" s="353">
        <v>17</v>
      </c>
      <c r="B18" s="354" t="s">
        <v>596</v>
      </c>
      <c r="C18" s="355">
        <f>SUM(C15:C17)</f>
        <v>163784</v>
      </c>
      <c r="D18" s="355">
        <f>SUM(D15:D17)</f>
        <v>0</v>
      </c>
      <c r="E18" s="355">
        <f>SUM(E15:E17)</f>
        <v>132103</v>
      </c>
    </row>
    <row r="19" spans="1:5" x14ac:dyDescent="0.2">
      <c r="A19" s="350">
        <v>18</v>
      </c>
      <c r="B19" s="351" t="s">
        <v>597</v>
      </c>
      <c r="C19" s="352">
        <v>151365</v>
      </c>
      <c r="D19" s="352">
        <v>0</v>
      </c>
      <c r="E19" s="352">
        <v>116469</v>
      </c>
    </row>
    <row r="20" spans="1:5" x14ac:dyDescent="0.2">
      <c r="A20" s="350">
        <v>19</v>
      </c>
      <c r="B20" s="351" t="s">
        <v>598</v>
      </c>
      <c r="C20" s="352">
        <v>65241</v>
      </c>
      <c r="D20" s="352">
        <v>0</v>
      </c>
      <c r="E20" s="352">
        <v>55597</v>
      </c>
    </row>
    <row r="21" spans="1:5" x14ac:dyDescent="0.2">
      <c r="A21" s="350">
        <v>20</v>
      </c>
      <c r="B21" s="351" t="s">
        <v>599</v>
      </c>
      <c r="C21" s="352">
        <v>59835</v>
      </c>
      <c r="D21" s="352">
        <v>0</v>
      </c>
      <c r="E21" s="352">
        <v>38725</v>
      </c>
    </row>
    <row r="22" spans="1:5" x14ac:dyDescent="0.2">
      <c r="A22" s="353">
        <v>21</v>
      </c>
      <c r="B22" s="354" t="s">
        <v>600</v>
      </c>
      <c r="C22" s="355">
        <f>SUM(C19:C21)</f>
        <v>276441</v>
      </c>
      <c r="D22" s="355">
        <f>SUM(D19:D21)</f>
        <v>0</v>
      </c>
      <c r="E22" s="355">
        <f>SUM(E19:E21)</f>
        <v>210791</v>
      </c>
    </row>
    <row r="23" spans="1:5" x14ac:dyDescent="0.2">
      <c r="A23" s="353">
        <v>22</v>
      </c>
      <c r="B23" s="354" t="s">
        <v>601</v>
      </c>
      <c r="C23" s="355">
        <v>93449</v>
      </c>
      <c r="D23" s="355">
        <v>0</v>
      </c>
      <c r="E23" s="355">
        <v>91234</v>
      </c>
    </row>
    <row r="24" spans="1:5" x14ac:dyDescent="0.2">
      <c r="A24" s="353">
        <v>23</v>
      </c>
      <c r="B24" s="354" t="s">
        <v>602</v>
      </c>
      <c r="C24" s="355">
        <v>739741</v>
      </c>
      <c r="D24" s="355">
        <v>0</v>
      </c>
      <c r="E24" s="355">
        <v>541756</v>
      </c>
    </row>
    <row r="25" spans="1:5" x14ac:dyDescent="0.2">
      <c r="A25" s="353">
        <v>24</v>
      </c>
      <c r="B25" s="354" t="s">
        <v>603</v>
      </c>
      <c r="C25" s="355">
        <f>C9+C14-C18-C22-C23-C24</f>
        <v>54088</v>
      </c>
      <c r="D25" s="355">
        <f>D9+D14-D18-D22-D23-D24</f>
        <v>0</v>
      </c>
      <c r="E25" s="355">
        <f>E9+E14-E18-E22-E23-E24</f>
        <v>112985</v>
      </c>
    </row>
    <row r="26" spans="1:5" x14ac:dyDescent="0.2">
      <c r="A26" s="350">
        <v>25</v>
      </c>
      <c r="B26" s="351" t="s">
        <v>604</v>
      </c>
      <c r="C26" s="352">
        <v>1648</v>
      </c>
      <c r="D26" s="352">
        <v>0</v>
      </c>
      <c r="E26" s="352">
        <v>0</v>
      </c>
    </row>
    <row r="27" spans="1:5" x14ac:dyDescent="0.2">
      <c r="A27" s="350">
        <v>28</v>
      </c>
      <c r="B27" s="351" t="s">
        <v>605</v>
      </c>
      <c r="C27" s="352">
        <v>15</v>
      </c>
      <c r="D27" s="352">
        <v>0</v>
      </c>
      <c r="E27" s="352">
        <v>39</v>
      </c>
    </row>
    <row r="28" spans="1:5" hidden="1" x14ac:dyDescent="0.2">
      <c r="A28" s="350">
        <v>29</v>
      </c>
      <c r="B28" s="351" t="s">
        <v>606</v>
      </c>
      <c r="C28" s="352">
        <v>0</v>
      </c>
      <c r="D28" s="352">
        <v>0</v>
      </c>
      <c r="E28" s="352">
        <v>0</v>
      </c>
    </row>
    <row r="29" spans="1:5" x14ac:dyDescent="0.2">
      <c r="A29" s="353">
        <v>32</v>
      </c>
      <c r="B29" s="354" t="s">
        <v>607</v>
      </c>
      <c r="C29" s="355">
        <f>SUM(C26:C28)</f>
        <v>1663</v>
      </c>
      <c r="D29" s="355">
        <f>SUM(D26:D28)</f>
        <v>0</v>
      </c>
      <c r="E29" s="355">
        <f>SUM(E26:E28)</f>
        <v>39</v>
      </c>
    </row>
    <row r="30" spans="1:5" x14ac:dyDescent="0.2">
      <c r="A30" s="350">
        <v>35</v>
      </c>
      <c r="B30" s="351" t="s">
        <v>608</v>
      </c>
      <c r="C30" s="352">
        <v>210</v>
      </c>
      <c r="D30" s="352">
        <v>0</v>
      </c>
      <c r="E30" s="352">
        <v>18</v>
      </c>
    </row>
    <row r="31" spans="1:5" hidden="1" x14ac:dyDescent="0.2">
      <c r="A31" s="350">
        <v>39</v>
      </c>
      <c r="B31" s="351" t="s">
        <v>609</v>
      </c>
      <c r="C31" s="352">
        <v>0</v>
      </c>
      <c r="D31" s="352">
        <v>0</v>
      </c>
      <c r="E31" s="352">
        <v>0</v>
      </c>
    </row>
    <row r="32" spans="1:5" x14ac:dyDescent="0.2">
      <c r="A32" s="353">
        <v>42</v>
      </c>
      <c r="B32" s="354" t="s">
        <v>610</v>
      </c>
      <c r="C32" s="355">
        <f>SUM(C30:C31)</f>
        <v>210</v>
      </c>
      <c r="D32" s="355">
        <f>SUM(D30:D31)</f>
        <v>0</v>
      </c>
      <c r="E32" s="355">
        <f>SUM(E30:E31)</f>
        <v>18</v>
      </c>
    </row>
    <row r="33" spans="1:7" x14ac:dyDescent="0.2">
      <c r="A33" s="353">
        <v>43</v>
      </c>
      <c r="B33" s="354" t="s">
        <v>611</v>
      </c>
      <c r="C33" s="355">
        <f>C29-C32</f>
        <v>1453</v>
      </c>
      <c r="D33" s="355">
        <f>D29-D32</f>
        <v>0</v>
      </c>
      <c r="E33" s="355">
        <f>E29-E32</f>
        <v>21</v>
      </c>
    </row>
    <row r="34" spans="1:7" x14ac:dyDescent="0.2">
      <c r="A34" s="353">
        <v>44</v>
      </c>
      <c r="B34" s="354" t="s">
        <v>612</v>
      </c>
      <c r="C34" s="355">
        <f>C25+C33</f>
        <v>55541</v>
      </c>
      <c r="D34" s="355">
        <f>D25+D33</f>
        <v>0</v>
      </c>
      <c r="E34" s="355">
        <f>E25+E33</f>
        <v>113006</v>
      </c>
      <c r="G34" s="76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356" customWidth="1"/>
    <col min="3" max="3" width="62.28515625" style="356" customWidth="1"/>
    <col min="4" max="4" width="16.5703125" style="356" customWidth="1"/>
    <col min="5" max="5" width="16.140625" style="356" customWidth="1"/>
    <col min="6" max="6" width="12.28515625" style="358" customWidth="1"/>
    <col min="7" max="12" width="9.140625" style="358"/>
    <col min="13" max="16384" width="9.140625" style="356"/>
  </cols>
  <sheetData>
    <row r="1" spans="1:8" x14ac:dyDescent="0.2">
      <c r="E1" s="357" t="s">
        <v>509</v>
      </c>
    </row>
    <row r="2" spans="1:8" ht="23.25" customHeight="1" x14ac:dyDescent="0.35">
      <c r="A2" s="851" t="s">
        <v>27</v>
      </c>
      <c r="B2" s="851"/>
      <c r="C2" s="851"/>
      <c r="D2" s="851"/>
      <c r="E2" s="851"/>
      <c r="F2" s="359"/>
      <c r="G2" s="359"/>
      <c r="H2" s="359"/>
    </row>
    <row r="3" spans="1:8" ht="21" customHeight="1" x14ac:dyDescent="0.35">
      <c r="A3" s="851" t="s">
        <v>700</v>
      </c>
      <c r="B3" s="851"/>
      <c r="C3" s="851"/>
      <c r="D3" s="851"/>
      <c r="E3" s="851"/>
      <c r="F3" s="359"/>
      <c r="G3" s="359"/>
      <c r="H3" s="359"/>
    </row>
    <row r="4" spans="1:8" ht="13.5" customHeight="1" thickBot="1" x14ac:dyDescent="0.25">
      <c r="E4" s="360" t="s">
        <v>418</v>
      </c>
    </row>
    <row r="5" spans="1:8" ht="19.5" customHeight="1" x14ac:dyDescent="0.2">
      <c r="A5" s="863" t="s">
        <v>614</v>
      </c>
      <c r="B5" s="864"/>
      <c r="C5" s="864"/>
      <c r="D5" s="852" t="s">
        <v>701</v>
      </c>
      <c r="E5" s="853"/>
    </row>
    <row r="6" spans="1:8" ht="15" customHeight="1" thickBot="1" x14ac:dyDescent="0.25">
      <c r="A6" s="361"/>
      <c r="B6" s="362"/>
      <c r="C6" s="362"/>
      <c r="D6" s="363" t="s">
        <v>615</v>
      </c>
      <c r="E6" s="364" t="s">
        <v>616</v>
      </c>
    </row>
    <row r="7" spans="1:8" ht="22.5" customHeight="1" x14ac:dyDescent="0.2">
      <c r="A7" s="365" t="s">
        <v>617</v>
      </c>
      <c r="B7" s="865" t="s">
        <v>618</v>
      </c>
      <c r="C7" s="865"/>
      <c r="D7" s="366">
        <f>SUM(D8+D17+D63)</f>
        <v>5021673</v>
      </c>
      <c r="E7" s="366">
        <f>SUM(E8+E17+E63)</f>
        <v>5709039</v>
      </c>
    </row>
    <row r="8" spans="1:8" ht="12.75" customHeight="1" x14ac:dyDescent="0.2">
      <c r="A8" s="367"/>
      <c r="B8" s="367" t="s">
        <v>619</v>
      </c>
      <c r="C8" s="368" t="s">
        <v>620</v>
      </c>
      <c r="D8" s="369">
        <f>D10+D16</f>
        <v>812</v>
      </c>
      <c r="E8" s="369">
        <f>E10+E16</f>
        <v>843</v>
      </c>
    </row>
    <row r="9" spans="1:8" x14ac:dyDescent="0.2">
      <c r="A9" s="367"/>
      <c r="B9" s="367"/>
      <c r="C9" s="367" t="s">
        <v>621</v>
      </c>
      <c r="D9" s="370"/>
      <c r="E9" s="369"/>
    </row>
    <row r="10" spans="1:8" ht="12.75" customHeight="1" x14ac:dyDescent="0.2">
      <c r="A10" s="367"/>
      <c r="B10" s="367"/>
      <c r="C10" s="371" t="s">
        <v>622</v>
      </c>
      <c r="D10" s="370">
        <f>D12+D15</f>
        <v>779</v>
      </c>
      <c r="E10" s="370">
        <f>E12+E15</f>
        <v>787</v>
      </c>
    </row>
    <row r="11" spans="1:8" ht="12.75" customHeight="1" x14ac:dyDescent="0.2">
      <c r="A11" s="367"/>
      <c r="B11" s="367"/>
      <c r="C11" s="367" t="s">
        <v>623</v>
      </c>
      <c r="D11" s="370"/>
      <c r="E11" s="369"/>
    </row>
    <row r="12" spans="1:8" ht="12.75" customHeight="1" x14ac:dyDescent="0.2">
      <c r="A12" s="367"/>
      <c r="B12" s="367"/>
      <c r="C12" s="371" t="s">
        <v>624</v>
      </c>
      <c r="D12" s="370"/>
      <c r="E12" s="369"/>
    </row>
    <row r="13" spans="1:8" ht="12.75" customHeight="1" x14ac:dyDescent="0.2">
      <c r="A13" s="367"/>
      <c r="B13" s="367"/>
      <c r="C13" s="371" t="s">
        <v>625</v>
      </c>
      <c r="D13" s="370"/>
      <c r="E13" s="369"/>
    </row>
    <row r="14" spans="1:8" x14ac:dyDescent="0.2">
      <c r="A14" s="367"/>
      <c r="B14" s="367"/>
      <c r="C14" s="372" t="s">
        <v>626</v>
      </c>
      <c r="D14" s="370"/>
      <c r="E14" s="369"/>
    </row>
    <row r="15" spans="1:8" ht="12.75" customHeight="1" x14ac:dyDescent="0.2">
      <c r="A15" s="367"/>
      <c r="B15" s="367"/>
      <c r="C15" s="371" t="s">
        <v>627</v>
      </c>
      <c r="D15" s="370">
        <v>779</v>
      </c>
      <c r="E15" s="370">
        <v>787</v>
      </c>
    </row>
    <row r="16" spans="1:8" ht="12.75" customHeight="1" x14ac:dyDescent="0.2">
      <c r="A16" s="367"/>
      <c r="B16" s="367"/>
      <c r="C16" s="371" t="s">
        <v>628</v>
      </c>
      <c r="D16" s="370">
        <v>33</v>
      </c>
      <c r="E16" s="370">
        <v>56</v>
      </c>
    </row>
    <row r="17" spans="1:6" ht="12.75" customHeight="1" x14ac:dyDescent="0.2">
      <c r="A17" s="367"/>
      <c r="B17" s="367" t="s">
        <v>629</v>
      </c>
      <c r="C17" s="368" t="s">
        <v>630</v>
      </c>
      <c r="D17" s="369">
        <f>SUM(D18+D27+D36+D45+D54)</f>
        <v>4824355</v>
      </c>
      <c r="E17" s="369">
        <f>SUM(E18+E27+E36+E45+E54)</f>
        <v>5511690</v>
      </c>
    </row>
    <row r="18" spans="1:6" ht="12.75" customHeight="1" x14ac:dyDescent="0.2">
      <c r="A18" s="373"/>
      <c r="B18" s="373"/>
      <c r="C18" s="368" t="s">
        <v>631</v>
      </c>
      <c r="D18" s="369">
        <f>SUM(D20+D26)</f>
        <v>4742551</v>
      </c>
      <c r="E18" s="369">
        <f>SUM(E20+E26)</f>
        <v>5392868</v>
      </c>
      <c r="F18" s="374"/>
    </row>
    <row r="19" spans="1:6" x14ac:dyDescent="0.2">
      <c r="A19" s="373"/>
      <c r="B19" s="373"/>
      <c r="C19" s="367" t="s">
        <v>632</v>
      </c>
      <c r="D19" s="370"/>
      <c r="E19" s="369"/>
    </row>
    <row r="20" spans="1:6" ht="12.75" customHeight="1" x14ac:dyDescent="0.2">
      <c r="A20" s="373"/>
      <c r="B20" s="373"/>
      <c r="C20" s="371" t="s">
        <v>622</v>
      </c>
      <c r="D20" s="370">
        <f>SUM(D22+D25)</f>
        <v>4290983</v>
      </c>
      <c r="E20" s="370">
        <f>SUM(E22+E25)</f>
        <v>4915121</v>
      </c>
    </row>
    <row r="21" spans="1:6" ht="12.75" customHeight="1" x14ac:dyDescent="0.2">
      <c r="A21" s="373"/>
      <c r="B21" s="373"/>
      <c r="C21" s="367" t="s">
        <v>633</v>
      </c>
      <c r="D21" s="370"/>
      <c r="E21" s="369"/>
    </row>
    <row r="22" spans="1:6" ht="12.75" customHeight="1" x14ac:dyDescent="0.2">
      <c r="A22" s="373"/>
      <c r="B22" s="373"/>
      <c r="C22" s="371" t="s">
        <v>624</v>
      </c>
      <c r="D22" s="370">
        <f>1360503+642572+1183530</f>
        <v>3186605</v>
      </c>
      <c r="E22" s="370">
        <f>(1360503+772377+1619070)</f>
        <v>3751950</v>
      </c>
    </row>
    <row r="23" spans="1:6" ht="12.75" customHeight="1" x14ac:dyDescent="0.2">
      <c r="A23" s="373"/>
      <c r="B23" s="373"/>
      <c r="C23" s="371" t="s">
        <v>634</v>
      </c>
      <c r="D23" s="375">
        <f>D22</f>
        <v>3186605</v>
      </c>
      <c r="E23" s="375">
        <f>E22</f>
        <v>3751950</v>
      </c>
    </row>
    <row r="24" spans="1:6" x14ac:dyDescent="0.2">
      <c r="A24" s="373"/>
      <c r="B24" s="373"/>
      <c r="C24" s="371" t="s">
        <v>635</v>
      </c>
      <c r="D24" s="375"/>
      <c r="E24" s="376"/>
    </row>
    <row r="25" spans="1:6" ht="12.75" customHeight="1" x14ac:dyDescent="0.2">
      <c r="A25" s="373"/>
      <c r="B25" s="373"/>
      <c r="C25" s="371" t="s">
        <v>627</v>
      </c>
      <c r="D25" s="370">
        <f>(849598+84095+59505+111180)</f>
        <v>1104378</v>
      </c>
      <c r="E25" s="370">
        <f>(849598+114818+61809+136946)</f>
        <v>1163171</v>
      </c>
    </row>
    <row r="26" spans="1:6" ht="12.75" customHeight="1" x14ac:dyDescent="0.2">
      <c r="A26" s="373"/>
      <c r="B26" s="373"/>
      <c r="C26" s="371" t="s">
        <v>636</v>
      </c>
      <c r="D26" s="370">
        <f>333489+1050+89045+2324+668+24992</f>
        <v>451568</v>
      </c>
      <c r="E26" s="370">
        <f>333489+1050+111117+2324+668+29099</f>
        <v>477747</v>
      </c>
    </row>
    <row r="27" spans="1:6" ht="12.75" customHeight="1" x14ac:dyDescent="0.2">
      <c r="A27" s="367"/>
      <c r="B27" s="367"/>
      <c r="C27" s="368" t="s">
        <v>637</v>
      </c>
      <c r="D27" s="369">
        <f>SUM(D29+D35)</f>
        <v>81804</v>
      </c>
      <c r="E27" s="369">
        <f>SUM(E29+E35)</f>
        <v>118822</v>
      </c>
    </row>
    <row r="28" spans="1:6" ht="12.75" customHeight="1" x14ac:dyDescent="0.2">
      <c r="A28" s="367"/>
      <c r="B28" s="367"/>
      <c r="C28" s="367" t="s">
        <v>638</v>
      </c>
      <c r="D28" s="370"/>
      <c r="E28" s="369"/>
    </row>
    <row r="29" spans="1:6" ht="12.75" customHeight="1" x14ac:dyDescent="0.2">
      <c r="A29" s="367"/>
      <c r="B29" s="367"/>
      <c r="C29" s="371" t="s">
        <v>622</v>
      </c>
      <c r="D29" s="370"/>
      <c r="E29" s="369"/>
    </row>
    <row r="30" spans="1:6" ht="12.75" customHeight="1" x14ac:dyDescent="0.2">
      <c r="A30" s="367"/>
      <c r="B30" s="367"/>
      <c r="C30" s="367" t="s">
        <v>633</v>
      </c>
      <c r="D30" s="370"/>
      <c r="E30" s="369"/>
    </row>
    <row r="31" spans="1:6" ht="12.75" customHeight="1" x14ac:dyDescent="0.2">
      <c r="A31" s="367"/>
      <c r="B31" s="367"/>
      <c r="C31" s="371" t="s">
        <v>624</v>
      </c>
      <c r="D31" s="370"/>
      <c r="E31" s="369"/>
    </row>
    <row r="32" spans="1:6" ht="12.75" customHeight="1" x14ac:dyDescent="0.2">
      <c r="A32" s="367"/>
      <c r="B32" s="367"/>
      <c r="C32" s="371" t="s">
        <v>634</v>
      </c>
      <c r="D32" s="370"/>
      <c r="E32" s="369"/>
    </row>
    <row r="33" spans="1:5" x14ac:dyDescent="0.2">
      <c r="A33" s="367"/>
      <c r="B33" s="367"/>
      <c r="C33" s="371" t="s">
        <v>635</v>
      </c>
      <c r="D33" s="370"/>
      <c r="E33" s="369"/>
    </row>
    <row r="34" spans="1:5" ht="12.75" customHeight="1" x14ac:dyDescent="0.2">
      <c r="A34" s="367"/>
      <c r="B34" s="367"/>
      <c r="C34" s="371" t="s">
        <v>627</v>
      </c>
      <c r="D34" s="370"/>
      <c r="E34" s="369"/>
    </row>
    <row r="35" spans="1:5" ht="12.75" customHeight="1" x14ac:dyDescent="0.2">
      <c r="A35" s="367"/>
      <c r="B35" s="367"/>
      <c r="C35" s="371" t="s">
        <v>636</v>
      </c>
      <c r="D35" s="370">
        <f>1692+51269+8851+728+144+12296+4153+2671</f>
        <v>81804</v>
      </c>
      <c r="E35" s="370">
        <f>3353+75015+8851+728+144+23907+4153+2671</f>
        <v>118822</v>
      </c>
    </row>
    <row r="36" spans="1:5" ht="12.75" customHeight="1" x14ac:dyDescent="0.2">
      <c r="A36" s="367"/>
      <c r="B36" s="367"/>
      <c r="C36" s="368" t="s">
        <v>639</v>
      </c>
      <c r="D36" s="369">
        <v>0</v>
      </c>
      <c r="E36" s="369">
        <v>0</v>
      </c>
    </row>
    <row r="37" spans="1:5" ht="12.75" customHeight="1" x14ac:dyDescent="0.2">
      <c r="A37" s="367"/>
      <c r="B37" s="367"/>
      <c r="C37" s="367" t="s">
        <v>638</v>
      </c>
      <c r="D37" s="370"/>
      <c r="E37" s="369"/>
    </row>
    <row r="38" spans="1:5" ht="12.75" customHeight="1" x14ac:dyDescent="0.2">
      <c r="A38" s="367"/>
      <c r="B38" s="367"/>
      <c r="C38" s="371" t="s">
        <v>622</v>
      </c>
      <c r="D38" s="370"/>
      <c r="E38" s="369"/>
    </row>
    <row r="39" spans="1:5" ht="12.75" customHeight="1" x14ac:dyDescent="0.2">
      <c r="A39" s="367"/>
      <c r="B39" s="367"/>
      <c r="C39" s="367" t="s">
        <v>633</v>
      </c>
      <c r="D39" s="370"/>
      <c r="E39" s="369"/>
    </row>
    <row r="40" spans="1:5" ht="12.75" customHeight="1" x14ac:dyDescent="0.2">
      <c r="A40" s="367"/>
      <c r="B40" s="367"/>
      <c r="C40" s="371" t="s">
        <v>624</v>
      </c>
      <c r="D40" s="370"/>
      <c r="E40" s="369"/>
    </row>
    <row r="41" spans="1:5" ht="12.75" customHeight="1" x14ac:dyDescent="0.2">
      <c r="A41" s="367"/>
      <c r="B41" s="367"/>
      <c r="C41" s="371" t="s">
        <v>634</v>
      </c>
      <c r="D41" s="370"/>
      <c r="E41" s="369"/>
    </row>
    <row r="42" spans="1:5" x14ac:dyDescent="0.2">
      <c r="A42" s="367"/>
      <c r="B42" s="367"/>
      <c r="C42" s="371" t="s">
        <v>635</v>
      </c>
      <c r="D42" s="370"/>
      <c r="E42" s="369"/>
    </row>
    <row r="43" spans="1:5" ht="12.75" customHeight="1" x14ac:dyDescent="0.2">
      <c r="A43" s="367"/>
      <c r="B43" s="367"/>
      <c r="C43" s="371" t="s">
        <v>627</v>
      </c>
      <c r="D43" s="370"/>
      <c r="E43" s="369"/>
    </row>
    <row r="44" spans="1:5" ht="12.75" customHeight="1" x14ac:dyDescent="0.2">
      <c r="A44" s="377"/>
      <c r="B44" s="377"/>
      <c r="C44" s="371" t="s">
        <v>636</v>
      </c>
      <c r="D44" s="370"/>
      <c r="E44" s="378"/>
    </row>
    <row r="45" spans="1:5" ht="12.75" customHeight="1" x14ac:dyDescent="0.2">
      <c r="A45" s="367"/>
      <c r="B45" s="377"/>
      <c r="C45" s="368" t="s">
        <v>640</v>
      </c>
      <c r="D45" s="369">
        <f>SUM(D47+D53)</f>
        <v>0</v>
      </c>
      <c r="E45" s="369">
        <f>SUM(E47+E53)</f>
        <v>0</v>
      </c>
    </row>
    <row r="46" spans="1:5" ht="12.75" customHeight="1" x14ac:dyDescent="0.2">
      <c r="A46" s="367"/>
      <c r="B46" s="377"/>
      <c r="C46" s="367" t="s">
        <v>638</v>
      </c>
      <c r="D46" s="370"/>
      <c r="E46" s="378"/>
    </row>
    <row r="47" spans="1:5" ht="12.75" customHeight="1" x14ac:dyDescent="0.2">
      <c r="A47" s="367"/>
      <c r="B47" s="377"/>
      <c r="C47" s="371" t="s">
        <v>622</v>
      </c>
      <c r="D47" s="370"/>
      <c r="E47" s="379"/>
    </row>
    <row r="48" spans="1:5" ht="12.75" customHeight="1" x14ac:dyDescent="0.2">
      <c r="A48" s="367"/>
      <c r="B48" s="377"/>
      <c r="C48" s="367" t="s">
        <v>633</v>
      </c>
      <c r="D48" s="370"/>
      <c r="E48" s="378"/>
    </row>
    <row r="49" spans="1:5" ht="12.75" customHeight="1" x14ac:dyDescent="0.2">
      <c r="A49" s="367"/>
      <c r="B49" s="377"/>
      <c r="C49" s="371" t="s">
        <v>624</v>
      </c>
      <c r="D49" s="370"/>
      <c r="E49" s="378"/>
    </row>
    <row r="50" spans="1:5" ht="12.75" customHeight="1" x14ac:dyDescent="0.2">
      <c r="A50" s="367"/>
      <c r="B50" s="377"/>
      <c r="C50" s="371" t="s">
        <v>634</v>
      </c>
      <c r="D50" s="370"/>
      <c r="E50" s="378"/>
    </row>
    <row r="51" spans="1:5" x14ac:dyDescent="0.2">
      <c r="A51" s="367"/>
      <c r="B51" s="377"/>
      <c r="C51" s="371" t="s">
        <v>635</v>
      </c>
      <c r="D51" s="370"/>
      <c r="E51" s="378"/>
    </row>
    <row r="52" spans="1:5" ht="12.75" customHeight="1" x14ac:dyDescent="0.2">
      <c r="A52" s="367"/>
      <c r="B52" s="377"/>
      <c r="C52" s="371" t="s">
        <v>627</v>
      </c>
      <c r="D52" s="370"/>
      <c r="E52" s="379"/>
    </row>
    <row r="53" spans="1:5" ht="12.75" customHeight="1" x14ac:dyDescent="0.2">
      <c r="A53" s="367"/>
      <c r="B53" s="377"/>
      <c r="C53" s="371" t="s">
        <v>641</v>
      </c>
      <c r="D53" s="370">
        <v>0</v>
      </c>
      <c r="E53" s="380">
        <v>0</v>
      </c>
    </row>
    <row r="54" spans="1:5" ht="12.75" customHeight="1" x14ac:dyDescent="0.2">
      <c r="A54" s="367"/>
      <c r="B54" s="367"/>
      <c r="C54" s="368" t="s">
        <v>642</v>
      </c>
      <c r="D54" s="369"/>
      <c r="E54" s="378"/>
    </row>
    <row r="55" spans="1:5" x14ac:dyDescent="0.2">
      <c r="A55" s="367"/>
      <c r="B55" s="367"/>
      <c r="C55" s="367" t="s">
        <v>638</v>
      </c>
      <c r="D55" s="370"/>
      <c r="E55" s="378"/>
    </row>
    <row r="56" spans="1:5" ht="12.75" customHeight="1" x14ac:dyDescent="0.2">
      <c r="A56" s="367"/>
      <c r="B56" s="367"/>
      <c r="C56" s="371" t="s">
        <v>622</v>
      </c>
      <c r="D56" s="370"/>
      <c r="E56" s="378"/>
    </row>
    <row r="57" spans="1:5" ht="12.75" customHeight="1" x14ac:dyDescent="0.2">
      <c r="A57" s="367"/>
      <c r="B57" s="367"/>
      <c r="C57" s="367" t="s">
        <v>633</v>
      </c>
      <c r="D57" s="370"/>
      <c r="E57" s="378"/>
    </row>
    <row r="58" spans="1:5" ht="12.75" customHeight="1" x14ac:dyDescent="0.2">
      <c r="A58" s="367"/>
      <c r="B58" s="367"/>
      <c r="C58" s="371" t="s">
        <v>624</v>
      </c>
      <c r="D58" s="370"/>
      <c r="E58" s="378"/>
    </row>
    <row r="59" spans="1:5" ht="12.75" customHeight="1" x14ac:dyDescent="0.2">
      <c r="A59" s="367"/>
      <c r="B59" s="367"/>
      <c r="C59" s="371" t="s">
        <v>634</v>
      </c>
      <c r="D59" s="370"/>
      <c r="E59" s="378"/>
    </row>
    <row r="60" spans="1:5" x14ac:dyDescent="0.2">
      <c r="A60" s="367"/>
      <c r="B60" s="367"/>
      <c r="C60" s="371" t="s">
        <v>635</v>
      </c>
      <c r="D60" s="370"/>
      <c r="E60" s="378"/>
    </row>
    <row r="61" spans="1:5" ht="12.75" customHeight="1" x14ac:dyDescent="0.2">
      <c r="A61" s="367"/>
      <c r="B61" s="367"/>
      <c r="C61" s="371" t="s">
        <v>627</v>
      </c>
      <c r="D61" s="370"/>
      <c r="E61" s="378"/>
    </row>
    <row r="62" spans="1:5" ht="12.75" customHeight="1" x14ac:dyDescent="0.2">
      <c r="A62" s="367"/>
      <c r="B62" s="367"/>
      <c r="C62" s="371" t="s">
        <v>641</v>
      </c>
      <c r="D62" s="370"/>
      <c r="E62" s="378"/>
    </row>
    <row r="63" spans="1:5" ht="12.75" customHeight="1" x14ac:dyDescent="0.2">
      <c r="A63" s="367"/>
      <c r="B63" s="368" t="s">
        <v>643</v>
      </c>
      <c r="C63" s="381" t="s">
        <v>644</v>
      </c>
      <c r="D63" s="369">
        <f>SUM(D66+D72)</f>
        <v>196506</v>
      </c>
      <c r="E63" s="369">
        <f>SUM(E66+E72)</f>
        <v>196506</v>
      </c>
    </row>
    <row r="64" spans="1:5" ht="12.75" customHeight="1" x14ac:dyDescent="0.2">
      <c r="A64" s="367"/>
      <c r="B64" s="367"/>
      <c r="C64" s="367" t="s">
        <v>645</v>
      </c>
      <c r="D64" s="370"/>
      <c r="E64" s="378"/>
    </row>
    <row r="65" spans="1:5" ht="12.75" customHeight="1" x14ac:dyDescent="0.2">
      <c r="A65" s="367"/>
      <c r="B65" s="367"/>
      <c r="C65" s="367" t="s">
        <v>638</v>
      </c>
      <c r="D65" s="370"/>
      <c r="E65" s="378"/>
    </row>
    <row r="66" spans="1:5" ht="12.75" customHeight="1" x14ac:dyDescent="0.2">
      <c r="A66" s="377"/>
      <c r="B66" s="377"/>
      <c r="C66" s="371" t="s">
        <v>622</v>
      </c>
      <c r="D66" s="370"/>
      <c r="E66" s="378"/>
    </row>
    <row r="67" spans="1:5" ht="12.75" customHeight="1" x14ac:dyDescent="0.2">
      <c r="A67" s="377"/>
      <c r="B67" s="377"/>
      <c r="C67" s="367" t="s">
        <v>633</v>
      </c>
      <c r="D67" s="370"/>
      <c r="E67" s="378"/>
    </row>
    <row r="68" spans="1:5" ht="12.75" customHeight="1" x14ac:dyDescent="0.2">
      <c r="A68" s="377"/>
      <c r="B68" s="377"/>
      <c r="C68" s="371" t="s">
        <v>624</v>
      </c>
      <c r="D68" s="370"/>
      <c r="E68" s="378"/>
    </row>
    <row r="69" spans="1:5" ht="12.75" customHeight="1" x14ac:dyDescent="0.2">
      <c r="A69" s="377"/>
      <c r="B69" s="377"/>
      <c r="C69" s="371" t="s">
        <v>634</v>
      </c>
      <c r="D69" s="370"/>
      <c r="E69" s="378"/>
    </row>
    <row r="70" spans="1:5" ht="17.25" customHeight="1" x14ac:dyDescent="0.2">
      <c r="A70" s="377"/>
      <c r="B70" s="377"/>
      <c r="C70" s="371" t="s">
        <v>635</v>
      </c>
      <c r="D70" s="370"/>
      <c r="E70" s="378"/>
    </row>
    <row r="71" spans="1:5" ht="12.75" customHeight="1" x14ac:dyDescent="0.2">
      <c r="A71" s="377"/>
      <c r="B71" s="377"/>
      <c r="C71" s="371" t="s">
        <v>627</v>
      </c>
      <c r="D71" s="370"/>
      <c r="E71" s="378"/>
    </row>
    <row r="72" spans="1:5" ht="12.75" customHeight="1" x14ac:dyDescent="0.2">
      <c r="A72" s="377"/>
      <c r="B72" s="377"/>
      <c r="C72" s="371" t="s">
        <v>641</v>
      </c>
      <c r="D72" s="370">
        <v>196506</v>
      </c>
      <c r="E72" s="380">
        <v>196506</v>
      </c>
    </row>
    <row r="73" spans="1:5" ht="12.75" customHeight="1" x14ac:dyDescent="0.2">
      <c r="A73" s="377"/>
      <c r="B73" s="377"/>
      <c r="C73" s="367" t="s">
        <v>646</v>
      </c>
      <c r="D73" s="370"/>
      <c r="E73" s="378"/>
    </row>
    <row r="74" spans="1:5" ht="12.75" customHeight="1" x14ac:dyDescent="0.2">
      <c r="A74" s="377"/>
      <c r="B74" s="377"/>
      <c r="C74" s="367" t="s">
        <v>638</v>
      </c>
      <c r="D74" s="370"/>
      <c r="E74" s="378"/>
    </row>
    <row r="75" spans="1:5" ht="12.75" customHeight="1" x14ac:dyDescent="0.2">
      <c r="A75" s="377"/>
      <c r="B75" s="377"/>
      <c r="C75" s="371" t="s">
        <v>622</v>
      </c>
      <c r="D75" s="370"/>
      <c r="E75" s="378"/>
    </row>
    <row r="76" spans="1:5" ht="12.75" customHeight="1" x14ac:dyDescent="0.2">
      <c r="A76" s="377"/>
      <c r="B76" s="377"/>
      <c r="C76" s="367" t="s">
        <v>647</v>
      </c>
      <c r="D76" s="370"/>
      <c r="E76" s="378"/>
    </row>
    <row r="77" spans="1:5" ht="12.75" customHeight="1" x14ac:dyDescent="0.2">
      <c r="A77" s="377"/>
      <c r="B77" s="377"/>
      <c r="C77" s="371" t="s">
        <v>624</v>
      </c>
      <c r="D77" s="370"/>
      <c r="E77" s="378"/>
    </row>
    <row r="78" spans="1:5" ht="12.75" customHeight="1" x14ac:dyDescent="0.2">
      <c r="A78" s="377"/>
      <c r="B78" s="377"/>
      <c r="C78" s="371" t="s">
        <v>634</v>
      </c>
      <c r="D78" s="370"/>
      <c r="E78" s="378"/>
    </row>
    <row r="79" spans="1:5" x14ac:dyDescent="0.2">
      <c r="A79" s="377"/>
      <c r="B79" s="377"/>
      <c r="C79" s="371" t="s">
        <v>635</v>
      </c>
      <c r="D79" s="370"/>
      <c r="E79" s="378"/>
    </row>
    <row r="80" spans="1:5" ht="12.75" customHeight="1" x14ac:dyDescent="0.2">
      <c r="A80" s="377"/>
      <c r="B80" s="377"/>
      <c r="C80" s="371" t="s">
        <v>627</v>
      </c>
      <c r="D80" s="370"/>
      <c r="E80" s="378"/>
    </row>
    <row r="81" spans="1:13" ht="12.75" customHeight="1" x14ac:dyDescent="0.2">
      <c r="A81" s="377"/>
      <c r="B81" s="377"/>
      <c r="C81" s="371" t="s">
        <v>636</v>
      </c>
      <c r="D81" s="370"/>
      <c r="E81" s="378"/>
    </row>
    <row r="82" spans="1:13" ht="12.75" customHeight="1" x14ac:dyDescent="0.2">
      <c r="A82" s="377"/>
      <c r="B82" s="377"/>
      <c r="C82" s="367" t="s">
        <v>648</v>
      </c>
      <c r="D82" s="370"/>
      <c r="E82" s="378"/>
    </row>
    <row r="83" spans="1:13" ht="12.75" customHeight="1" x14ac:dyDescent="0.2">
      <c r="A83" s="377"/>
      <c r="B83" s="377"/>
      <c r="C83" s="367" t="s">
        <v>638</v>
      </c>
      <c r="D83" s="370"/>
      <c r="E83" s="378"/>
    </row>
    <row r="84" spans="1:13" ht="12.75" customHeight="1" x14ac:dyDescent="0.2">
      <c r="A84" s="377"/>
      <c r="B84" s="377"/>
      <c r="C84" s="371" t="s">
        <v>622</v>
      </c>
      <c r="D84" s="370"/>
      <c r="E84" s="378"/>
    </row>
    <row r="85" spans="1:13" ht="12.75" customHeight="1" x14ac:dyDescent="0.2">
      <c r="A85" s="377"/>
      <c r="B85" s="377"/>
      <c r="C85" s="367" t="s">
        <v>633</v>
      </c>
      <c r="D85" s="370"/>
      <c r="E85" s="378"/>
    </row>
    <row r="86" spans="1:13" ht="12.75" customHeight="1" x14ac:dyDescent="0.2">
      <c r="A86" s="377"/>
      <c r="B86" s="377"/>
      <c r="C86" s="371" t="s">
        <v>624</v>
      </c>
      <c r="D86" s="370"/>
      <c r="E86" s="378"/>
    </row>
    <row r="87" spans="1:13" ht="12.75" customHeight="1" x14ac:dyDescent="0.2">
      <c r="A87" s="377"/>
      <c r="B87" s="377"/>
      <c r="C87" s="371" t="s">
        <v>634</v>
      </c>
      <c r="D87" s="370"/>
      <c r="E87" s="378"/>
    </row>
    <row r="88" spans="1:13" x14ac:dyDescent="0.2">
      <c r="A88" s="377"/>
      <c r="B88" s="377"/>
      <c r="C88" s="371" t="s">
        <v>635</v>
      </c>
      <c r="D88" s="370"/>
      <c r="E88" s="378"/>
    </row>
    <row r="89" spans="1:13" ht="12.75" customHeight="1" x14ac:dyDescent="0.2">
      <c r="A89" s="377"/>
      <c r="B89" s="377"/>
      <c r="C89" s="371" t="s">
        <v>627</v>
      </c>
      <c r="D89" s="370"/>
      <c r="E89" s="378"/>
    </row>
    <row r="90" spans="1:13" ht="12.75" customHeight="1" x14ac:dyDescent="0.2">
      <c r="A90" s="377"/>
      <c r="B90" s="377"/>
      <c r="C90" s="371" t="s">
        <v>641</v>
      </c>
      <c r="D90" s="370"/>
      <c r="E90" s="378"/>
    </row>
    <row r="91" spans="1:13" ht="14.25" customHeight="1" x14ac:dyDescent="0.2">
      <c r="A91" s="373"/>
      <c r="B91" s="367" t="s">
        <v>649</v>
      </c>
      <c r="C91" s="382" t="s">
        <v>650</v>
      </c>
      <c r="D91" s="370"/>
      <c r="E91" s="369"/>
      <c r="F91" s="866"/>
      <c r="G91" s="866"/>
      <c r="H91" s="866"/>
      <c r="I91" s="866"/>
      <c r="J91" s="866"/>
      <c r="K91" s="866"/>
      <c r="L91" s="383"/>
      <c r="M91" s="383"/>
    </row>
    <row r="92" spans="1:13" ht="12.75" customHeight="1" x14ac:dyDescent="0.2">
      <c r="A92" s="384" t="s">
        <v>651</v>
      </c>
      <c r="B92" s="384"/>
      <c r="C92" s="384" t="s">
        <v>652</v>
      </c>
      <c r="D92" s="369">
        <f>SUM(D93:D94)</f>
        <v>160</v>
      </c>
      <c r="E92" s="369">
        <f>SUM(E93:E94)</f>
        <v>160</v>
      </c>
    </row>
    <row r="93" spans="1:13" ht="12.75" customHeight="1" x14ac:dyDescent="0.2">
      <c r="A93" s="377"/>
      <c r="B93" s="367" t="s">
        <v>619</v>
      </c>
      <c r="C93" s="367" t="s">
        <v>653</v>
      </c>
      <c r="D93" s="370">
        <v>0</v>
      </c>
      <c r="E93" s="380">
        <v>0</v>
      </c>
    </row>
    <row r="94" spans="1:13" ht="12.75" customHeight="1" x14ac:dyDescent="0.2">
      <c r="A94" s="377"/>
      <c r="B94" s="367" t="s">
        <v>629</v>
      </c>
      <c r="C94" s="367" t="s">
        <v>654</v>
      </c>
      <c r="D94" s="370">
        <v>160</v>
      </c>
      <c r="E94" s="378">
        <v>160</v>
      </c>
    </row>
    <row r="95" spans="1:13" ht="12.75" customHeight="1" x14ac:dyDescent="0.2">
      <c r="A95" s="385" t="s">
        <v>655</v>
      </c>
      <c r="B95" s="368"/>
      <c r="C95" s="384" t="s">
        <v>656</v>
      </c>
      <c r="D95" s="369">
        <f>'13.Mérleg'!F29</f>
        <v>1349970</v>
      </c>
      <c r="E95" s="378">
        <f>D95</f>
        <v>1349970</v>
      </c>
    </row>
    <row r="96" spans="1:13" ht="12.75" customHeight="1" x14ac:dyDescent="0.2">
      <c r="A96" s="385" t="s">
        <v>657</v>
      </c>
      <c r="B96" s="368"/>
      <c r="C96" s="384" t="s">
        <v>658</v>
      </c>
      <c r="D96" s="369">
        <f>'13.Mérleg'!F50</f>
        <v>96646</v>
      </c>
      <c r="E96" s="378">
        <f t="shared" ref="E96:E101" si="0">D96</f>
        <v>96646</v>
      </c>
    </row>
    <row r="97" spans="1:5" ht="12.75" hidden="1" customHeight="1" x14ac:dyDescent="0.2">
      <c r="A97" s="386"/>
      <c r="B97" s="367" t="s">
        <v>619</v>
      </c>
      <c r="C97" s="367" t="s">
        <v>659</v>
      </c>
      <c r="D97" s="370"/>
      <c r="E97" s="378">
        <f t="shared" si="0"/>
        <v>0</v>
      </c>
    </row>
    <row r="98" spans="1:5" ht="12.75" hidden="1" customHeight="1" x14ac:dyDescent="0.2">
      <c r="A98" s="386"/>
      <c r="B98" s="367" t="s">
        <v>629</v>
      </c>
      <c r="C98" s="367" t="s">
        <v>660</v>
      </c>
      <c r="D98" s="370"/>
      <c r="E98" s="378">
        <f t="shared" si="0"/>
        <v>0</v>
      </c>
    </row>
    <row r="99" spans="1:5" ht="12.75" hidden="1" customHeight="1" x14ac:dyDescent="0.2">
      <c r="A99" s="386"/>
      <c r="B99" s="367" t="s">
        <v>643</v>
      </c>
      <c r="C99" s="367" t="s">
        <v>661</v>
      </c>
      <c r="D99" s="370"/>
      <c r="E99" s="378">
        <f t="shared" si="0"/>
        <v>0</v>
      </c>
    </row>
    <row r="100" spans="1:5" ht="12.75" customHeight="1" x14ac:dyDescent="0.2">
      <c r="A100" s="385" t="s">
        <v>662</v>
      </c>
      <c r="B100" s="368"/>
      <c r="C100" s="384" t="s">
        <v>663</v>
      </c>
      <c r="D100" s="369">
        <f>'13.Mérleg'!F58</f>
        <v>1155</v>
      </c>
      <c r="E100" s="378">
        <f t="shared" si="0"/>
        <v>1155</v>
      </c>
    </row>
    <row r="101" spans="1:5" ht="12.75" customHeight="1" x14ac:dyDescent="0.2">
      <c r="A101" s="385" t="s">
        <v>664</v>
      </c>
      <c r="B101" s="368"/>
      <c r="C101" s="384" t="s">
        <v>665</v>
      </c>
      <c r="D101" s="369">
        <f>'13.Mérleg'!F61</f>
        <v>0</v>
      </c>
      <c r="E101" s="378">
        <f t="shared" si="0"/>
        <v>0</v>
      </c>
    </row>
    <row r="102" spans="1:5" ht="21.75" customHeight="1" x14ac:dyDescent="0.2">
      <c r="A102" s="857" t="s">
        <v>666</v>
      </c>
      <c r="B102" s="857"/>
      <c r="C102" s="857"/>
      <c r="D102" s="387">
        <f>SUM(D7+D92+D95+D96+D100+D101)</f>
        <v>6469604</v>
      </c>
      <c r="E102" s="387">
        <f>SUM(E7+E92+E95+E96+E100+E101)</f>
        <v>7156970</v>
      </c>
    </row>
    <row r="103" spans="1:5" ht="16.5" customHeight="1" x14ac:dyDescent="0.2">
      <c r="A103" s="388"/>
      <c r="E103" s="389"/>
    </row>
    <row r="104" spans="1:5" ht="26.25" customHeight="1" x14ac:dyDescent="0.2">
      <c r="A104" s="854" t="s">
        <v>667</v>
      </c>
      <c r="B104" s="854"/>
      <c r="C104" s="854"/>
      <c r="D104" s="854"/>
      <c r="E104" s="854"/>
    </row>
    <row r="105" spans="1:5" ht="13.5" thickBot="1" x14ac:dyDescent="0.25">
      <c r="B105" s="390"/>
      <c r="C105" s="390"/>
      <c r="D105" s="390"/>
      <c r="E105" s="391" t="s">
        <v>418</v>
      </c>
    </row>
    <row r="106" spans="1:5" ht="26.25" customHeight="1" thickBot="1" x14ac:dyDescent="0.25">
      <c r="A106" s="858" t="s">
        <v>71</v>
      </c>
      <c r="B106" s="859"/>
      <c r="C106" s="859"/>
      <c r="D106" s="860"/>
      <c r="E106" s="392" t="s">
        <v>701</v>
      </c>
    </row>
    <row r="107" spans="1:5" ht="13.5" customHeight="1" x14ac:dyDescent="0.2">
      <c r="A107" s="393" t="s">
        <v>668</v>
      </c>
      <c r="B107" s="861" t="s">
        <v>669</v>
      </c>
      <c r="C107" s="861"/>
      <c r="D107" s="394"/>
      <c r="E107" s="395">
        <v>294286</v>
      </c>
    </row>
    <row r="108" spans="1:5" ht="13.5" customHeight="1" x14ac:dyDescent="0.2">
      <c r="A108" s="396" t="s">
        <v>670</v>
      </c>
      <c r="B108" s="862" t="s">
        <v>671</v>
      </c>
      <c r="C108" s="862"/>
      <c r="D108" s="377"/>
      <c r="E108" s="370"/>
    </row>
    <row r="109" spans="1:5" ht="13.5" customHeight="1" x14ac:dyDescent="0.2">
      <c r="A109" s="396" t="s">
        <v>672</v>
      </c>
      <c r="B109" s="862" t="s">
        <v>673</v>
      </c>
      <c r="C109" s="862"/>
      <c r="D109" s="377"/>
      <c r="E109" s="370"/>
    </row>
    <row r="110" spans="1:5" ht="13.5" customHeight="1" x14ac:dyDescent="0.2">
      <c r="A110" s="396" t="s">
        <v>674</v>
      </c>
      <c r="B110" s="862" t="s">
        <v>675</v>
      </c>
      <c r="C110" s="862"/>
      <c r="D110" s="377"/>
      <c r="E110" s="369"/>
    </row>
    <row r="111" spans="1:5" ht="12.75" customHeight="1" x14ac:dyDescent="0.2">
      <c r="A111" s="396" t="s">
        <v>676</v>
      </c>
      <c r="B111" s="862" t="s">
        <v>677</v>
      </c>
      <c r="C111" s="862"/>
      <c r="D111" s="377"/>
      <c r="E111" s="369"/>
    </row>
    <row r="112" spans="1:5" ht="13.5" customHeight="1" x14ac:dyDescent="0.2">
      <c r="A112" s="856" t="s">
        <v>678</v>
      </c>
      <c r="B112" s="856"/>
      <c r="C112" s="856"/>
      <c r="D112" s="397"/>
      <c r="E112" s="369">
        <f>SUM(E107:E111)</f>
        <v>294286</v>
      </c>
    </row>
    <row r="113" spans="1:5" ht="15.75" x14ac:dyDescent="0.2">
      <c r="A113" s="398"/>
    </row>
    <row r="114" spans="1:5" ht="15.75" x14ac:dyDescent="0.2">
      <c r="A114" s="855" t="s">
        <v>679</v>
      </c>
      <c r="B114" s="855"/>
      <c r="C114" s="855"/>
      <c r="D114" s="855"/>
      <c r="E114" s="855"/>
    </row>
    <row r="115" spans="1:5" ht="15.75" x14ac:dyDescent="0.2">
      <c r="A115" s="855" t="s">
        <v>680</v>
      </c>
      <c r="B115" s="855"/>
      <c r="C115" s="855"/>
      <c r="D115" s="855"/>
      <c r="E115" s="855"/>
    </row>
    <row r="116" spans="1:5" ht="15.75" x14ac:dyDescent="0.2">
      <c r="A116" s="855" t="s">
        <v>681</v>
      </c>
      <c r="B116" s="855"/>
      <c r="C116" s="855"/>
      <c r="D116" s="855"/>
      <c r="E116" s="855"/>
    </row>
    <row r="117" spans="1:5" ht="15.75" x14ac:dyDescent="0.2">
      <c r="A117" s="399"/>
      <c r="B117" s="399"/>
      <c r="C117" s="399"/>
      <c r="D117" s="400" t="s">
        <v>682</v>
      </c>
      <c r="E117" s="400" t="s">
        <v>683</v>
      </c>
    </row>
    <row r="118" spans="1:5" x14ac:dyDescent="0.2">
      <c r="A118" s="401" t="s">
        <v>668</v>
      </c>
      <c r="B118" s="849" t="s">
        <v>684</v>
      </c>
      <c r="C118" s="849"/>
      <c r="D118" s="402"/>
      <c r="E118" s="403" t="s">
        <v>66</v>
      </c>
    </row>
    <row r="119" spans="1:5" x14ac:dyDescent="0.2">
      <c r="A119" s="401"/>
      <c r="B119" s="404"/>
      <c r="C119" s="405"/>
      <c r="D119" s="405"/>
      <c r="E119" s="403"/>
    </row>
    <row r="120" spans="1:5" x14ac:dyDescent="0.2">
      <c r="A120" s="401"/>
      <c r="B120" s="404"/>
      <c r="C120" s="405"/>
      <c r="D120" s="405"/>
      <c r="E120" s="403"/>
    </row>
    <row r="121" spans="1:5" x14ac:dyDescent="0.2">
      <c r="A121" s="406"/>
      <c r="B121" s="407"/>
      <c r="C121" s="408"/>
      <c r="D121" s="408"/>
      <c r="E121" s="409"/>
    </row>
    <row r="122" spans="1:5" x14ac:dyDescent="0.2">
      <c r="A122" s="401" t="s">
        <v>670</v>
      </c>
      <c r="B122" s="849" t="s">
        <v>685</v>
      </c>
      <c r="C122" s="849"/>
      <c r="D122" s="402"/>
      <c r="E122" s="403" t="s">
        <v>66</v>
      </c>
    </row>
    <row r="123" spans="1:5" x14ac:dyDescent="0.2">
      <c r="A123" s="401"/>
      <c r="B123" s="404"/>
      <c r="C123" s="405"/>
      <c r="D123" s="405"/>
      <c r="E123" s="403"/>
    </row>
    <row r="124" spans="1:5" x14ac:dyDescent="0.2">
      <c r="A124" s="401"/>
      <c r="B124" s="404"/>
      <c r="C124" s="405"/>
      <c r="D124" s="405"/>
      <c r="E124" s="403"/>
    </row>
    <row r="125" spans="1:5" x14ac:dyDescent="0.2">
      <c r="A125" s="406"/>
      <c r="B125" s="410"/>
      <c r="C125" s="410"/>
      <c r="D125" s="410"/>
      <c r="E125" s="409"/>
    </row>
    <row r="126" spans="1:5" x14ac:dyDescent="0.2">
      <c r="A126" s="401" t="s">
        <v>672</v>
      </c>
      <c r="B126" s="849" t="s">
        <v>686</v>
      </c>
      <c r="C126" s="849"/>
      <c r="D126" s="402"/>
      <c r="E126" s="403" t="s">
        <v>66</v>
      </c>
    </row>
    <row r="127" spans="1:5" x14ac:dyDescent="0.2">
      <c r="A127" s="401"/>
      <c r="B127" s="411"/>
      <c r="C127" s="411"/>
      <c r="D127" s="411"/>
      <c r="E127" s="403"/>
    </row>
    <row r="128" spans="1:5" x14ac:dyDescent="0.2">
      <c r="A128" s="401"/>
      <c r="B128" s="411"/>
      <c r="C128" s="411"/>
      <c r="D128" s="411"/>
      <c r="E128" s="403"/>
    </row>
    <row r="129" spans="1:5" ht="9.75" customHeight="1" x14ac:dyDescent="0.2">
      <c r="A129" s="407"/>
      <c r="B129" s="407"/>
      <c r="C129" s="410"/>
      <c r="D129" s="410"/>
      <c r="E129" s="409"/>
    </row>
    <row r="130" spans="1:5" ht="11.25" customHeight="1" x14ac:dyDescent="0.2">
      <c r="A130" s="407"/>
      <c r="B130" s="407"/>
      <c r="C130" s="410"/>
      <c r="D130" s="410"/>
      <c r="E130" s="409"/>
    </row>
    <row r="131" spans="1:5" ht="13.5" customHeight="1" x14ac:dyDescent="0.2">
      <c r="A131" s="401" t="s">
        <v>674</v>
      </c>
      <c r="B131" s="850" t="s">
        <v>687</v>
      </c>
      <c r="C131" s="850"/>
      <c r="D131" s="368"/>
      <c r="E131" s="403" t="s">
        <v>66</v>
      </c>
    </row>
    <row r="132" spans="1:5" x14ac:dyDescent="0.2">
      <c r="A132" s="401"/>
      <c r="B132" s="401"/>
      <c r="C132" s="412"/>
      <c r="D132" s="412"/>
      <c r="E132" s="403"/>
    </row>
    <row r="133" spans="1:5" x14ac:dyDescent="0.2">
      <c r="A133" s="401"/>
      <c r="B133" s="401"/>
      <c r="C133" s="404"/>
      <c r="D133" s="404"/>
      <c r="E133" s="403"/>
    </row>
    <row r="134" spans="1:5" ht="15.75" x14ac:dyDescent="0.2">
      <c r="A134" s="398"/>
    </row>
    <row r="135" spans="1:5" ht="15.75" x14ac:dyDescent="0.2">
      <c r="A135" s="398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9" hidden="1" customWidth="1"/>
    <col min="4" max="4" width="9.42578125" style="9" hidden="1" customWidth="1"/>
  </cols>
  <sheetData>
    <row r="1" spans="1:4" x14ac:dyDescent="0.2">
      <c r="A1" s="3"/>
      <c r="B1" s="85" t="s">
        <v>583</v>
      </c>
    </row>
    <row r="2" spans="1:4" ht="50.25" customHeight="1" x14ac:dyDescent="0.25">
      <c r="A2" s="867" t="s">
        <v>702</v>
      </c>
      <c r="B2" s="868"/>
    </row>
    <row r="3" spans="1:4" x14ac:dyDescent="0.2">
      <c r="A3" s="3"/>
      <c r="B3" s="85"/>
    </row>
    <row r="4" spans="1:4" ht="13.5" thickBot="1" x14ac:dyDescent="0.25">
      <c r="A4" s="3"/>
      <c r="B4" s="85" t="s">
        <v>0</v>
      </c>
    </row>
    <row r="5" spans="1:4" ht="34.5" customHeight="1" thickBot="1" x14ac:dyDescent="0.25">
      <c r="A5" s="98" t="s">
        <v>71</v>
      </c>
      <c r="B5" s="218" t="s">
        <v>47</v>
      </c>
    </row>
    <row r="6" spans="1:4" ht="15.95" customHeight="1" x14ac:dyDescent="0.2">
      <c r="A6" s="100" t="s">
        <v>704</v>
      </c>
      <c r="B6" s="413">
        <f>'13.Mérleg'!D29</f>
        <v>158357</v>
      </c>
    </row>
    <row r="7" spans="1:4" ht="15.95" customHeight="1" x14ac:dyDescent="0.2">
      <c r="A7" s="104" t="s">
        <v>688</v>
      </c>
      <c r="B7" s="103">
        <f>SUM(D7-B6)</f>
        <v>1794185</v>
      </c>
      <c r="D7" s="37">
        <f>'1.Bev-kiad.'!H63</f>
        <v>1952542</v>
      </c>
    </row>
    <row r="8" spans="1:4" ht="15.95" customHeight="1" x14ac:dyDescent="0.2">
      <c r="A8" s="104" t="s">
        <v>689</v>
      </c>
      <c r="B8" s="103">
        <f>SUM(B6:B7)</f>
        <v>1952542</v>
      </c>
      <c r="D8" s="37"/>
    </row>
    <row r="9" spans="1:4" ht="16.5" customHeight="1" x14ac:dyDescent="0.2">
      <c r="A9" s="104" t="s">
        <v>690</v>
      </c>
      <c r="B9" s="103" t="e">
        <f>'1.Bev-kiad.'!H84</f>
        <v>#REF!</v>
      </c>
      <c r="D9" s="37" t="e">
        <f>'1.Bev-kiad.'!H84</f>
        <v>#REF!</v>
      </c>
    </row>
    <row r="10" spans="1:4" ht="16.5" customHeight="1" x14ac:dyDescent="0.2">
      <c r="A10" s="104" t="s">
        <v>691</v>
      </c>
      <c r="B10" s="103" t="e">
        <f>SUM(B8-B9)</f>
        <v>#REF!</v>
      </c>
      <c r="C10" s="37"/>
      <c r="D10" s="37" t="e">
        <f>SUM(D7-D9)</f>
        <v>#REF!</v>
      </c>
    </row>
    <row r="11" spans="1:4" ht="16.5" customHeight="1" x14ac:dyDescent="0.2">
      <c r="A11" s="104" t="s">
        <v>692</v>
      </c>
      <c r="B11" s="103">
        <v>0</v>
      </c>
      <c r="D11" s="37"/>
    </row>
    <row r="12" spans="1:4" ht="15.95" customHeight="1" x14ac:dyDescent="0.2">
      <c r="A12" s="414" t="s">
        <v>703</v>
      </c>
      <c r="B12" s="415">
        <f>'13.Mérleg'!F29</f>
        <v>1349970</v>
      </c>
      <c r="C12" s="219">
        <v>158357</v>
      </c>
    </row>
    <row r="13" spans="1:4" ht="15.95" customHeight="1" thickBot="1" x14ac:dyDescent="0.25">
      <c r="A13" s="416" t="s">
        <v>693</v>
      </c>
      <c r="B13" s="417">
        <f>SUM(B12-B6)</f>
        <v>1191613</v>
      </c>
    </row>
    <row r="14" spans="1:4" ht="18" customHeight="1" x14ac:dyDescent="0.2">
      <c r="C14" s="37">
        <f>SUM(C12-B12)</f>
        <v>-1191613</v>
      </c>
      <c r="D14" s="37" t="e">
        <f>SUM(D10-C12)</f>
        <v>#REF!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9" customWidth="1"/>
  </cols>
  <sheetData>
    <row r="1" spans="1:4" x14ac:dyDescent="0.2">
      <c r="A1" s="3"/>
      <c r="B1" s="85" t="s">
        <v>613</v>
      </c>
    </row>
    <row r="2" spans="1:4" ht="50.25" customHeight="1" x14ac:dyDescent="0.25">
      <c r="A2" s="867" t="s">
        <v>705</v>
      </c>
      <c r="B2" s="868"/>
    </row>
    <row r="3" spans="1:4" x14ac:dyDescent="0.2">
      <c r="A3" s="3"/>
      <c r="B3" s="85"/>
    </row>
    <row r="4" spans="1:4" ht="13.5" thickBot="1" x14ac:dyDescent="0.25">
      <c r="A4" s="3"/>
      <c r="B4" s="85" t="s">
        <v>0</v>
      </c>
    </row>
    <row r="5" spans="1:4" ht="34.5" customHeight="1" thickBot="1" x14ac:dyDescent="0.25">
      <c r="A5" s="98" t="s">
        <v>71</v>
      </c>
      <c r="B5" s="218" t="s">
        <v>47</v>
      </c>
    </row>
    <row r="6" spans="1:4" ht="31.5" customHeight="1" x14ac:dyDescent="0.2">
      <c r="A6" s="418" t="s">
        <v>694</v>
      </c>
      <c r="B6" s="413">
        <f>SUM(B7)</f>
        <v>0</v>
      </c>
    </row>
    <row r="7" spans="1:4" ht="15.95" customHeight="1" x14ac:dyDescent="0.2">
      <c r="A7" s="102" t="s">
        <v>695</v>
      </c>
      <c r="B7" s="419">
        <v>0</v>
      </c>
      <c r="D7" s="37"/>
    </row>
    <row r="8" spans="1:4" ht="25.5" customHeight="1" x14ac:dyDescent="0.2">
      <c r="A8" s="420" t="s">
        <v>696</v>
      </c>
      <c r="B8" s="103">
        <f>SUM(B9)</f>
        <v>3000</v>
      </c>
      <c r="D8" s="37"/>
    </row>
    <row r="9" spans="1:4" ht="16.5" customHeight="1" x14ac:dyDescent="0.2">
      <c r="A9" s="102" t="s">
        <v>695</v>
      </c>
      <c r="B9" s="419">
        <v>3000</v>
      </c>
      <c r="D9" s="37"/>
    </row>
    <row r="10" spans="1:4" s="9" customFormat="1" ht="18" customHeight="1" x14ac:dyDescent="0.2">
      <c r="A10" s="427" t="s">
        <v>707</v>
      </c>
      <c r="B10" s="426">
        <v>100</v>
      </c>
      <c r="C10" s="37"/>
      <c r="D10" s="37"/>
    </row>
    <row r="11" spans="1:4" s="421" customFormat="1" ht="19.5" customHeight="1" x14ac:dyDescent="0.2">
      <c r="A11" s="424" t="s">
        <v>706</v>
      </c>
      <c r="B11" s="425">
        <f>SUM(B12)</f>
        <v>10</v>
      </c>
      <c r="D11" s="422"/>
    </row>
    <row r="12" spans="1:4" ht="16.5" customHeight="1" thickBot="1" x14ac:dyDescent="0.25">
      <c r="A12" s="423" t="s">
        <v>719</v>
      </c>
      <c r="B12" s="428">
        <v>10</v>
      </c>
      <c r="D12" s="37"/>
    </row>
    <row r="13" spans="1:4" ht="15.95" customHeight="1" x14ac:dyDescent="0.2">
      <c r="A13" s="54"/>
      <c r="B13" s="109"/>
    </row>
    <row r="14" spans="1:4" ht="15.95" customHeight="1" x14ac:dyDescent="0.2">
      <c r="A14" s="54"/>
      <c r="B14" s="109"/>
    </row>
    <row r="15" spans="1:4" ht="15.95" customHeight="1" x14ac:dyDescent="0.2">
      <c r="A15" s="54"/>
      <c r="B15" s="109"/>
    </row>
    <row r="16" spans="1:4" ht="15.95" customHeight="1" x14ac:dyDescent="0.2">
      <c r="A16" s="54"/>
      <c r="B16" s="109"/>
    </row>
    <row r="17" spans="1:2" ht="15" customHeight="1" x14ac:dyDescent="0.2">
      <c r="A17" s="54"/>
      <c r="B17" s="54"/>
    </row>
    <row r="18" spans="1:2" ht="14.1" customHeight="1" x14ac:dyDescent="0.2">
      <c r="A18" s="54"/>
      <c r="B18" s="54"/>
    </row>
    <row r="19" spans="1:2" ht="14.1" customHeight="1" x14ac:dyDescent="0.2">
      <c r="A19" s="54"/>
      <c r="B19" s="54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9"/>
  <sheetViews>
    <sheetView zoomScaleNormal="100" workbookViewId="0">
      <selection activeCell="M25" sqref="M25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10.5703125" customWidth="1"/>
    <col min="14" max="14" width="10.85546875" customWidth="1"/>
    <col min="15" max="15" width="10.85546875" hidden="1" customWidth="1"/>
    <col min="16" max="16" width="12.42578125" style="559" hidden="1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77" t="s">
        <v>1053</v>
      </c>
      <c r="O1" s="9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81" t="str">
        <f>'1.Bev-kiad.'!F2</f>
        <v>a 20/2023.(IX.29.) önkormányzati rendelethez</v>
      </c>
      <c r="O2" s="91"/>
    </row>
    <row r="3" spans="1:1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81" t="s">
        <v>1363</v>
      </c>
      <c r="O3" s="91"/>
    </row>
    <row r="4" spans="1:17" ht="15.75" x14ac:dyDescent="0.25">
      <c r="A4" s="97" t="s">
        <v>1221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5"/>
      <c r="O4" s="91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/>
      <c r="O5" s="91"/>
    </row>
    <row r="6" spans="1:17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5" t="s">
        <v>0</v>
      </c>
      <c r="O6" s="91"/>
    </row>
    <row r="7" spans="1:17" ht="21.75" customHeight="1" thickBot="1" x14ac:dyDescent="0.25">
      <c r="A7" s="98" t="s">
        <v>71</v>
      </c>
      <c r="B7" s="99" t="s">
        <v>72</v>
      </c>
      <c r="C7" s="99" t="s">
        <v>73</v>
      </c>
      <c r="D7" s="99" t="s">
        <v>74</v>
      </c>
      <c r="E7" s="99" t="s">
        <v>75</v>
      </c>
      <c r="F7" s="99" t="s">
        <v>76</v>
      </c>
      <c r="G7" s="99" t="s">
        <v>77</v>
      </c>
      <c r="H7" s="99" t="s">
        <v>78</v>
      </c>
      <c r="I7" s="99" t="s">
        <v>79</v>
      </c>
      <c r="J7" s="99" t="s">
        <v>80</v>
      </c>
      <c r="K7" s="99" t="s">
        <v>81</v>
      </c>
      <c r="L7" s="99" t="s">
        <v>82</v>
      </c>
      <c r="M7" s="99" t="s">
        <v>83</v>
      </c>
      <c r="N7" s="218" t="s">
        <v>47</v>
      </c>
      <c r="O7" s="561"/>
    </row>
    <row r="8" spans="1:17" ht="15.95" customHeight="1" x14ac:dyDescent="0.2">
      <c r="A8" s="100" t="s">
        <v>84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01"/>
      <c r="O8" s="562"/>
    </row>
    <row r="9" spans="1:17" ht="15.95" customHeight="1" x14ac:dyDescent="0.2">
      <c r="A9" s="278" t="s">
        <v>473</v>
      </c>
      <c r="B9" s="33">
        <v>65191</v>
      </c>
      <c r="C9" s="33">
        <v>44249</v>
      </c>
      <c r="D9" s="33">
        <v>63883</v>
      </c>
      <c r="E9" s="33">
        <v>50023</v>
      </c>
      <c r="F9" s="33">
        <v>49717</v>
      </c>
      <c r="G9" s="33">
        <v>70413</v>
      </c>
      <c r="H9" s="33">
        <v>49761</v>
      </c>
      <c r="I9" s="33">
        <v>51533</v>
      </c>
      <c r="J9" s="33">
        <v>54866</v>
      </c>
      <c r="K9" s="33">
        <v>54866</v>
      </c>
      <c r="L9" s="33">
        <v>54867</v>
      </c>
      <c r="M9" s="33">
        <v>54866</v>
      </c>
      <c r="N9" s="103">
        <f t="shared" ref="N9:N17" si="0">SUM(B9:M9)</f>
        <v>664235</v>
      </c>
      <c r="O9" s="219">
        <f>SUM('1.Bev-kiad.'!C9)</f>
        <v>607198</v>
      </c>
      <c r="P9" s="219">
        <f>SUM('1.Bev-kiad.'!D9)</f>
        <v>626091</v>
      </c>
      <c r="Q9" s="76"/>
    </row>
    <row r="10" spans="1:17" ht="15.95" customHeight="1" x14ac:dyDescent="0.2">
      <c r="A10" s="278" t="s">
        <v>471</v>
      </c>
      <c r="B10" s="33"/>
      <c r="C10" s="33"/>
      <c r="D10" s="33"/>
      <c r="E10" s="33">
        <v>708662</v>
      </c>
      <c r="F10" s="33"/>
      <c r="G10" s="33"/>
      <c r="H10" s="33"/>
      <c r="I10" s="33"/>
      <c r="J10" s="33"/>
      <c r="K10" s="33"/>
      <c r="L10" s="33"/>
      <c r="M10" s="33">
        <v>18090</v>
      </c>
      <c r="N10" s="103">
        <f t="shared" si="0"/>
        <v>726752</v>
      </c>
      <c r="O10" s="37">
        <f>SUM('1.Bev-kiad.'!C16)</f>
        <v>10900</v>
      </c>
      <c r="P10" s="37">
        <f>SUM('1.Bev-kiad.'!D16)</f>
        <v>708662</v>
      </c>
      <c r="Q10" s="76"/>
    </row>
    <row r="11" spans="1:17" ht="15.75" customHeight="1" x14ac:dyDescent="0.2">
      <c r="A11" s="123" t="s">
        <v>360</v>
      </c>
      <c r="B11" s="33">
        <v>4197</v>
      </c>
      <c r="C11" s="33">
        <v>7520</v>
      </c>
      <c r="D11" s="33">
        <v>188920</v>
      </c>
      <c r="E11" s="33">
        <v>16323</v>
      </c>
      <c r="F11" s="33">
        <v>26330</v>
      </c>
      <c r="G11" s="33">
        <v>15007</v>
      </c>
      <c r="H11" s="33">
        <v>22521</v>
      </c>
      <c r="I11" s="33">
        <v>27607</v>
      </c>
      <c r="J11" s="33">
        <v>180000</v>
      </c>
      <c r="K11" s="33">
        <v>7020</v>
      </c>
      <c r="L11" s="33">
        <v>5000</v>
      </c>
      <c r="M11" s="33">
        <v>18535</v>
      </c>
      <c r="N11" s="103">
        <f t="shared" si="0"/>
        <v>518980</v>
      </c>
      <c r="O11" s="37">
        <f>SUM('1.Bev-kiad.'!C22)</f>
        <v>468980</v>
      </c>
      <c r="P11" s="37">
        <f>SUM('1.Bev-kiad.'!D22)</f>
        <v>468980</v>
      </c>
      <c r="Q11" s="76"/>
    </row>
    <row r="12" spans="1:17" ht="15.95" customHeight="1" x14ac:dyDescent="0.2">
      <c r="A12" s="102" t="s">
        <v>361</v>
      </c>
      <c r="B12" s="33">
        <v>9434</v>
      </c>
      <c r="C12" s="33">
        <v>4060</v>
      </c>
      <c r="D12" s="33">
        <v>63425</v>
      </c>
      <c r="E12" s="33">
        <v>5255</v>
      </c>
      <c r="F12" s="33">
        <v>10407</v>
      </c>
      <c r="G12" s="33">
        <v>23272</v>
      </c>
      <c r="H12" s="33">
        <v>42080</v>
      </c>
      <c r="I12" s="33">
        <v>31775</v>
      </c>
      <c r="J12" s="33">
        <v>8240</v>
      </c>
      <c r="K12" s="33">
        <v>8240</v>
      </c>
      <c r="L12" s="33">
        <v>8240</v>
      </c>
      <c r="M12" s="33">
        <v>8240</v>
      </c>
      <c r="N12" s="103">
        <f t="shared" si="0"/>
        <v>222668</v>
      </c>
      <c r="O12" s="37">
        <f>SUM('1.Bev-kiad.'!C29)</f>
        <v>159072</v>
      </c>
      <c r="P12" s="37">
        <f>SUM('1.Bev-kiad.'!D29)</f>
        <v>218358</v>
      </c>
      <c r="Q12" s="76"/>
    </row>
    <row r="13" spans="1:17" ht="15.95" customHeight="1" x14ac:dyDescent="0.2">
      <c r="A13" s="102" t="s">
        <v>363</v>
      </c>
      <c r="B13" s="33">
        <v>12</v>
      </c>
      <c r="C13" s="33">
        <v>14</v>
      </c>
      <c r="D13" s="33">
        <v>14</v>
      </c>
      <c r="E13" s="33">
        <v>14</v>
      </c>
      <c r="F13" s="33">
        <v>14</v>
      </c>
      <c r="G13" s="33">
        <v>14</v>
      </c>
      <c r="H13" s="33">
        <v>14</v>
      </c>
      <c r="I13" s="33">
        <v>200014</v>
      </c>
      <c r="J13" s="33">
        <v>250014</v>
      </c>
      <c r="K13" s="33">
        <v>125</v>
      </c>
      <c r="L13" s="33">
        <v>125</v>
      </c>
      <c r="M13" s="33">
        <v>126</v>
      </c>
      <c r="N13" s="103">
        <f t="shared" si="0"/>
        <v>450500</v>
      </c>
      <c r="O13" s="37">
        <f>SUM('1.Bev-kiad.'!C40)</f>
        <v>500</v>
      </c>
      <c r="P13" s="37">
        <f>SUM('1.Bev-kiad.'!D40)</f>
        <v>500</v>
      </c>
      <c r="Q13" s="76"/>
    </row>
    <row r="14" spans="1:17" ht="15.95" customHeight="1" x14ac:dyDescent="0.2">
      <c r="A14" s="102" t="s">
        <v>362</v>
      </c>
      <c r="B14" s="33"/>
      <c r="C14" s="33">
        <v>2372</v>
      </c>
      <c r="D14" s="33"/>
      <c r="E14" s="33"/>
      <c r="F14" s="33"/>
      <c r="G14" s="33"/>
      <c r="H14" s="33"/>
      <c r="I14" s="33"/>
      <c r="J14" s="33">
        <v>500</v>
      </c>
      <c r="K14" s="33"/>
      <c r="L14" s="33"/>
      <c r="M14" s="33">
        <v>40000</v>
      </c>
      <c r="N14" s="103">
        <f t="shared" si="0"/>
        <v>42872</v>
      </c>
      <c r="O14" s="37">
        <f>SUM('1.Bev-kiad.'!C46)</f>
        <v>40000</v>
      </c>
      <c r="P14" s="37">
        <f>SUM('1.Bev-kiad.'!D46)</f>
        <v>42372</v>
      </c>
      <c r="Q14" s="76"/>
    </row>
    <row r="15" spans="1:17" ht="15.95" customHeight="1" x14ac:dyDescent="0.2">
      <c r="A15" s="102" t="s">
        <v>472</v>
      </c>
      <c r="B15" s="33"/>
      <c r="C15" s="33"/>
      <c r="D15" s="33"/>
      <c r="E15" s="33"/>
      <c r="F15" s="33"/>
      <c r="G15" s="33"/>
      <c r="H15" s="33"/>
      <c r="I15" s="33"/>
      <c r="J15" s="33">
        <v>10294</v>
      </c>
      <c r="K15" s="33">
        <v>0</v>
      </c>
      <c r="L15" s="33"/>
      <c r="M15" s="33">
        <v>6</v>
      </c>
      <c r="N15" s="103">
        <f t="shared" si="0"/>
        <v>10300</v>
      </c>
      <c r="O15" s="37">
        <f>SUM('1.Bev-kiad.'!C50)</f>
        <v>10300</v>
      </c>
      <c r="P15" s="37">
        <f>SUM('1.Bev-kiad.'!D50)</f>
        <v>10300</v>
      </c>
      <c r="Q15" s="76"/>
    </row>
    <row r="16" spans="1:17" ht="15.95" customHeight="1" x14ac:dyDescent="0.2">
      <c r="A16" s="102" t="s">
        <v>429</v>
      </c>
      <c r="B16" s="33">
        <f>SUM('1.Bev-kiad.'!C55)</f>
        <v>724264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103">
        <f t="shared" ref="N16" si="1">SUM(B16:M16)</f>
        <v>724264</v>
      </c>
      <c r="O16" s="37">
        <f>SUM('1.Bev-kiad.'!C55)</f>
        <v>724264</v>
      </c>
      <c r="P16" s="37">
        <f>SUM('1.Bev-kiad.'!D55)</f>
        <v>724264</v>
      </c>
      <c r="Q16" s="76"/>
    </row>
    <row r="17" spans="1:17" ht="15.95" customHeight="1" x14ac:dyDescent="0.2">
      <c r="A17" s="102" t="s">
        <v>1366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>
        <v>350000</v>
      </c>
      <c r="N17" s="103">
        <f t="shared" si="0"/>
        <v>350000</v>
      </c>
      <c r="O17" s="37">
        <f>SUM('1.Bev-kiad.'!C60)</f>
        <v>0</v>
      </c>
      <c r="P17" s="37">
        <f>SUM('1.Bev-kiad.'!D60)</f>
        <v>350000</v>
      </c>
      <c r="Q17" s="76"/>
    </row>
    <row r="18" spans="1:17" ht="15.95" customHeight="1" x14ac:dyDescent="0.2">
      <c r="A18" s="104" t="s">
        <v>85</v>
      </c>
      <c r="B18" s="35">
        <f t="shared" ref="B18:N18" si="2">SUM(B9:B17)</f>
        <v>803098</v>
      </c>
      <c r="C18" s="35">
        <f t="shared" si="2"/>
        <v>58215</v>
      </c>
      <c r="D18" s="35">
        <f t="shared" si="2"/>
        <v>316242</v>
      </c>
      <c r="E18" s="35">
        <f t="shared" si="2"/>
        <v>780277</v>
      </c>
      <c r="F18" s="35">
        <f t="shared" si="2"/>
        <v>86468</v>
      </c>
      <c r="G18" s="35">
        <f t="shared" si="2"/>
        <v>108706</v>
      </c>
      <c r="H18" s="35">
        <f t="shared" si="2"/>
        <v>114376</v>
      </c>
      <c r="I18" s="35">
        <f t="shared" si="2"/>
        <v>310929</v>
      </c>
      <c r="J18" s="35">
        <f t="shared" si="2"/>
        <v>503914</v>
      </c>
      <c r="K18" s="35">
        <f t="shared" si="2"/>
        <v>70251</v>
      </c>
      <c r="L18" s="35">
        <f t="shared" si="2"/>
        <v>68232</v>
      </c>
      <c r="M18" s="35">
        <f t="shared" si="2"/>
        <v>489863</v>
      </c>
      <c r="N18" s="103">
        <f t="shared" si="2"/>
        <v>3710571</v>
      </c>
      <c r="O18" s="37">
        <f>SUM(O9:O17)</f>
        <v>2021214</v>
      </c>
      <c r="P18" s="37">
        <f>SUM(P9:P17)</f>
        <v>3149527</v>
      </c>
      <c r="Q18" s="76"/>
    </row>
    <row r="19" spans="1:17" ht="16.5" customHeight="1" x14ac:dyDescent="0.2">
      <c r="A19" s="104" t="s">
        <v>86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03"/>
      <c r="O19" s="93"/>
      <c r="P19" s="93"/>
      <c r="Q19" s="76"/>
    </row>
    <row r="20" spans="1:17" ht="15.95" customHeight="1" x14ac:dyDescent="0.2">
      <c r="A20" s="102" t="s">
        <v>87</v>
      </c>
      <c r="B20" s="33">
        <v>73562</v>
      </c>
      <c r="C20" s="33">
        <v>106500</v>
      </c>
      <c r="D20" s="33">
        <v>62499</v>
      </c>
      <c r="E20" s="33">
        <v>102186</v>
      </c>
      <c r="F20" s="33">
        <v>117581</v>
      </c>
      <c r="G20" s="33">
        <v>92613</v>
      </c>
      <c r="H20" s="33">
        <v>85073</v>
      </c>
      <c r="I20" s="33">
        <v>119678</v>
      </c>
      <c r="J20" s="33">
        <v>161961</v>
      </c>
      <c r="K20" s="33">
        <v>161961</v>
      </c>
      <c r="L20" s="33">
        <v>161961</v>
      </c>
      <c r="M20" s="33">
        <v>161961</v>
      </c>
      <c r="N20" s="103">
        <f t="shared" ref="N20:N25" si="3">SUM(B20:M20)</f>
        <v>1407536</v>
      </c>
      <c r="O20" s="219">
        <f>SUM('1.Bev-kiad.'!C65)-'1.Bev-kiad.'!C68</f>
        <v>1282286</v>
      </c>
      <c r="P20" s="219">
        <f>SUM('1.Bev-kiad.'!D65)-'1.Bev-kiad.'!D68</f>
        <v>1366187</v>
      </c>
      <c r="Q20" s="76"/>
    </row>
    <row r="21" spans="1:17" ht="15.95" customHeight="1" x14ac:dyDescent="0.2">
      <c r="A21" s="102" t="s">
        <v>88</v>
      </c>
      <c r="B21" s="33">
        <v>0</v>
      </c>
      <c r="C21" s="33">
        <v>30234</v>
      </c>
      <c r="D21" s="33">
        <v>4647</v>
      </c>
      <c r="E21" s="33">
        <v>25001</v>
      </c>
      <c r="F21" s="33"/>
      <c r="G21" s="33">
        <v>1504</v>
      </c>
      <c r="H21" s="33">
        <v>623</v>
      </c>
      <c r="I21" s="33"/>
      <c r="J21" s="33">
        <v>23286</v>
      </c>
      <c r="K21" s="33">
        <v>3128</v>
      </c>
      <c r="L21" s="33">
        <f>188751+186249+220552</f>
        <v>595552</v>
      </c>
      <c r="M21" s="33">
        <v>338941</v>
      </c>
      <c r="N21" s="103">
        <f t="shared" si="3"/>
        <v>1022916</v>
      </c>
      <c r="O21" s="219">
        <f>SUM('1.Bev-kiad.'!C71+'1.Bev-kiad.'!C72)</f>
        <v>450540</v>
      </c>
      <c r="P21" s="219">
        <f>SUM('1.Bev-kiad.'!D71+'1.Bev-kiad.'!D72)</f>
        <v>796778</v>
      </c>
      <c r="Q21" s="76"/>
    </row>
    <row r="22" spans="1:17" ht="15.95" hidden="1" customHeight="1" x14ac:dyDescent="0.2">
      <c r="A22" s="102" t="s">
        <v>722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03">
        <f t="shared" si="3"/>
        <v>0</v>
      </c>
      <c r="O22" s="37"/>
      <c r="P22" s="37"/>
      <c r="Q22" s="76"/>
    </row>
    <row r="23" spans="1:17" ht="15.95" customHeight="1" x14ac:dyDescent="0.2">
      <c r="A23" s="102" t="s">
        <v>444</v>
      </c>
      <c r="B23" s="33">
        <v>19840</v>
      </c>
      <c r="C23" s="33"/>
      <c r="D23" s="33">
        <v>14539</v>
      </c>
      <c r="E23" s="33"/>
      <c r="F23" s="33"/>
      <c r="G23" s="33">
        <v>14539</v>
      </c>
      <c r="H23" s="33"/>
      <c r="I23" s="33"/>
      <c r="J23" s="33">
        <v>14539</v>
      </c>
      <c r="K23" s="33"/>
      <c r="L23" s="33"/>
      <c r="M23" s="33">
        <f>14539</f>
        <v>14539</v>
      </c>
      <c r="N23" s="103">
        <f t="shared" si="3"/>
        <v>77996</v>
      </c>
      <c r="O23" s="37">
        <f>SUM('1.Bev-kiad.'!C77)</f>
        <v>77996</v>
      </c>
      <c r="P23" s="37">
        <f>SUM('1.Bev-kiad.'!D77)</f>
        <v>77996</v>
      </c>
      <c r="Q23" s="76"/>
    </row>
    <row r="24" spans="1:17" ht="16.5" customHeight="1" x14ac:dyDescent="0.2">
      <c r="A24" s="123" t="s">
        <v>1146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>
        <v>1202123</v>
      </c>
      <c r="N24" s="103">
        <f t="shared" si="3"/>
        <v>1202123</v>
      </c>
      <c r="O24" s="37">
        <f>SUM('1.Bev-kiad.'!C76+'1.Bev-kiad.'!C68)</f>
        <v>210392</v>
      </c>
      <c r="P24" s="37">
        <f>SUM('1.Bev-kiad.'!D76+'1.Bev-kiad.'!D68)</f>
        <v>908566</v>
      </c>
      <c r="Q24" s="76"/>
    </row>
    <row r="25" spans="1:17" ht="15.95" customHeight="1" x14ac:dyDescent="0.2">
      <c r="A25" s="104" t="s">
        <v>89</v>
      </c>
      <c r="B25" s="35">
        <f t="shared" ref="B25:M25" si="4">SUM(B20:B24)</f>
        <v>93402</v>
      </c>
      <c r="C25" s="35">
        <f t="shared" si="4"/>
        <v>136734</v>
      </c>
      <c r="D25" s="35">
        <f t="shared" si="4"/>
        <v>81685</v>
      </c>
      <c r="E25" s="35">
        <f t="shared" si="4"/>
        <v>127187</v>
      </c>
      <c r="F25" s="35">
        <f t="shared" si="4"/>
        <v>117581</v>
      </c>
      <c r="G25" s="35">
        <f t="shared" si="4"/>
        <v>108656</v>
      </c>
      <c r="H25" s="35">
        <f t="shared" si="4"/>
        <v>85696</v>
      </c>
      <c r="I25" s="35">
        <f t="shared" si="4"/>
        <v>119678</v>
      </c>
      <c r="J25" s="35">
        <f t="shared" si="4"/>
        <v>199786</v>
      </c>
      <c r="K25" s="35">
        <f t="shared" si="4"/>
        <v>165089</v>
      </c>
      <c r="L25" s="35">
        <f t="shared" si="4"/>
        <v>757513</v>
      </c>
      <c r="M25" s="35">
        <f t="shared" si="4"/>
        <v>1717564</v>
      </c>
      <c r="N25" s="103">
        <f t="shared" si="3"/>
        <v>3710571</v>
      </c>
      <c r="O25" s="37"/>
      <c r="P25" s="37"/>
      <c r="Q25" s="76"/>
    </row>
    <row r="26" spans="1:17" ht="15.95" customHeight="1" x14ac:dyDescent="0.2">
      <c r="A26" s="104" t="s">
        <v>90</v>
      </c>
      <c r="B26" s="105">
        <f t="shared" ref="B26:N26" si="5">SUM(B18-B25)</f>
        <v>709696</v>
      </c>
      <c r="C26" s="105">
        <f t="shared" si="5"/>
        <v>-78519</v>
      </c>
      <c r="D26" s="105">
        <f t="shared" si="5"/>
        <v>234557</v>
      </c>
      <c r="E26" s="105">
        <f t="shared" si="5"/>
        <v>653090</v>
      </c>
      <c r="F26" s="105">
        <f t="shared" si="5"/>
        <v>-31113</v>
      </c>
      <c r="G26" s="105">
        <f t="shared" si="5"/>
        <v>50</v>
      </c>
      <c r="H26" s="105">
        <f t="shared" si="5"/>
        <v>28680</v>
      </c>
      <c r="I26" s="105">
        <f t="shared" si="5"/>
        <v>191251</v>
      </c>
      <c r="J26" s="105">
        <f t="shared" si="5"/>
        <v>304128</v>
      </c>
      <c r="K26" s="105">
        <f t="shared" si="5"/>
        <v>-94838</v>
      </c>
      <c r="L26" s="105">
        <f t="shared" si="5"/>
        <v>-689281</v>
      </c>
      <c r="M26" s="105">
        <f t="shared" si="5"/>
        <v>-1227701</v>
      </c>
      <c r="N26" s="103">
        <f t="shared" si="5"/>
        <v>0</v>
      </c>
      <c r="O26" s="37"/>
      <c r="P26" s="37"/>
      <c r="Q26" s="76"/>
    </row>
    <row r="27" spans="1:17" ht="15.95" customHeight="1" thickBot="1" x14ac:dyDescent="0.25">
      <c r="A27" s="106" t="s">
        <v>91</v>
      </c>
      <c r="B27" s="107">
        <f>SUM(B26)</f>
        <v>709696</v>
      </c>
      <c r="C27" s="107">
        <f t="shared" ref="C27:M27" si="6">B27+C18-C25</f>
        <v>631177</v>
      </c>
      <c r="D27" s="107">
        <f t="shared" si="6"/>
        <v>865734</v>
      </c>
      <c r="E27" s="107">
        <f t="shared" si="6"/>
        <v>1518824</v>
      </c>
      <c r="F27" s="107">
        <f t="shared" si="6"/>
        <v>1487711</v>
      </c>
      <c r="G27" s="107">
        <f t="shared" si="6"/>
        <v>1487761</v>
      </c>
      <c r="H27" s="107">
        <f t="shared" si="6"/>
        <v>1516441</v>
      </c>
      <c r="I27" s="107">
        <f t="shared" si="6"/>
        <v>1707692</v>
      </c>
      <c r="J27" s="107">
        <f t="shared" si="6"/>
        <v>2011820</v>
      </c>
      <c r="K27" s="107">
        <f t="shared" si="6"/>
        <v>1916982</v>
      </c>
      <c r="L27" s="107">
        <f t="shared" si="6"/>
        <v>1227701</v>
      </c>
      <c r="M27" s="107">
        <f t="shared" si="6"/>
        <v>0</v>
      </c>
      <c r="N27" s="108">
        <f>SUM(N26)</f>
        <v>0</v>
      </c>
      <c r="O27" s="37">
        <f>SUM(O20:O26)</f>
        <v>2021214</v>
      </c>
      <c r="P27" s="37">
        <f>SUM(P20:P26)</f>
        <v>3149527</v>
      </c>
      <c r="Q27" s="76"/>
    </row>
    <row r="28" spans="1:17" ht="18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09"/>
      <c r="O28" s="37">
        <f>SUM(O27-O18)</f>
        <v>0</v>
      </c>
      <c r="P28" s="560"/>
    </row>
    <row r="29" spans="1:17" ht="18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09"/>
      <c r="O29" s="9"/>
    </row>
    <row r="30" spans="1:17" ht="15.95" customHeight="1" x14ac:dyDescent="0.2">
      <c r="A30" s="54"/>
      <c r="B30" s="54"/>
      <c r="C30" s="54"/>
      <c r="D30" s="54"/>
      <c r="E30" s="54"/>
      <c r="F30" s="54"/>
      <c r="G30" s="110"/>
      <c r="H30" s="54"/>
      <c r="I30" s="54"/>
      <c r="J30" s="54"/>
      <c r="K30" s="54"/>
      <c r="L30" s="54"/>
      <c r="M30" s="54"/>
      <c r="N30" s="109"/>
      <c r="O30" s="562"/>
    </row>
    <row r="31" spans="1:17" ht="15.9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09"/>
      <c r="O31" s="562"/>
    </row>
    <row r="32" spans="1:17" ht="15.9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109"/>
      <c r="O32" s="562"/>
    </row>
    <row r="33" spans="1:15" ht="15.9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09"/>
      <c r="O33" s="562"/>
    </row>
    <row r="34" spans="1:15" ht="15.95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109"/>
      <c r="O34" s="562"/>
    </row>
    <row r="35" spans="1:15" ht="1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5" ht="14.1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5" ht="14.1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5" ht="14.1" customHeight="1" x14ac:dyDescent="0.2"/>
    <row r="39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46"/>
  <sheetViews>
    <sheetView zoomScale="90" zoomScaleNormal="90" workbookViewId="0">
      <selection activeCell="A5" sqref="A5:H5"/>
    </sheetView>
  </sheetViews>
  <sheetFormatPr defaultRowHeight="12.75" x14ac:dyDescent="0.2"/>
  <cols>
    <col min="1" max="1" width="6.28515625" style="2" customWidth="1"/>
    <col min="2" max="2" width="64.28515625" customWidth="1"/>
    <col min="3" max="3" width="15.7109375" style="37" customWidth="1"/>
    <col min="4" max="4" width="15.42578125" style="37" customWidth="1"/>
    <col min="5" max="5" width="15.5703125" style="169" hidden="1" customWidth="1"/>
    <col min="6" max="6" width="14.42578125" style="37" customWidth="1"/>
    <col min="7" max="8" width="13.85546875" style="37" hidden="1" customWidth="1"/>
    <col min="9" max="9" width="12.140625" hidden="1" customWidth="1"/>
    <col min="10" max="10" width="10.85546875" hidden="1" customWidth="1"/>
    <col min="11" max="12" width="9.140625" hidden="1" customWidth="1"/>
    <col min="13" max="14" width="9.140625" customWidth="1"/>
  </cols>
  <sheetData>
    <row r="1" spans="1:43" ht="15" customHeight="1" x14ac:dyDescent="0.3">
      <c r="A1" s="56"/>
      <c r="B1" s="180"/>
      <c r="F1" s="181" t="s">
        <v>898</v>
      </c>
      <c r="G1" s="18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customHeight="1" x14ac:dyDescent="0.3">
      <c r="A2" s="56"/>
      <c r="B2" s="180"/>
      <c r="F2" s="181" t="s">
        <v>1384</v>
      </c>
      <c r="G2" s="1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3">
      <c r="A3" s="56"/>
      <c r="B3" s="180"/>
      <c r="E3" s="181"/>
      <c r="F3" s="181" t="s">
        <v>1312</v>
      </c>
      <c r="G3" s="18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758" t="s">
        <v>27</v>
      </c>
      <c r="B4" s="758"/>
      <c r="C4" s="766"/>
      <c r="D4" s="766"/>
      <c r="E4" s="766"/>
      <c r="F4" s="766"/>
      <c r="G4" s="766"/>
      <c r="H4" s="76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9.5" x14ac:dyDescent="0.35">
      <c r="A5" s="758" t="s">
        <v>1194</v>
      </c>
      <c r="B5" s="758"/>
      <c r="C5" s="766"/>
      <c r="D5" s="766"/>
      <c r="E5" s="766"/>
      <c r="F5" s="766"/>
      <c r="G5" s="766"/>
      <c r="H5" s="76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3.5" thickBot="1" x14ac:dyDescent="0.25">
      <c r="A6" s="56"/>
      <c r="B6" s="56"/>
      <c r="F6" s="181" t="s">
        <v>0</v>
      </c>
      <c r="G6" s="18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53.25" customHeight="1" thickBot="1" x14ac:dyDescent="0.25">
      <c r="A7" s="217" t="s">
        <v>118</v>
      </c>
      <c r="B7" s="45" t="s">
        <v>374</v>
      </c>
      <c r="C7" s="45" t="s">
        <v>883</v>
      </c>
      <c r="D7" s="45" t="s">
        <v>1311</v>
      </c>
      <c r="E7" s="45" t="s">
        <v>1370</v>
      </c>
      <c r="F7" s="45" t="s">
        <v>1378</v>
      </c>
      <c r="G7" s="311"/>
      <c r="H7" s="46" t="s">
        <v>919</v>
      </c>
      <c r="I7" s="2"/>
      <c r="J7" s="3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22.5" customHeight="1" x14ac:dyDescent="0.2">
      <c r="A8" s="147" t="s">
        <v>353</v>
      </c>
      <c r="B8" s="226" t="s">
        <v>338</v>
      </c>
      <c r="C8" s="173">
        <f>SUM(C9:C50)</f>
        <v>1296950</v>
      </c>
      <c r="D8" s="173">
        <f>SUM(D9:D50)</f>
        <v>2075263</v>
      </c>
      <c r="E8" s="173">
        <f>SUM(E9:E50)</f>
        <v>2075263</v>
      </c>
      <c r="F8" s="173">
        <f>SUM(F9:F50)</f>
        <v>2636307</v>
      </c>
      <c r="G8" s="173"/>
      <c r="H8" s="173">
        <f>SUM(H9:H50)</f>
        <v>1231494</v>
      </c>
      <c r="I8" s="2"/>
      <c r="J8" s="31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8" customHeight="1" x14ac:dyDescent="0.25">
      <c r="A9" s="14" t="s">
        <v>120</v>
      </c>
      <c r="B9" s="23" t="s">
        <v>221</v>
      </c>
      <c r="C9" s="38">
        <f>SUM('2.működés'!C9)</f>
        <v>607198</v>
      </c>
      <c r="D9" s="38">
        <f>SUM('2.működés'!D9)</f>
        <v>626091</v>
      </c>
      <c r="E9" s="38">
        <f>SUM('2.működés'!E9)</f>
        <v>626091</v>
      </c>
      <c r="F9" s="38">
        <f>SUM('2.működés'!F9)</f>
        <v>664235</v>
      </c>
      <c r="G9" s="38"/>
      <c r="H9" s="38">
        <f>SUM('2.működés'!H9)</f>
        <v>603574</v>
      </c>
      <c r="I9" s="2"/>
      <c r="J9" s="3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3.5" hidden="1" customHeight="1" x14ac:dyDescent="0.2">
      <c r="A10" s="8" t="s">
        <v>121</v>
      </c>
      <c r="B10" s="8" t="s">
        <v>129</v>
      </c>
      <c r="C10" s="5"/>
      <c r="D10" s="5"/>
      <c r="E10" s="5"/>
      <c r="F10" s="5"/>
      <c r="G10" s="5"/>
      <c r="H10" s="5"/>
      <c r="I10" s="2"/>
      <c r="J10" s="31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3.5" hidden="1" customHeight="1" x14ac:dyDescent="0.2">
      <c r="A11" s="8" t="s">
        <v>170</v>
      </c>
      <c r="B11" s="8" t="s">
        <v>171</v>
      </c>
      <c r="C11" s="5"/>
      <c r="D11" s="5"/>
      <c r="E11" s="5"/>
      <c r="F11" s="5"/>
      <c r="G11" s="5"/>
      <c r="H11" s="5"/>
      <c r="I11" s="2"/>
      <c r="J11" s="31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hidden="1" customHeight="1" x14ac:dyDescent="0.2">
      <c r="A12" s="8" t="s">
        <v>122</v>
      </c>
      <c r="B12" s="8" t="s">
        <v>126</v>
      </c>
      <c r="C12" s="6"/>
      <c r="D12" s="6"/>
      <c r="E12" s="6"/>
      <c r="F12" s="6"/>
      <c r="G12" s="6"/>
      <c r="H12" s="6"/>
      <c r="I12" s="2"/>
      <c r="J12" s="31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3.5" hidden="1" customHeight="1" x14ac:dyDescent="0.2">
      <c r="A13" s="8" t="s">
        <v>123</v>
      </c>
      <c r="B13" s="8" t="s">
        <v>127</v>
      </c>
      <c r="C13" s="11"/>
      <c r="D13" s="11"/>
      <c r="E13" s="11"/>
      <c r="F13" s="11"/>
      <c r="G13" s="11"/>
      <c r="H13" s="11"/>
      <c r="I13" s="2"/>
      <c r="J13" s="31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5" hidden="1" customHeight="1" x14ac:dyDescent="0.2">
      <c r="A14" s="8" t="s">
        <v>124</v>
      </c>
      <c r="B14" s="8" t="s">
        <v>128</v>
      </c>
      <c r="C14" s="13"/>
      <c r="D14" s="13"/>
      <c r="E14" s="13"/>
      <c r="F14" s="13"/>
      <c r="G14" s="13"/>
      <c r="H14" s="13"/>
      <c r="I14" s="2"/>
      <c r="J14" s="31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2.75" hidden="1" customHeight="1" x14ac:dyDescent="0.2">
      <c r="A15" s="8" t="s">
        <v>125</v>
      </c>
      <c r="B15" s="8" t="s">
        <v>130</v>
      </c>
      <c r="C15" s="13"/>
      <c r="D15" s="13"/>
      <c r="E15" s="13"/>
      <c r="F15" s="13"/>
      <c r="G15" s="13"/>
      <c r="H15" s="13"/>
      <c r="I15" s="2"/>
      <c r="J15" s="31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8" customHeight="1" x14ac:dyDescent="0.25">
      <c r="A16" s="14" t="s">
        <v>131</v>
      </c>
      <c r="B16" s="23" t="s">
        <v>222</v>
      </c>
      <c r="C16" s="42">
        <f>SUM('3.felh'!C13)</f>
        <v>10900</v>
      </c>
      <c r="D16" s="42">
        <f>SUM('3.felh'!D13)</f>
        <v>708662</v>
      </c>
      <c r="E16" s="42">
        <f>SUM('3.felh'!E13)</f>
        <v>708662</v>
      </c>
      <c r="F16" s="42">
        <f>SUM('3.felh'!F13)</f>
        <v>726752</v>
      </c>
      <c r="G16" s="42"/>
      <c r="H16" s="42">
        <f>SUM('3.felh'!H13)</f>
        <v>40000</v>
      </c>
      <c r="I16" s="2"/>
      <c r="J16" s="31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2.75" hidden="1" customHeight="1" x14ac:dyDescent="0.2">
      <c r="A17" s="8" t="s">
        <v>132</v>
      </c>
      <c r="B17" s="8" t="s">
        <v>139</v>
      </c>
      <c r="C17" s="5"/>
      <c r="D17" s="5"/>
      <c r="E17" s="5"/>
      <c r="F17" s="5"/>
      <c r="G17" s="5"/>
      <c r="H17" s="5"/>
      <c r="I17" s="2"/>
      <c r="J17" s="31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2.75" hidden="1" customHeight="1" x14ac:dyDescent="0.2">
      <c r="A18" s="8" t="s">
        <v>172</v>
      </c>
      <c r="B18" s="8" t="s">
        <v>173</v>
      </c>
      <c r="C18" s="13"/>
      <c r="D18" s="13"/>
      <c r="E18" s="13"/>
      <c r="F18" s="13"/>
      <c r="G18" s="13"/>
      <c r="H18" s="13"/>
      <c r="I18" s="2"/>
      <c r="J18" s="31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2.75" hidden="1" customHeight="1" x14ac:dyDescent="0.2">
      <c r="A19" s="8" t="s">
        <v>133</v>
      </c>
      <c r="B19" s="8" t="s">
        <v>136</v>
      </c>
      <c r="C19" s="13"/>
      <c r="D19" s="13"/>
      <c r="E19" s="13"/>
      <c r="F19" s="13"/>
      <c r="G19" s="13"/>
      <c r="H19" s="13"/>
      <c r="I19" s="2"/>
      <c r="J19" s="31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2.75" hidden="1" customHeight="1" x14ac:dyDescent="0.2">
      <c r="A20" s="8" t="s">
        <v>134</v>
      </c>
      <c r="B20" s="8" t="s">
        <v>137</v>
      </c>
      <c r="C20" s="13"/>
      <c r="D20" s="13"/>
      <c r="E20" s="13"/>
      <c r="F20" s="13"/>
      <c r="G20" s="13"/>
      <c r="H20" s="13"/>
      <c r="I20" s="2"/>
      <c r="J20" s="31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2.75" hidden="1" customHeight="1" x14ac:dyDescent="0.2">
      <c r="A21" s="8" t="s">
        <v>135</v>
      </c>
      <c r="B21" s="8" t="s">
        <v>138</v>
      </c>
      <c r="C21" s="13"/>
      <c r="D21" s="13"/>
      <c r="E21" s="13"/>
      <c r="F21" s="13"/>
      <c r="G21" s="13"/>
      <c r="H21" s="13"/>
      <c r="I21" s="2"/>
      <c r="J21" s="31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8" customHeight="1" x14ac:dyDescent="0.25">
      <c r="A22" s="14" t="s">
        <v>140</v>
      </c>
      <c r="B22" s="23" t="s">
        <v>103</v>
      </c>
      <c r="C22" s="42">
        <f>SUM('2.működés'!C70)</f>
        <v>468980</v>
      </c>
      <c r="D22" s="42">
        <f>SUM('2.működés'!D70)</f>
        <v>468980</v>
      </c>
      <c r="E22" s="42">
        <f>SUM('2.működés'!E70)</f>
        <v>468980</v>
      </c>
      <c r="F22" s="42">
        <f>SUM('2.működés'!F70)</f>
        <v>518980</v>
      </c>
      <c r="G22" s="42"/>
      <c r="H22" s="42">
        <f>SUM('2.működés'!H70)</f>
        <v>433980</v>
      </c>
      <c r="I22" s="7"/>
      <c r="J22" s="3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2.75" hidden="1" customHeight="1" x14ac:dyDescent="0.2">
      <c r="A23" s="8" t="s">
        <v>141</v>
      </c>
      <c r="B23" s="8" t="s">
        <v>147</v>
      </c>
      <c r="C23" s="13"/>
      <c r="D23" s="13"/>
      <c r="E23" s="13"/>
      <c r="F23" s="13"/>
      <c r="G23" s="13"/>
      <c r="H23" s="13"/>
      <c r="I23" s="7"/>
      <c r="J23" s="3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hidden="1" customHeight="1" x14ac:dyDescent="0.2">
      <c r="A24" s="8" t="s">
        <v>142</v>
      </c>
      <c r="B24" s="8" t="s">
        <v>148</v>
      </c>
      <c r="C24" s="13"/>
      <c r="D24" s="13"/>
      <c r="E24" s="13"/>
      <c r="F24" s="13"/>
      <c r="G24" s="13"/>
      <c r="H24" s="13"/>
      <c r="I24" s="7"/>
      <c r="J24" s="31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hidden="1" customHeight="1" x14ac:dyDescent="0.2">
      <c r="A25" s="8" t="s">
        <v>143</v>
      </c>
      <c r="B25" s="20" t="s">
        <v>149</v>
      </c>
      <c r="C25" s="49"/>
      <c r="D25" s="49"/>
      <c r="E25" s="49"/>
      <c r="F25" s="49"/>
      <c r="G25" s="49"/>
      <c r="H25" s="49"/>
      <c r="I25" s="7"/>
      <c r="J25" s="31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hidden="1" customHeight="1" x14ac:dyDescent="0.2">
      <c r="A26" s="8" t="s">
        <v>144</v>
      </c>
      <c r="B26" s="8" t="s">
        <v>176</v>
      </c>
      <c r="C26" s="39"/>
      <c r="D26" s="39"/>
      <c r="E26" s="39"/>
      <c r="F26" s="39"/>
      <c r="G26" s="39"/>
      <c r="H26" s="39"/>
      <c r="I26" s="7"/>
      <c r="J26" s="31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s="50" customFormat="1" ht="12.75" hidden="1" customHeight="1" x14ac:dyDescent="0.2">
      <c r="A27" s="8" t="s">
        <v>145</v>
      </c>
      <c r="B27" s="8" t="s">
        <v>177</v>
      </c>
      <c r="C27" s="13"/>
      <c r="D27" s="13"/>
      <c r="E27" s="13"/>
      <c r="F27" s="13"/>
      <c r="G27" s="13"/>
      <c r="H27" s="13"/>
      <c r="I27" s="7"/>
      <c r="J27" s="31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s="50" customFormat="1" ht="12.75" hidden="1" customHeight="1" x14ac:dyDescent="0.2">
      <c r="A28" s="8" t="s">
        <v>146</v>
      </c>
      <c r="B28" s="8" t="s">
        <v>150</v>
      </c>
      <c r="C28" s="13"/>
      <c r="D28" s="13"/>
      <c r="E28" s="13"/>
      <c r="F28" s="13"/>
      <c r="G28" s="13"/>
      <c r="H28" s="13"/>
      <c r="I28" s="7"/>
      <c r="J28" s="31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s="50" customFormat="1" ht="18" customHeight="1" x14ac:dyDescent="0.25">
      <c r="A29" s="14" t="s">
        <v>151</v>
      </c>
      <c r="B29" s="23" t="s">
        <v>223</v>
      </c>
      <c r="C29" s="42">
        <f>SUM('2.működés'!C83)</f>
        <v>159072</v>
      </c>
      <c r="D29" s="42">
        <f>SUM('2.működés'!D83)</f>
        <v>218358</v>
      </c>
      <c r="E29" s="42">
        <f>SUM('2.működés'!E83)</f>
        <v>218358</v>
      </c>
      <c r="F29" s="42">
        <f>SUM('2.működés'!F83)</f>
        <v>222668</v>
      </c>
      <c r="G29" s="42"/>
      <c r="H29" s="42">
        <f>SUM('2.működés'!H83)</f>
        <v>102140</v>
      </c>
      <c r="I29" s="7"/>
      <c r="J29" s="31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3.5" hidden="1" customHeight="1" x14ac:dyDescent="0.2">
      <c r="A30" s="8" t="s">
        <v>154</v>
      </c>
      <c r="B30" s="8" t="s">
        <v>152</v>
      </c>
      <c r="C30" s="13"/>
      <c r="D30" s="13"/>
      <c r="E30" s="13"/>
      <c r="F30" s="13"/>
      <c r="G30" s="13"/>
      <c r="H30" s="13"/>
      <c r="I30" s="7"/>
      <c r="J30" s="31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s="50" customFormat="1" ht="13.5" hidden="1" customHeight="1" x14ac:dyDescent="0.2">
      <c r="A31" s="8" t="s">
        <v>155</v>
      </c>
      <c r="B31" s="8" t="s">
        <v>153</v>
      </c>
      <c r="C31" s="13"/>
      <c r="D31" s="13"/>
      <c r="E31" s="13"/>
      <c r="F31" s="13"/>
      <c r="G31" s="13"/>
      <c r="H31" s="13"/>
      <c r="I31" s="7"/>
      <c r="J31" s="3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s="50" customFormat="1" ht="13.5" hidden="1" customHeight="1" x14ac:dyDescent="0.2">
      <c r="A32" s="8" t="s">
        <v>156</v>
      </c>
      <c r="B32" s="8" t="s">
        <v>159</v>
      </c>
      <c r="C32" s="11"/>
      <c r="D32" s="11"/>
      <c r="E32" s="11"/>
      <c r="F32" s="11"/>
      <c r="G32" s="11"/>
      <c r="H32" s="11"/>
      <c r="I32" s="7"/>
      <c r="J32" s="31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3.5" hidden="1" customHeight="1" x14ac:dyDescent="0.2">
      <c r="A33" s="8" t="s">
        <v>157</v>
      </c>
      <c r="B33" s="20" t="s">
        <v>160</v>
      </c>
      <c r="C33" s="8"/>
      <c r="D33" s="8"/>
      <c r="E33" s="8"/>
      <c r="F33" s="8"/>
      <c r="G33" s="8"/>
      <c r="H33" s="8"/>
      <c r="I33" s="7"/>
      <c r="J33" s="31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hidden="1" customHeight="1" x14ac:dyDescent="0.2">
      <c r="A34" s="8" t="s">
        <v>158</v>
      </c>
      <c r="B34" s="20" t="s">
        <v>161</v>
      </c>
      <c r="C34" s="8"/>
      <c r="D34" s="8"/>
      <c r="E34" s="8"/>
      <c r="F34" s="8"/>
      <c r="G34" s="8"/>
      <c r="H34" s="8"/>
      <c r="I34" s="7"/>
      <c r="J34" s="31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hidden="1" customHeight="1" x14ac:dyDescent="0.2">
      <c r="A35" s="8" t="s">
        <v>162</v>
      </c>
      <c r="B35" s="20" t="s">
        <v>163</v>
      </c>
      <c r="C35" s="8"/>
      <c r="D35" s="8"/>
      <c r="E35" s="8"/>
      <c r="F35" s="8"/>
      <c r="G35" s="8"/>
      <c r="H35" s="8"/>
      <c r="I35" s="7"/>
      <c r="J35" s="31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hidden="1" customHeight="1" x14ac:dyDescent="0.2">
      <c r="A36" s="8" t="s">
        <v>164</v>
      </c>
      <c r="B36" s="20" t="s">
        <v>165</v>
      </c>
      <c r="C36" s="8"/>
      <c r="D36" s="8"/>
      <c r="E36" s="8"/>
      <c r="F36" s="8"/>
      <c r="G36" s="8"/>
      <c r="H36" s="8"/>
      <c r="I36" s="7"/>
      <c r="J36" s="31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hidden="1" customHeight="1" x14ac:dyDescent="0.2">
      <c r="A37" s="8" t="s">
        <v>166</v>
      </c>
      <c r="B37" s="20" t="s">
        <v>167</v>
      </c>
      <c r="C37" s="8"/>
      <c r="D37" s="8"/>
      <c r="E37" s="8"/>
      <c r="F37" s="8"/>
      <c r="G37" s="8"/>
      <c r="H37" s="8"/>
      <c r="I37" s="7"/>
      <c r="J37" s="3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hidden="1" customHeight="1" x14ac:dyDescent="0.2">
      <c r="A38" s="8" t="s">
        <v>168</v>
      </c>
      <c r="B38" s="20" t="s">
        <v>169</v>
      </c>
      <c r="C38" s="8"/>
      <c r="D38" s="8"/>
      <c r="E38" s="8"/>
      <c r="F38" s="8"/>
      <c r="G38" s="8"/>
      <c r="H38" s="8"/>
      <c r="I38" s="7"/>
      <c r="J38" s="31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hidden="1" customHeight="1" x14ac:dyDescent="0.2">
      <c r="A39" s="8" t="s">
        <v>174</v>
      </c>
      <c r="B39" s="20" t="s">
        <v>175</v>
      </c>
      <c r="C39" s="8"/>
      <c r="D39" s="8"/>
      <c r="E39" s="8"/>
      <c r="F39" s="8"/>
      <c r="G39" s="8"/>
      <c r="H39" s="8"/>
      <c r="I39" s="7"/>
      <c r="J39" s="31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7.25" customHeight="1" x14ac:dyDescent="0.25">
      <c r="A40" s="14" t="s">
        <v>178</v>
      </c>
      <c r="B40" s="23" t="s">
        <v>224</v>
      </c>
      <c r="C40" s="42">
        <f>SUM('3.felh'!C25)</f>
        <v>500</v>
      </c>
      <c r="D40" s="42">
        <f>SUM('3.felh'!D25)</f>
        <v>500</v>
      </c>
      <c r="E40" s="42">
        <f>SUM('3.felh'!E25)</f>
        <v>500</v>
      </c>
      <c r="F40" s="42">
        <f>SUM('3.felh'!F25)</f>
        <v>450500</v>
      </c>
      <c r="G40" s="42"/>
      <c r="H40" s="42">
        <f>SUM('3.felh'!H25)</f>
        <v>1500</v>
      </c>
      <c r="I40" s="2"/>
      <c r="J40" s="31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hidden="1" customHeight="1" x14ac:dyDescent="0.2">
      <c r="A41" s="8" t="s">
        <v>179</v>
      </c>
      <c r="B41" s="20" t="s">
        <v>184</v>
      </c>
      <c r="C41" s="8"/>
      <c r="D41" s="8"/>
      <c r="E41" s="8"/>
      <c r="F41" s="8"/>
      <c r="G41" s="8"/>
      <c r="H41" s="8"/>
      <c r="I41" s="2"/>
      <c r="J41" s="3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hidden="1" customHeight="1" x14ac:dyDescent="0.2">
      <c r="A42" s="8" t="s">
        <v>180</v>
      </c>
      <c r="B42" s="20" t="s">
        <v>185</v>
      </c>
      <c r="C42" s="8"/>
      <c r="D42" s="8"/>
      <c r="E42" s="8"/>
      <c r="F42" s="8"/>
      <c r="G42" s="8"/>
      <c r="H42" s="8"/>
      <c r="I42" s="2"/>
      <c r="J42" s="31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hidden="1" customHeight="1" x14ac:dyDescent="0.2">
      <c r="A43" s="8" t="s">
        <v>181</v>
      </c>
      <c r="B43" s="20" t="s">
        <v>186</v>
      </c>
      <c r="C43" s="8"/>
      <c r="D43" s="8"/>
      <c r="E43" s="8"/>
      <c r="F43" s="8"/>
      <c r="G43" s="8"/>
      <c r="H43" s="8"/>
      <c r="I43" s="2"/>
      <c r="J43" s="31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hidden="1" customHeight="1" x14ac:dyDescent="0.2">
      <c r="A44" s="8" t="s">
        <v>182</v>
      </c>
      <c r="B44" s="20" t="s">
        <v>187</v>
      </c>
      <c r="C44" s="8"/>
      <c r="D44" s="8"/>
      <c r="E44" s="8"/>
      <c r="F44" s="8"/>
      <c r="G44" s="8"/>
      <c r="H44" s="8"/>
      <c r="I44" s="2"/>
      <c r="J44" s="31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hidden="1" customHeight="1" x14ac:dyDescent="0.2">
      <c r="A45" s="8" t="s">
        <v>183</v>
      </c>
      <c r="B45" s="20" t="s">
        <v>188</v>
      </c>
      <c r="C45" s="8"/>
      <c r="D45" s="8"/>
      <c r="E45" s="8"/>
      <c r="F45" s="8"/>
      <c r="G45" s="8"/>
      <c r="H45" s="8"/>
      <c r="I45" s="2"/>
      <c r="J45" s="31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8" customHeight="1" x14ac:dyDescent="0.25">
      <c r="A46" s="14" t="s">
        <v>189</v>
      </c>
      <c r="B46" s="23" t="s">
        <v>225</v>
      </c>
      <c r="C46" s="42">
        <f>SUM('2.működés'!C95)</f>
        <v>40000</v>
      </c>
      <c r="D46" s="42">
        <f>SUM('2.működés'!D95)</f>
        <v>42372</v>
      </c>
      <c r="E46" s="42">
        <f>SUM('2.működés'!E95)</f>
        <v>42372</v>
      </c>
      <c r="F46" s="42">
        <f>SUM('2.működés'!F95)</f>
        <v>42872</v>
      </c>
      <c r="G46" s="42"/>
      <c r="H46" s="42">
        <f>SUM('2.működés'!H95)</f>
        <v>40000</v>
      </c>
      <c r="I46" s="2"/>
      <c r="J46" s="31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hidden="1" customHeight="1" x14ac:dyDescent="0.2">
      <c r="A47" s="8" t="s">
        <v>195</v>
      </c>
      <c r="B47" s="20" t="s">
        <v>192</v>
      </c>
      <c r="C47" s="8"/>
      <c r="D47" s="8"/>
      <c r="E47" s="8"/>
      <c r="F47" s="8"/>
      <c r="G47" s="8"/>
      <c r="H47" s="8"/>
      <c r="I47" s="2"/>
      <c r="J47" s="31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hidden="1" customHeight="1" x14ac:dyDescent="0.2">
      <c r="A48" s="8" t="s">
        <v>196</v>
      </c>
      <c r="B48" s="20" t="s">
        <v>193</v>
      </c>
      <c r="C48" s="8"/>
      <c r="D48" s="8"/>
      <c r="E48" s="8"/>
      <c r="F48" s="8"/>
      <c r="G48" s="8"/>
      <c r="H48" s="8"/>
      <c r="I48" s="2"/>
      <c r="J48" s="31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2.75" hidden="1" customHeight="1" x14ac:dyDescent="0.2">
      <c r="A49" s="8" t="s">
        <v>197</v>
      </c>
      <c r="B49" s="20" t="s">
        <v>194</v>
      </c>
      <c r="C49" s="8"/>
      <c r="D49" s="8"/>
      <c r="E49" s="8"/>
      <c r="F49" s="8"/>
      <c r="G49" s="8"/>
      <c r="H49" s="8"/>
      <c r="I49" s="2"/>
      <c r="J49" s="31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8" customHeight="1" x14ac:dyDescent="0.25">
      <c r="A50" s="14" t="s">
        <v>190</v>
      </c>
      <c r="B50" s="23" t="s">
        <v>226</v>
      </c>
      <c r="C50" s="42">
        <f>SUM('3.felh'!C31)</f>
        <v>10300</v>
      </c>
      <c r="D50" s="42">
        <f>SUM('3.felh'!D31)</f>
        <v>10300</v>
      </c>
      <c r="E50" s="42">
        <f>SUM('3.felh'!E31)</f>
        <v>10300</v>
      </c>
      <c r="F50" s="42">
        <f>SUM('3.felh'!F31)</f>
        <v>10300</v>
      </c>
      <c r="G50" s="42"/>
      <c r="H50" s="42">
        <f>SUM('3.felh'!H31)</f>
        <v>10300</v>
      </c>
      <c r="I50" s="2"/>
      <c r="J50" s="31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3.5" hidden="1" customHeight="1" x14ac:dyDescent="0.25">
      <c r="A51" s="8" t="s">
        <v>198</v>
      </c>
      <c r="B51" s="20" t="s">
        <v>201</v>
      </c>
      <c r="C51" s="42"/>
      <c r="D51" s="42"/>
      <c r="E51" s="42"/>
      <c r="F51" s="42"/>
      <c r="G51" s="42"/>
      <c r="H51" s="42"/>
      <c r="I51" s="2"/>
      <c r="J51" s="31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3.5" hidden="1" customHeight="1" x14ac:dyDescent="0.25">
      <c r="A52" s="8" t="s">
        <v>199</v>
      </c>
      <c r="B52" s="20" t="s">
        <v>202</v>
      </c>
      <c r="C52" s="42"/>
      <c r="D52" s="42"/>
      <c r="E52" s="42"/>
      <c r="F52" s="42"/>
      <c r="G52" s="42"/>
      <c r="H52" s="42"/>
      <c r="I52" s="2"/>
      <c r="J52" s="31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3.5" hidden="1" customHeight="1" x14ac:dyDescent="0.25">
      <c r="A53" s="8" t="s">
        <v>200</v>
      </c>
      <c r="B53" s="20" t="s">
        <v>203</v>
      </c>
      <c r="C53" s="42"/>
      <c r="D53" s="42"/>
      <c r="E53" s="42"/>
      <c r="F53" s="42"/>
      <c r="G53" s="42"/>
      <c r="H53" s="42"/>
      <c r="I53" s="2"/>
      <c r="J53" s="3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22.5" customHeight="1" x14ac:dyDescent="0.2">
      <c r="A54" s="25" t="s">
        <v>191</v>
      </c>
      <c r="B54" s="172" t="s">
        <v>350</v>
      </c>
      <c r="C54" s="193">
        <f>SUM(C55+C60)</f>
        <v>724264</v>
      </c>
      <c r="D54" s="193">
        <f>SUM(D55+D60)</f>
        <v>1074264</v>
      </c>
      <c r="E54" s="193">
        <f>SUM(E55+E60)</f>
        <v>1074264</v>
      </c>
      <c r="F54" s="193">
        <f>SUM(F55+F60)</f>
        <v>1074264</v>
      </c>
      <c r="G54" s="193"/>
      <c r="H54" s="193">
        <f>SUM(H55+H60)</f>
        <v>721048</v>
      </c>
      <c r="I54" s="2"/>
      <c r="J54" s="31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3.5" customHeight="1" x14ac:dyDescent="0.25">
      <c r="A55" s="25"/>
      <c r="B55" s="23" t="s">
        <v>432</v>
      </c>
      <c r="C55" s="42">
        <f>SUM(C56)+C59</f>
        <v>724264</v>
      </c>
      <c r="D55" s="42">
        <f>SUM(D56)+D59</f>
        <v>724264</v>
      </c>
      <c r="E55" s="42">
        <f>SUM(E56)+E59</f>
        <v>724264</v>
      </c>
      <c r="F55" s="42">
        <f>SUM(F56)+F59</f>
        <v>724264</v>
      </c>
      <c r="G55" s="42"/>
      <c r="H55" s="42">
        <f>SUM(H56)+H59</f>
        <v>721048</v>
      </c>
      <c r="I55" s="2"/>
      <c r="J55" s="31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3.5" customHeight="1" x14ac:dyDescent="0.2">
      <c r="A56" s="8"/>
      <c r="B56" s="31" t="s">
        <v>433</v>
      </c>
      <c r="C56" s="13">
        <f>SUM(C57:C58)</f>
        <v>724264</v>
      </c>
      <c r="D56" s="5">
        <f>SUM(D57:D58)</f>
        <v>724264</v>
      </c>
      <c r="E56" s="5">
        <f>SUM(E57:E58)</f>
        <v>724264</v>
      </c>
      <c r="F56" s="5">
        <f>SUM(F57:F58)</f>
        <v>724264</v>
      </c>
      <c r="G56" s="5"/>
      <c r="H56" s="5">
        <f>SUM(H57:H58)</f>
        <v>721048</v>
      </c>
      <c r="I56" s="2"/>
      <c r="J56" s="315"/>
      <c r="K56" s="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x14ac:dyDescent="0.2">
      <c r="A57" s="8"/>
      <c r="B57" s="31" t="s">
        <v>421</v>
      </c>
      <c r="C57" s="13">
        <f>'2.működés'!C104</f>
        <v>205553</v>
      </c>
      <c r="D57" s="13">
        <f>SUM('2.működés'!D104)</f>
        <v>205553</v>
      </c>
      <c r="E57" s="13">
        <f>SUM('2.működés'!E104)</f>
        <v>205553</v>
      </c>
      <c r="F57" s="13">
        <f>SUM('2.működés'!F104)</f>
        <v>205553</v>
      </c>
      <c r="G57" s="13"/>
      <c r="H57" s="13">
        <f>SUM('2.működés'!H104)</f>
        <v>202337</v>
      </c>
      <c r="I57" s="7"/>
      <c r="J57" s="31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x14ac:dyDescent="0.2">
      <c r="A58" s="8"/>
      <c r="B58" s="31" t="s">
        <v>422</v>
      </c>
      <c r="C58" s="13">
        <f>'3.felh'!C37</f>
        <v>518711</v>
      </c>
      <c r="D58" s="13">
        <f>'3.felh'!D37</f>
        <v>518711</v>
      </c>
      <c r="E58" s="13">
        <f>'3.felh'!E37</f>
        <v>518711</v>
      </c>
      <c r="F58" s="13">
        <f>'3.felh'!F37</f>
        <v>518711</v>
      </c>
      <c r="G58" s="13"/>
      <c r="H58" s="13">
        <f>'3.felh'!H37</f>
        <v>518711</v>
      </c>
      <c r="I58" s="7"/>
      <c r="J58" s="3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3.5" hidden="1" customHeight="1" x14ac:dyDescent="0.2">
      <c r="A59" s="8"/>
      <c r="B59" s="31" t="s">
        <v>487</v>
      </c>
      <c r="C59" s="13">
        <f>'2.működés'!C109</f>
        <v>0</v>
      </c>
      <c r="D59" s="13">
        <f>'2.működés'!D109</f>
        <v>0</v>
      </c>
      <c r="E59" s="13">
        <f>'2.működés'!E109</f>
        <v>0</v>
      </c>
      <c r="F59" s="13">
        <f>'2.működés'!F109</f>
        <v>0</v>
      </c>
      <c r="G59" s="13"/>
      <c r="H59" s="13">
        <f>'2.működés'!H109</f>
        <v>0</v>
      </c>
      <c r="I59" s="2"/>
      <c r="J59" s="31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3.5" customHeight="1" x14ac:dyDescent="0.25">
      <c r="A60" s="8"/>
      <c r="B60" s="23" t="s">
        <v>430</v>
      </c>
      <c r="C60" s="42">
        <f>SUM(C61:C62)</f>
        <v>0</v>
      </c>
      <c r="D60" s="42">
        <f>SUM(D61:D62)</f>
        <v>350000</v>
      </c>
      <c r="E60" s="42">
        <f>SUM(E61:E62)</f>
        <v>350000</v>
      </c>
      <c r="F60" s="42">
        <f>SUM(F61:F62)</f>
        <v>350000</v>
      </c>
      <c r="G60" s="42"/>
      <c r="H60" s="42">
        <f>SUM(H61:H62)</f>
        <v>0</v>
      </c>
      <c r="I60" s="2"/>
      <c r="J60" s="3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3.5" customHeight="1" thickBot="1" x14ac:dyDescent="0.25">
      <c r="A61" s="8"/>
      <c r="B61" s="8" t="str">
        <f>'3.felh'!B41</f>
        <v xml:space="preserve">         2.1. Beruházási hitel felvétele (90/2023. (VI.14.))</v>
      </c>
      <c r="C61" s="13">
        <v>0</v>
      </c>
      <c r="D61" s="13">
        <f>'3.felh'!D41</f>
        <v>350000</v>
      </c>
      <c r="E61" s="13">
        <f>'3.felh'!E41</f>
        <v>350000</v>
      </c>
      <c r="F61" s="13">
        <f>'3.felh'!F41</f>
        <v>350000</v>
      </c>
      <c r="G61" s="13"/>
      <c r="H61" s="13">
        <v>0</v>
      </c>
      <c r="I61" s="2"/>
      <c r="J61" s="31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3.5" hidden="1" customHeight="1" thickBot="1" x14ac:dyDescent="0.25">
      <c r="A62" s="12"/>
      <c r="B62" s="12" t="s">
        <v>247</v>
      </c>
      <c r="C62" s="32">
        <f>'3.felh'!C40</f>
        <v>0</v>
      </c>
      <c r="D62" s="32">
        <v>0</v>
      </c>
      <c r="E62" s="32">
        <v>0</v>
      </c>
      <c r="F62" s="32">
        <v>0</v>
      </c>
      <c r="G62" s="32"/>
      <c r="H62" s="32">
        <f>'3.felh'!H40</f>
        <v>0</v>
      </c>
      <c r="I62" s="2"/>
      <c r="J62" s="31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23.25" customHeight="1" thickBot="1" x14ac:dyDescent="0.4">
      <c r="A63" s="215"/>
      <c r="B63" s="216" t="s">
        <v>373</v>
      </c>
      <c r="C63" s="571">
        <f>SUM(C8+C54)</f>
        <v>2021214</v>
      </c>
      <c r="D63" s="571">
        <f>SUM(D8+D54)</f>
        <v>3149527</v>
      </c>
      <c r="E63" s="571">
        <f>SUM(E8+E54)</f>
        <v>3149527</v>
      </c>
      <c r="F63" s="179">
        <f>SUM(F8+F54)</f>
        <v>3710571</v>
      </c>
      <c r="G63" s="755"/>
      <c r="H63" s="48">
        <f>SUM(H8+H54)</f>
        <v>1952542</v>
      </c>
      <c r="I63" s="595">
        <f>F63-F84</f>
        <v>0</v>
      </c>
      <c r="J63" s="315">
        <f>F63-E63</f>
        <v>561044</v>
      </c>
      <c r="K63" s="2"/>
      <c r="L63" s="7">
        <f>C63-'9.Hivatal'!W83-'9.Hivatal'!W85-'9.Hivatal'!W86-'9.Hivatal'!W87</f>
        <v>1950712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20.25" customHeight="1" x14ac:dyDescent="0.25">
      <c r="A64" s="147" t="s">
        <v>352</v>
      </c>
      <c r="B64" s="225" t="s">
        <v>340</v>
      </c>
      <c r="C64" s="174">
        <f>SUM(C65+C70)</f>
        <v>1943218</v>
      </c>
      <c r="D64" s="174">
        <f>SUM(D65+D70)</f>
        <v>3071531</v>
      </c>
      <c r="E64" s="174">
        <f>SUM(E65+E70)</f>
        <v>3071531</v>
      </c>
      <c r="F64" s="174">
        <f>SUM(F65+F70)</f>
        <v>3632575</v>
      </c>
      <c r="G64" s="174"/>
      <c r="H64" s="174" t="e">
        <f>SUM(H65+H70)</f>
        <v>#REF!</v>
      </c>
      <c r="I64" s="7"/>
      <c r="J64" s="3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8" customHeight="1" x14ac:dyDescent="0.25">
      <c r="A65" s="14" t="s">
        <v>204</v>
      </c>
      <c r="B65" s="23" t="s">
        <v>8</v>
      </c>
      <c r="C65" s="148">
        <f>SUM(C66:C68)</f>
        <v>1412678</v>
      </c>
      <c r="D65" s="148">
        <f>SUM(D66:D68)</f>
        <v>1555090</v>
      </c>
      <c r="E65" s="148">
        <f>SUM(E66:E68)</f>
        <v>1555090</v>
      </c>
      <c r="F65" s="148">
        <f>SUM(F66:F68)</f>
        <v>1648601</v>
      </c>
      <c r="G65" s="148"/>
      <c r="H65" s="148" t="e">
        <f>SUM(H66:H68)</f>
        <v>#REF!</v>
      </c>
      <c r="I65" s="7"/>
      <c r="J65" s="31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x14ac:dyDescent="0.2">
      <c r="A66" s="8"/>
      <c r="B66" s="14" t="s">
        <v>9</v>
      </c>
      <c r="C66" s="83">
        <f>SUM('8.Önk.'!BK96)</f>
        <v>1011081</v>
      </c>
      <c r="D66" s="83">
        <f>SUM('8.Önk.'!BL96)</f>
        <v>1094926</v>
      </c>
      <c r="E66" s="83">
        <f>SUM('8.Önk.'!BM96)</f>
        <v>1094926</v>
      </c>
      <c r="F66" s="83">
        <f>SUM('8.Önk.'!BN96)</f>
        <v>1129838</v>
      </c>
      <c r="G66" s="83"/>
      <c r="H66" s="83" t="e">
        <f>SUM('8.Önk.'!BP96)</f>
        <v>#REF!</v>
      </c>
      <c r="I66" s="2"/>
      <c r="J66" s="31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3.5" customHeight="1" thickBot="1" x14ac:dyDescent="0.25">
      <c r="A67" s="8"/>
      <c r="B67" s="8" t="s">
        <v>457</v>
      </c>
      <c r="C67" s="131">
        <f>SUM('9.Hivatal'!T76)</f>
        <v>271205</v>
      </c>
      <c r="D67" s="131">
        <f>SUM('9.Hivatal'!U76)</f>
        <v>271261</v>
      </c>
      <c r="E67" s="131">
        <f>SUM('9.Hivatal'!V76)</f>
        <v>271261</v>
      </c>
      <c r="F67" s="131">
        <f>SUM('9.Hivatal'!W76)</f>
        <v>277698</v>
      </c>
      <c r="G67" s="131"/>
      <c r="H67" s="131">
        <f>SUM('9.Hivatal'!Y76)</f>
        <v>200398</v>
      </c>
      <c r="I67" s="2"/>
      <c r="J67" s="31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3.5" customHeight="1" thickBot="1" x14ac:dyDescent="0.25">
      <c r="A68" s="8"/>
      <c r="B68" s="208" t="s">
        <v>207</v>
      </c>
      <c r="C68" s="661">
        <f>SUM('2.működés'!C126)</f>
        <v>130392</v>
      </c>
      <c r="D68" s="662">
        <f>SUM('2.működés'!D126)</f>
        <v>188903</v>
      </c>
      <c r="E68" s="662">
        <f>SUM('2.működés'!E126)</f>
        <v>188903</v>
      </c>
      <c r="F68" s="662">
        <f>SUM('2.működés'!F126)</f>
        <v>241065</v>
      </c>
      <c r="G68" s="756"/>
      <c r="H68" s="288">
        <f>SUM('2.működés'!H126)</f>
        <v>91565</v>
      </c>
      <c r="I68" s="2"/>
      <c r="J68" s="7">
        <f>E68-D68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2.75" hidden="1" customHeight="1" thickBot="1" x14ac:dyDescent="0.25">
      <c r="A69" s="8"/>
      <c r="B69" s="8" t="s">
        <v>431</v>
      </c>
      <c r="C69" s="268"/>
      <c r="D69" s="268"/>
      <c r="E69" s="268"/>
      <c r="F69" s="268"/>
      <c r="G69" s="268"/>
      <c r="H69" s="268"/>
      <c r="I69" s="2"/>
      <c r="J69" s="31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8" customHeight="1" x14ac:dyDescent="0.25">
      <c r="A70" s="14" t="s">
        <v>205</v>
      </c>
      <c r="B70" s="23" t="s">
        <v>227</v>
      </c>
      <c r="C70" s="36">
        <f>SUM(C71:C73)</f>
        <v>530540</v>
      </c>
      <c r="D70" s="36">
        <f>SUM(D71:D73)</f>
        <v>1516441</v>
      </c>
      <c r="E70" s="36">
        <f>SUM(E71:E73)</f>
        <v>1516441</v>
      </c>
      <c r="F70" s="36">
        <f>SUM(F71:F73)</f>
        <v>1983974</v>
      </c>
      <c r="G70" s="36"/>
      <c r="H70" s="36">
        <f>SUM(H71:H73)</f>
        <v>550540</v>
      </c>
      <c r="I70" s="7"/>
      <c r="J70" s="31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s="50" customFormat="1" ht="13.5" customHeight="1" x14ac:dyDescent="0.2">
      <c r="A71" s="8"/>
      <c r="B71" s="8" t="s">
        <v>334</v>
      </c>
      <c r="C71" s="13">
        <f>SUM('3.felh'!C44)</f>
        <v>5648</v>
      </c>
      <c r="D71" s="13">
        <f>SUM('3.felh'!D44)</f>
        <v>27776</v>
      </c>
      <c r="E71" s="13">
        <f>SUM('3.felh'!E44)</f>
        <v>27776</v>
      </c>
      <c r="F71" s="13">
        <f>SUM('3.felh'!F44)</f>
        <v>30076</v>
      </c>
      <c r="G71" s="13"/>
      <c r="H71" s="13">
        <f>SUM('3.felh'!H44)</f>
        <v>5648</v>
      </c>
      <c r="I71" s="2"/>
      <c r="J71" s="31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s="50" customFormat="1" ht="13.5" customHeight="1" x14ac:dyDescent="0.2">
      <c r="A72" s="8"/>
      <c r="B72" s="8" t="s">
        <v>335</v>
      </c>
      <c r="C72" s="13">
        <f>SUM('3.felh'!C66)</f>
        <v>444892</v>
      </c>
      <c r="D72" s="13">
        <f>SUM('3.felh'!D66)</f>
        <v>769002</v>
      </c>
      <c r="E72" s="13">
        <f>SUM('3.felh'!E66)</f>
        <v>769002</v>
      </c>
      <c r="F72" s="13">
        <f>SUM('3.felh'!F66)</f>
        <v>992840</v>
      </c>
      <c r="G72" s="13"/>
      <c r="H72" s="13">
        <f>SUM('3.felh'!H66)</f>
        <v>544892</v>
      </c>
      <c r="I72" s="2"/>
      <c r="J72" s="31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s="50" customFormat="1" ht="13.5" customHeight="1" x14ac:dyDescent="0.2">
      <c r="A73" s="8"/>
      <c r="B73" s="8" t="s">
        <v>336</v>
      </c>
      <c r="C73" s="13">
        <f>SUM(C74:C76)</f>
        <v>80000</v>
      </c>
      <c r="D73" s="13">
        <f t="shared" ref="D73:H73" si="0">SUM(D74:D76)</f>
        <v>719663</v>
      </c>
      <c r="E73" s="13">
        <f t="shared" ref="E73" si="1">SUM(E74:E76)</f>
        <v>719663</v>
      </c>
      <c r="F73" s="13">
        <f t="shared" si="0"/>
        <v>961058</v>
      </c>
      <c r="G73" s="13"/>
      <c r="H73" s="13">
        <f t="shared" si="0"/>
        <v>0</v>
      </c>
      <c r="I73" s="2"/>
      <c r="J73" s="31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s="50" customFormat="1" ht="13.5" customHeight="1" x14ac:dyDescent="0.2">
      <c r="A74" s="8"/>
      <c r="B74" s="8" t="s">
        <v>1030</v>
      </c>
      <c r="C74" s="13">
        <f>SUM('3.felh'!C83)</f>
        <v>0</v>
      </c>
      <c r="D74" s="13">
        <f>SUM('3.felh'!D83)</f>
        <v>0</v>
      </c>
      <c r="E74" s="13">
        <f>SUM('3.felh'!E83)</f>
        <v>0</v>
      </c>
      <c r="F74" s="13">
        <f>SUM('3.felh'!F83)</f>
        <v>0</v>
      </c>
      <c r="G74" s="13"/>
      <c r="H74" s="13">
        <f>SUM('3.felh'!H83)</f>
        <v>0</v>
      </c>
      <c r="I74" s="2"/>
      <c r="J74" s="3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s="50" customFormat="1" ht="13.5" customHeight="1" thickBot="1" x14ac:dyDescent="0.25">
      <c r="A75" s="8"/>
      <c r="B75" s="8" t="s">
        <v>1041</v>
      </c>
      <c r="C75" s="13">
        <v>0</v>
      </c>
      <c r="D75" s="13">
        <v>0</v>
      </c>
      <c r="E75" s="13">
        <v>0</v>
      </c>
      <c r="F75" s="13">
        <v>0</v>
      </c>
      <c r="G75" s="13"/>
      <c r="H75" s="13">
        <v>0</v>
      </c>
      <c r="I75" s="2"/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s="50" customFormat="1" ht="13.5" customHeight="1" thickBot="1" x14ac:dyDescent="0.25">
      <c r="A76" s="8"/>
      <c r="B76" s="208" t="s">
        <v>1321</v>
      </c>
      <c r="C76" s="661">
        <f>SUM('3.felh'!C85)</f>
        <v>80000</v>
      </c>
      <c r="D76" s="661">
        <f>SUM('3.felh'!D82)</f>
        <v>719663</v>
      </c>
      <c r="E76" s="661">
        <f>SUM('3.felh'!E85)</f>
        <v>719663</v>
      </c>
      <c r="F76" s="661">
        <f>SUM('3.felh'!F85)</f>
        <v>961058</v>
      </c>
      <c r="G76" s="661"/>
      <c r="H76" s="661">
        <f>SUM('3.felh'!H85)</f>
        <v>0</v>
      </c>
      <c r="I76" s="7"/>
      <c r="J76" s="7">
        <f>E76-D76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s="50" customFormat="1" ht="22.5" customHeight="1" x14ac:dyDescent="0.25">
      <c r="A77" s="14" t="s">
        <v>206</v>
      </c>
      <c r="B77" s="172" t="s">
        <v>351</v>
      </c>
      <c r="C77" s="190">
        <f>SUM(C78+C82+C83)</f>
        <v>77996</v>
      </c>
      <c r="D77" s="190">
        <f t="shared" ref="D77:H77" si="2">SUM(D78+D82+D83)</f>
        <v>77996</v>
      </c>
      <c r="E77" s="190">
        <f t="shared" si="2"/>
        <v>77996</v>
      </c>
      <c r="F77" s="190">
        <f t="shared" si="2"/>
        <v>77996</v>
      </c>
      <c r="G77" s="190"/>
      <c r="H77" s="190">
        <f t="shared" si="2"/>
        <v>77996</v>
      </c>
      <c r="I77" s="2"/>
      <c r="J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s="50" customFormat="1" ht="15" customHeight="1" x14ac:dyDescent="0.25">
      <c r="A78" s="14"/>
      <c r="B78" s="189" t="s">
        <v>378</v>
      </c>
      <c r="C78" s="160">
        <f>SUM(C79:C81)</f>
        <v>77996</v>
      </c>
      <c r="D78" s="160">
        <f t="shared" ref="D78:H78" si="3">SUM(D79:D81)</f>
        <v>77996</v>
      </c>
      <c r="E78" s="160">
        <f t="shared" si="3"/>
        <v>77996</v>
      </c>
      <c r="F78" s="160">
        <f t="shared" si="3"/>
        <v>77996</v>
      </c>
      <c r="G78" s="160"/>
      <c r="H78" s="160">
        <f t="shared" si="3"/>
        <v>77996</v>
      </c>
      <c r="I78" s="2"/>
      <c r="J78" s="3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s="50" customFormat="1" ht="12.75" customHeight="1" x14ac:dyDescent="0.2">
      <c r="A79" s="14" t="s">
        <v>385</v>
      </c>
      <c r="B79" s="8" t="s">
        <v>405</v>
      </c>
      <c r="C79" s="13">
        <f>SUM('2.működés'!C130)</f>
        <v>19840</v>
      </c>
      <c r="D79" s="13">
        <f>SUM('2.működés'!D130)</f>
        <v>19840</v>
      </c>
      <c r="E79" s="13">
        <f>SUM('2.működés'!E130)</f>
        <v>19840</v>
      </c>
      <c r="F79" s="13">
        <f>SUM('2.működés'!F130)</f>
        <v>19840</v>
      </c>
      <c r="G79" s="13"/>
      <c r="H79" s="13">
        <f>SUM('2.működés'!H130)</f>
        <v>19840</v>
      </c>
      <c r="I79" s="2"/>
      <c r="J79" s="3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s="50" customFormat="1" ht="15.75" hidden="1" x14ac:dyDescent="0.25">
      <c r="A80" s="14"/>
      <c r="B80" s="224" t="s">
        <v>379</v>
      </c>
      <c r="C80" s="43"/>
      <c r="D80" s="43"/>
      <c r="E80" s="43"/>
      <c r="F80" s="43"/>
      <c r="G80" s="43"/>
      <c r="H80" s="43"/>
      <c r="I80" s="2"/>
      <c r="J80" s="3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s="50" customFormat="1" ht="12.75" customHeight="1" x14ac:dyDescent="0.2">
      <c r="A81" s="14"/>
      <c r="B81" s="224" t="s">
        <v>1060</v>
      </c>
      <c r="C81" s="13">
        <f>SUM('3.felh'!C90)</f>
        <v>58156</v>
      </c>
      <c r="D81" s="13">
        <f>SUM('3.felh'!D90)</f>
        <v>58156</v>
      </c>
      <c r="E81" s="13">
        <f>SUM('3.felh'!E90)</f>
        <v>58156</v>
      </c>
      <c r="F81" s="13">
        <f>SUM('3.felh'!F90)</f>
        <v>58156</v>
      </c>
      <c r="G81" s="13"/>
      <c r="H81" s="13">
        <f>SUM('3.felh'!H90)</f>
        <v>58156</v>
      </c>
      <c r="I81" s="2"/>
      <c r="J81" s="3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s="50" customFormat="1" ht="15" customHeight="1" x14ac:dyDescent="0.25">
      <c r="A82" s="14"/>
      <c r="B82" s="189" t="s">
        <v>380</v>
      </c>
      <c r="C82" s="43">
        <v>0</v>
      </c>
      <c r="D82" s="43">
        <v>0</v>
      </c>
      <c r="E82" s="43">
        <v>0</v>
      </c>
      <c r="F82" s="43">
        <v>0</v>
      </c>
      <c r="G82" s="43"/>
      <c r="H82" s="43">
        <v>0</v>
      </c>
      <c r="I82" s="2"/>
      <c r="J82" s="3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s="50" customFormat="1" ht="15" customHeight="1" thickBot="1" x14ac:dyDescent="0.3">
      <c r="A83" s="22"/>
      <c r="B83" s="186" t="s">
        <v>381</v>
      </c>
      <c r="C83" s="171">
        <v>0</v>
      </c>
      <c r="D83" s="171">
        <v>0</v>
      </c>
      <c r="E83" s="171">
        <v>0</v>
      </c>
      <c r="F83" s="171">
        <v>0</v>
      </c>
      <c r="G83" s="171"/>
      <c r="H83" s="171">
        <v>0</v>
      </c>
      <c r="I83" s="2"/>
      <c r="J83" s="3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21.75" customHeight="1" thickBot="1" x14ac:dyDescent="0.4">
      <c r="A84" s="265"/>
      <c r="B84" s="216" t="s">
        <v>55</v>
      </c>
      <c r="C84" s="571">
        <f>SUM(C64+C77)</f>
        <v>2021214</v>
      </c>
      <c r="D84" s="571">
        <f>SUM(D64+D77)</f>
        <v>3149527</v>
      </c>
      <c r="E84" s="571">
        <f>SUM(E64+E77)</f>
        <v>3149527</v>
      </c>
      <c r="F84" s="179">
        <f>SUM(F64+F77)</f>
        <v>3710571</v>
      </c>
      <c r="G84" s="755"/>
      <c r="H84" s="48" t="e">
        <f>SUM(H64+H77)</f>
        <v>#REF!</v>
      </c>
      <c r="I84" s="595">
        <f>F63-F84</f>
        <v>0</v>
      </c>
      <c r="J84" s="315">
        <f>F84-E84</f>
        <v>561044</v>
      </c>
      <c r="K84" s="7">
        <f>I84-I63</f>
        <v>0</v>
      </c>
      <c r="L84" s="2"/>
      <c r="M84" s="2"/>
      <c r="N84" s="7"/>
      <c r="O84" s="7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4.25" hidden="1" customHeight="1" thickBot="1" x14ac:dyDescent="0.25">
      <c r="C85" s="7">
        <f>SUM(C63-C84)</f>
        <v>0</v>
      </c>
      <c r="D85" s="7"/>
      <c r="E85" s="7"/>
      <c r="F85" s="7"/>
      <c r="G85" s="7"/>
      <c r="H85" s="7" t="e">
        <f>SUM(H63-H84)</f>
        <v>#REF!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5.75" hidden="1" customHeight="1" x14ac:dyDescent="0.2">
      <c r="B86" s="2" t="s">
        <v>466</v>
      </c>
      <c r="C86" s="7">
        <f>SUM(C68+C76)</f>
        <v>210392</v>
      </c>
      <c r="D86" s="7"/>
      <c r="E86" s="7"/>
      <c r="F86" s="7"/>
      <c r="G86" s="7"/>
      <c r="H86" s="7">
        <f>SUM(H68+H76)</f>
        <v>91565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.75" hidden="1" customHeight="1" x14ac:dyDescent="0.2">
      <c r="C87" s="7">
        <f>SUM(C63-C84)</f>
        <v>0</v>
      </c>
      <c r="D87" s="7">
        <f>SUM(D63-D84)</f>
        <v>0</v>
      </c>
      <c r="E87" s="7">
        <f>SUM(E63-E84)</f>
        <v>0</v>
      </c>
      <c r="F87" s="7">
        <f>SUM(F63-F84)</f>
        <v>0</v>
      </c>
      <c r="G87" s="7"/>
      <c r="H87" s="7" t="e">
        <f>SUM(H63-H84)</f>
        <v>#REF!</v>
      </c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27" hidden="1" customHeight="1" x14ac:dyDescent="0.2">
      <c r="B88" s="230" t="s">
        <v>877</v>
      </c>
      <c r="C88" s="7" t="e">
        <f>SUM(C8-C66-C67-C79-C81)+'8.Önk.'!C140+'8.Önk.'!#REF!</f>
        <v>#REF!</v>
      </c>
      <c r="D88" s="2"/>
      <c r="E88" s="9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5" hidden="1" customHeight="1" x14ac:dyDescent="0.2">
      <c r="B89" t="s">
        <v>333</v>
      </c>
      <c r="C89" s="7">
        <f>SUM(C63-C84)</f>
        <v>0</v>
      </c>
      <c r="D89" s="2"/>
      <c r="E89" s="9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5.75" hidden="1" customHeight="1" x14ac:dyDescent="0.2">
      <c r="C90" s="7">
        <f>C63-C84</f>
        <v>0</v>
      </c>
      <c r="D90" s="7">
        <f>D63-D84</f>
        <v>0</v>
      </c>
      <c r="E90" s="7">
        <f>E63-E84</f>
        <v>0</v>
      </c>
      <c r="F90" s="7">
        <f>F63-F84</f>
        <v>0</v>
      </c>
      <c r="G90" s="7"/>
      <c r="H90" s="7" t="e">
        <f>H63-H84</f>
        <v>#REF!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5.75" customHeight="1" x14ac:dyDescent="0.2">
      <c r="B91" s="2"/>
      <c r="C91" s="2"/>
      <c r="D91" s="7"/>
      <c r="E91" s="90"/>
      <c r="F91" s="2"/>
      <c r="G91" s="2"/>
      <c r="H91" s="2"/>
      <c r="I91" s="2"/>
      <c r="J91" s="2"/>
      <c r="K91" s="2"/>
      <c r="L91" s="2"/>
      <c r="M91" s="2"/>
      <c r="N91" s="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5.75" customHeight="1" x14ac:dyDescent="0.2">
      <c r="B92" s="2"/>
      <c r="C92" s="2"/>
      <c r="D92" s="2"/>
      <c r="E92" s="9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5.75" customHeight="1" x14ac:dyDescent="0.2">
      <c r="B93" s="2"/>
      <c r="C93" s="2"/>
      <c r="D93" s="2"/>
      <c r="E93" s="9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customHeight="1" x14ac:dyDescent="0.2">
      <c r="B94" s="2"/>
      <c r="C94" s="2"/>
      <c r="D94" s="2"/>
      <c r="E94" s="9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5.75" customHeight="1" x14ac:dyDescent="0.2">
      <c r="B95" s="2"/>
      <c r="C95" s="2"/>
      <c r="D95" s="2"/>
      <c r="E95" s="9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5.75" customHeight="1" x14ac:dyDescent="0.2">
      <c r="B96" s="2"/>
      <c r="C96" s="2"/>
      <c r="D96" s="2"/>
      <c r="E96" s="9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2:43" ht="15.75" customHeight="1" x14ac:dyDescent="0.2">
      <c r="B97" s="2"/>
      <c r="C97" s="2"/>
      <c r="D97" s="2"/>
      <c r="E97" s="9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2:43" ht="15.75" customHeight="1" x14ac:dyDescent="0.2">
      <c r="B98" s="2"/>
      <c r="C98" s="2"/>
      <c r="D98" s="2"/>
      <c r="E98" s="9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2:43" ht="15.75" customHeight="1" x14ac:dyDescent="0.2">
      <c r="B99" s="2"/>
      <c r="C99" s="2"/>
      <c r="D99" s="2"/>
      <c r="E99" s="9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2:43" ht="15.75" customHeight="1" x14ac:dyDescent="0.2">
      <c r="B100" s="2"/>
      <c r="C100" s="2"/>
      <c r="D100" s="2"/>
      <c r="E100" s="9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2:43" ht="15.75" customHeight="1" x14ac:dyDescent="0.2">
      <c r="B101" s="2"/>
      <c r="C101" s="2"/>
      <c r="D101" s="2"/>
      <c r="E101" s="9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2:43" ht="15.75" customHeight="1" x14ac:dyDescent="0.2">
      <c r="B102" s="2"/>
      <c r="C102" s="2"/>
      <c r="D102" s="2"/>
      <c r="E102" s="9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2:43" ht="15.75" customHeight="1" x14ac:dyDescent="0.2">
      <c r="B103" s="2"/>
      <c r="C103" s="2"/>
      <c r="D103" s="2"/>
      <c r="E103" s="9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2:43" ht="15.75" customHeight="1" x14ac:dyDescent="0.2">
      <c r="B104" s="2"/>
      <c r="C104" s="2"/>
      <c r="D104" s="2"/>
      <c r="E104" s="9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2:43" ht="15.75" customHeight="1" x14ac:dyDescent="0.2">
      <c r="B105" s="2"/>
      <c r="C105" s="2"/>
      <c r="D105" s="2"/>
      <c r="E105" s="9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2:43" ht="15.75" customHeight="1" x14ac:dyDescent="0.2">
      <c r="B106" s="2"/>
      <c r="C106" s="2"/>
      <c r="D106" s="2"/>
      <c r="E106" s="9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2:43" ht="15.75" customHeight="1" x14ac:dyDescent="0.2">
      <c r="B107" s="2"/>
      <c r="C107" s="2"/>
      <c r="D107" s="2"/>
      <c r="E107" s="9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2:43" ht="15.75" customHeight="1" x14ac:dyDescent="0.2">
      <c r="B108" s="2"/>
      <c r="C108" s="2"/>
      <c r="D108" s="2"/>
      <c r="E108" s="9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2:43" ht="15.75" customHeight="1" x14ac:dyDescent="0.2">
      <c r="B109" s="2"/>
      <c r="C109" s="2"/>
      <c r="D109" s="2"/>
      <c r="E109" s="9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2:43" ht="15.75" customHeight="1" x14ac:dyDescent="0.2">
      <c r="B110" s="2"/>
      <c r="C110" s="2"/>
      <c r="D110" s="2"/>
      <c r="E110" s="9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2:43" ht="15.75" customHeight="1" x14ac:dyDescent="0.2">
      <c r="B111" s="2"/>
      <c r="C111" s="2"/>
      <c r="D111" s="2"/>
      <c r="E111" s="9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2:43" ht="15.75" customHeight="1" x14ac:dyDescent="0.2">
      <c r="B112" s="2"/>
      <c r="C112" s="2"/>
      <c r="D112" s="2"/>
      <c r="E112" s="9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2:43" ht="15.75" customHeight="1" x14ac:dyDescent="0.2">
      <c r="B113" s="2"/>
      <c r="C113" s="2"/>
      <c r="D113" s="2"/>
      <c r="E113" s="9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2:43" ht="15.75" customHeight="1" x14ac:dyDescent="0.2">
      <c r="B114" s="2"/>
      <c r="C114" s="2"/>
      <c r="D114" s="2"/>
      <c r="E114" s="9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2:43" ht="15.75" customHeight="1" x14ac:dyDescent="0.2">
      <c r="B115" s="2"/>
      <c r="C115" s="2"/>
      <c r="D115" s="2"/>
      <c r="E115" s="9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2:43" ht="15.75" customHeight="1" x14ac:dyDescent="0.2">
      <c r="B116" s="2"/>
      <c r="C116" s="2"/>
      <c r="D116" s="2"/>
      <c r="E116" s="9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2:43" ht="15.75" customHeight="1" x14ac:dyDescent="0.2">
      <c r="B117" s="2"/>
      <c r="C117" s="2"/>
      <c r="D117" s="2"/>
      <c r="E117" s="9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2:43" ht="15.75" customHeight="1" x14ac:dyDescent="0.2">
      <c r="B118" s="2"/>
      <c r="C118" s="2"/>
      <c r="D118" s="2"/>
      <c r="E118" s="9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2:43" ht="15.75" customHeight="1" x14ac:dyDescent="0.2">
      <c r="B119" s="2"/>
      <c r="C119" s="2"/>
      <c r="D119" s="2"/>
      <c r="E119" s="9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2:43" ht="15.75" customHeight="1" x14ac:dyDescent="0.2">
      <c r="B120" s="2"/>
      <c r="C120" s="2"/>
      <c r="D120" s="2"/>
      <c r="E120" s="9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2:43" ht="15.75" customHeight="1" x14ac:dyDescent="0.2">
      <c r="B121" s="2"/>
      <c r="C121" s="2"/>
      <c r="D121" s="2"/>
      <c r="E121" s="9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2:43" ht="15.75" customHeight="1" x14ac:dyDescent="0.2">
      <c r="B122" s="2"/>
      <c r="C122" s="2"/>
      <c r="D122" s="2"/>
      <c r="E122" s="9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2:43" ht="15.75" customHeight="1" x14ac:dyDescent="0.2">
      <c r="B123" s="2"/>
      <c r="C123" s="2"/>
      <c r="D123" s="2"/>
      <c r="E123" s="9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2:43" ht="15.75" customHeight="1" x14ac:dyDescent="0.2">
      <c r="B124" s="2"/>
      <c r="C124" s="2"/>
      <c r="D124" s="2"/>
      <c r="E124" s="9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2:43" ht="15.75" customHeight="1" x14ac:dyDescent="0.2">
      <c r="B125" s="2"/>
      <c r="C125" s="2"/>
      <c r="D125" s="2"/>
      <c r="E125" s="9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2:43" ht="15.75" customHeight="1" x14ac:dyDescent="0.2">
      <c r="B126" s="2"/>
      <c r="C126" s="2"/>
      <c r="D126" s="2"/>
      <c r="E126" s="9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2:43" ht="15.75" customHeight="1" x14ac:dyDescent="0.2">
      <c r="B127" s="2"/>
      <c r="C127" s="2"/>
      <c r="D127" s="2"/>
      <c r="E127" s="9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2:43" ht="15.75" customHeight="1" x14ac:dyDescent="0.2">
      <c r="B128" s="2"/>
      <c r="C128" s="2"/>
      <c r="D128" s="2"/>
      <c r="E128" s="9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2:43" ht="15.75" customHeight="1" x14ac:dyDescent="0.2">
      <c r="B129" s="2"/>
      <c r="C129" s="2"/>
      <c r="D129" s="2"/>
      <c r="E129" s="9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2:43" ht="15.75" customHeight="1" x14ac:dyDescent="0.2">
      <c r="B130" s="2"/>
      <c r="C130" s="2"/>
      <c r="D130" s="2"/>
      <c r="E130" s="9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2:43" ht="15.75" customHeight="1" x14ac:dyDescent="0.2">
      <c r="B131" s="2"/>
      <c r="C131" s="2"/>
      <c r="D131" s="2"/>
      <c r="E131" s="9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2:43" ht="15.75" customHeight="1" x14ac:dyDescent="0.2">
      <c r="B132" s="2"/>
      <c r="C132" s="2"/>
      <c r="D132" s="2"/>
      <c r="E132" s="9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2:43" ht="15.75" customHeight="1" x14ac:dyDescent="0.2">
      <c r="B133" s="2"/>
      <c r="C133" s="2"/>
      <c r="D133" s="2"/>
      <c r="E133" s="9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2:43" ht="15.75" customHeight="1" x14ac:dyDescent="0.2">
      <c r="B134" s="2"/>
      <c r="C134" s="2"/>
      <c r="D134" s="2"/>
      <c r="E134" s="9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2:43" ht="15.75" customHeight="1" x14ac:dyDescent="0.2">
      <c r="B135" s="2"/>
      <c r="C135" s="2"/>
      <c r="D135" s="2"/>
      <c r="E135" s="9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2:43" ht="15.75" customHeight="1" x14ac:dyDescent="0.2">
      <c r="B136" s="2"/>
      <c r="C136" s="2"/>
      <c r="D136" s="2"/>
      <c r="E136" s="9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2:43" ht="15.75" customHeight="1" x14ac:dyDescent="0.2">
      <c r="B137" s="2"/>
      <c r="C137" s="2"/>
      <c r="D137" s="2"/>
      <c r="E137" s="9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2:43" ht="15.75" customHeight="1" x14ac:dyDescent="0.2">
      <c r="B138" s="2"/>
      <c r="C138" s="2"/>
      <c r="D138" s="2"/>
      <c r="E138" s="9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2:43" ht="15.75" customHeight="1" x14ac:dyDescent="0.2">
      <c r="B139" s="2"/>
      <c r="C139" s="2"/>
      <c r="D139" s="2"/>
      <c r="E139" s="9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2:43" ht="15.75" customHeight="1" x14ac:dyDescent="0.2">
      <c r="B140" s="2"/>
      <c r="C140" s="2"/>
      <c r="D140" s="2"/>
      <c r="E140" s="9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2:43" ht="15.75" customHeight="1" x14ac:dyDescent="0.2">
      <c r="B141" s="2"/>
      <c r="C141" s="2"/>
      <c r="D141" s="2"/>
      <c r="E141" s="9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2:43" ht="15.75" customHeight="1" x14ac:dyDescent="0.2">
      <c r="B142" s="2"/>
      <c r="C142" s="2"/>
      <c r="D142" s="2"/>
      <c r="E142" s="9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2:43" ht="15.75" customHeight="1" x14ac:dyDescent="0.2">
      <c r="B143" s="2"/>
      <c r="C143" s="2"/>
      <c r="D143" s="2"/>
      <c r="E143" s="9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2:43" ht="15.75" customHeight="1" x14ac:dyDescent="0.2">
      <c r="B144" s="2"/>
      <c r="C144" s="2"/>
      <c r="D144" s="2"/>
      <c r="E144" s="9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2:43" ht="15.75" customHeight="1" x14ac:dyDescent="0.2">
      <c r="B145" s="2"/>
      <c r="C145" s="2"/>
      <c r="D145" s="2"/>
      <c r="E145" s="9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2:43" ht="15.75" customHeight="1" x14ac:dyDescent="0.2">
      <c r="B146" s="2"/>
      <c r="C146" s="2"/>
      <c r="D146" s="2"/>
      <c r="E146" s="9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2:43" ht="15.75" customHeight="1" x14ac:dyDescent="0.2">
      <c r="B147" s="2"/>
      <c r="C147" s="2"/>
      <c r="D147" s="2"/>
      <c r="E147" s="9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2:43" ht="15.75" customHeight="1" x14ac:dyDescent="0.2">
      <c r="B148" s="2"/>
      <c r="C148" s="2"/>
      <c r="D148" s="2"/>
      <c r="E148" s="9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2:43" ht="15.75" customHeight="1" x14ac:dyDescent="0.2">
      <c r="B149" s="2"/>
      <c r="C149" s="2"/>
      <c r="D149" s="2"/>
      <c r="E149" s="9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2:43" ht="15.75" customHeight="1" x14ac:dyDescent="0.2">
      <c r="B150" s="2"/>
      <c r="C150" s="2"/>
      <c r="D150" s="2"/>
      <c r="E150" s="9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2:43" ht="15.75" customHeight="1" x14ac:dyDescent="0.2">
      <c r="B151" s="2"/>
      <c r="C151" s="2"/>
      <c r="D151" s="2"/>
      <c r="E151" s="9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2:43" ht="15.75" customHeight="1" x14ac:dyDescent="0.2">
      <c r="B152" s="2"/>
      <c r="C152" s="2"/>
      <c r="D152" s="2"/>
      <c r="E152" s="9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2:43" ht="15.75" customHeight="1" x14ac:dyDescent="0.2">
      <c r="B153" s="2"/>
      <c r="C153" s="2"/>
      <c r="D153" s="2"/>
      <c r="E153" s="9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2:43" ht="15.75" customHeight="1" x14ac:dyDescent="0.2">
      <c r="B154" s="2"/>
      <c r="C154" s="2"/>
      <c r="D154" s="2"/>
      <c r="E154" s="9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2:43" ht="15.75" customHeight="1" x14ac:dyDescent="0.2">
      <c r="B155" s="2"/>
      <c r="C155" s="2"/>
      <c r="D155" s="2"/>
      <c r="E155" s="9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2:43" ht="15.75" customHeight="1" x14ac:dyDescent="0.2">
      <c r="B156" s="2"/>
      <c r="C156" s="2"/>
      <c r="D156" s="2"/>
      <c r="E156" s="9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2:43" ht="15.75" customHeight="1" x14ac:dyDescent="0.2">
      <c r="B157" s="2"/>
      <c r="C157" s="2"/>
      <c r="D157" s="2"/>
      <c r="E157" s="9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2:43" ht="15.75" customHeight="1" x14ac:dyDescent="0.2">
      <c r="B158" s="2"/>
      <c r="C158" s="2"/>
      <c r="D158" s="2"/>
      <c r="E158" s="9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2:43" ht="15.75" customHeight="1" x14ac:dyDescent="0.2">
      <c r="B159" s="2"/>
      <c r="C159" s="2"/>
      <c r="D159" s="2"/>
      <c r="E159" s="9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2:43" ht="15.75" customHeight="1" x14ac:dyDescent="0.2">
      <c r="B160" s="2"/>
      <c r="C160" s="2"/>
      <c r="D160" s="2"/>
      <c r="E160" s="9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2:43" ht="15.75" customHeight="1" x14ac:dyDescent="0.2">
      <c r="B161" s="2"/>
      <c r="C161" s="2"/>
      <c r="D161" s="2"/>
      <c r="E161" s="9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2:43" ht="15.75" customHeight="1" x14ac:dyDescent="0.2">
      <c r="B162" s="2"/>
      <c r="C162" s="2"/>
      <c r="D162" s="2"/>
      <c r="E162" s="9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2:43" ht="15.75" customHeight="1" x14ac:dyDescent="0.2">
      <c r="B163" s="2"/>
      <c r="C163" s="2"/>
      <c r="D163" s="2"/>
      <c r="E163" s="9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2:43" ht="15.75" customHeight="1" x14ac:dyDescent="0.2">
      <c r="B164" s="2"/>
      <c r="C164" s="2"/>
      <c r="D164" s="2"/>
      <c r="E164" s="9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2:43" ht="15.75" customHeight="1" x14ac:dyDescent="0.2">
      <c r="B165" s="2"/>
      <c r="C165" s="2"/>
      <c r="D165" s="2"/>
      <c r="E165" s="9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2:43" ht="15.75" customHeight="1" x14ac:dyDescent="0.2">
      <c r="B166" s="2"/>
      <c r="C166" s="2"/>
      <c r="D166" s="2"/>
      <c r="E166" s="9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2:43" ht="15.75" customHeight="1" x14ac:dyDescent="0.2">
      <c r="B167" s="2"/>
      <c r="C167" s="2"/>
      <c r="D167" s="2"/>
      <c r="E167" s="9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2:43" ht="15.75" customHeight="1" x14ac:dyDescent="0.2">
      <c r="B168" s="2"/>
      <c r="C168" s="2"/>
      <c r="D168" s="2"/>
      <c r="E168" s="9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2:43" ht="15.75" customHeight="1" x14ac:dyDescent="0.2">
      <c r="B169" s="2"/>
      <c r="C169" s="2"/>
      <c r="D169" s="2"/>
      <c r="E169" s="9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2:43" ht="15.75" customHeight="1" x14ac:dyDescent="0.2">
      <c r="B170" s="2"/>
      <c r="C170" s="29"/>
      <c r="D170" s="29"/>
      <c r="E170" s="263"/>
      <c r="F170" s="29"/>
      <c r="G170" s="29"/>
      <c r="H170" s="2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2:43" ht="15.75" customHeight="1" x14ac:dyDescent="0.2">
      <c r="B171" s="2"/>
      <c r="C171" s="29"/>
      <c r="D171" s="29"/>
      <c r="E171" s="263"/>
      <c r="F171" s="29"/>
      <c r="G171" s="29"/>
      <c r="H171" s="2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2:43" ht="15.75" customHeight="1" x14ac:dyDescent="0.2">
      <c r="B172" s="2"/>
      <c r="C172" s="29"/>
      <c r="D172" s="29"/>
      <c r="E172" s="263"/>
      <c r="F172" s="29"/>
      <c r="G172" s="29"/>
      <c r="H172" s="2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2:43" ht="15.75" customHeight="1" x14ac:dyDescent="0.2">
      <c r="B173" s="2"/>
      <c r="C173" s="29"/>
      <c r="D173" s="29"/>
      <c r="E173" s="263"/>
      <c r="F173" s="29"/>
      <c r="G173" s="29"/>
      <c r="H173" s="2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2:43" ht="15.75" customHeight="1" x14ac:dyDescent="0.2">
      <c r="B174" s="2"/>
      <c r="C174" s="29"/>
      <c r="D174" s="29"/>
      <c r="E174" s="263"/>
      <c r="F174" s="29"/>
      <c r="G174" s="29"/>
      <c r="H174" s="2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2:43" ht="15.75" customHeight="1" x14ac:dyDescent="0.2">
      <c r="B175" s="2"/>
      <c r="C175" s="29"/>
      <c r="D175" s="29"/>
      <c r="E175" s="263"/>
      <c r="F175" s="29"/>
      <c r="G175" s="29"/>
      <c r="H175" s="2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2:43" ht="15.75" customHeight="1" x14ac:dyDescent="0.2">
      <c r="B176" s="2"/>
      <c r="C176" s="29"/>
      <c r="D176" s="29"/>
      <c r="E176" s="263"/>
      <c r="F176" s="29"/>
      <c r="G176" s="29"/>
      <c r="H176" s="2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2:43" ht="15.75" customHeight="1" x14ac:dyDescent="0.2">
      <c r="B177" s="2"/>
      <c r="C177" s="29"/>
      <c r="D177" s="29"/>
      <c r="E177" s="263"/>
      <c r="F177" s="29"/>
      <c r="G177" s="29"/>
      <c r="H177" s="2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2:43" ht="15.75" customHeight="1" x14ac:dyDescent="0.2">
      <c r="B178" s="2"/>
      <c r="C178" s="29"/>
      <c r="D178" s="29"/>
      <c r="E178" s="263"/>
      <c r="F178" s="29"/>
      <c r="G178" s="29"/>
      <c r="H178" s="2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2:43" ht="15.75" customHeight="1" x14ac:dyDescent="0.2">
      <c r="B179" s="2"/>
      <c r="C179" s="29"/>
      <c r="D179" s="29"/>
      <c r="E179" s="263"/>
      <c r="F179" s="29"/>
      <c r="G179" s="29"/>
      <c r="H179" s="2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2:43" ht="15.75" customHeight="1" x14ac:dyDescent="0.2">
      <c r="B180" s="2"/>
      <c r="C180" s="29"/>
      <c r="D180" s="29"/>
      <c r="E180" s="263"/>
      <c r="F180" s="29"/>
      <c r="G180" s="29"/>
      <c r="H180" s="2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2:43" ht="15.75" customHeight="1" x14ac:dyDescent="0.2">
      <c r="B181" s="2"/>
      <c r="C181" s="29"/>
      <c r="D181" s="29"/>
      <c r="E181" s="263"/>
      <c r="F181" s="29"/>
      <c r="G181" s="29"/>
      <c r="H181" s="2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2:43" ht="15.75" customHeight="1" x14ac:dyDescent="0.2">
      <c r="B182" s="2"/>
      <c r="C182" s="29"/>
      <c r="D182" s="29"/>
      <c r="E182" s="263"/>
      <c r="F182" s="29"/>
      <c r="G182" s="29"/>
      <c r="H182" s="2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2:43" ht="15.75" customHeight="1" x14ac:dyDescent="0.2">
      <c r="B183" s="2"/>
      <c r="C183" s="29"/>
      <c r="D183" s="29"/>
      <c r="E183" s="263"/>
      <c r="F183" s="29"/>
      <c r="G183" s="29"/>
      <c r="H183" s="2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2:43" ht="15.75" customHeight="1" x14ac:dyDescent="0.2">
      <c r="B184" s="2"/>
      <c r="C184" s="29"/>
      <c r="D184" s="29"/>
      <c r="E184" s="263"/>
      <c r="F184" s="29"/>
      <c r="G184" s="29"/>
      <c r="H184" s="2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2:43" ht="15.75" customHeight="1" x14ac:dyDescent="0.2">
      <c r="B185" s="2"/>
      <c r="C185" s="29"/>
      <c r="D185" s="29"/>
      <c r="E185" s="263"/>
      <c r="F185" s="29"/>
      <c r="G185" s="29"/>
      <c r="H185" s="2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2:43" ht="15.75" customHeight="1" x14ac:dyDescent="0.2">
      <c r="B186" s="2"/>
      <c r="C186" s="29"/>
      <c r="D186" s="29"/>
      <c r="E186" s="263"/>
      <c r="F186" s="29"/>
      <c r="G186" s="29"/>
      <c r="H186" s="2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2:43" ht="15.75" customHeight="1" x14ac:dyDescent="0.2">
      <c r="B187" s="2"/>
      <c r="C187" s="29"/>
      <c r="D187" s="29"/>
      <c r="E187" s="263"/>
      <c r="F187" s="29"/>
      <c r="G187" s="29"/>
      <c r="H187" s="2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2:43" ht="15.75" customHeight="1" x14ac:dyDescent="0.2">
      <c r="B188" s="2"/>
      <c r="C188" s="29"/>
      <c r="D188" s="29"/>
      <c r="E188" s="263"/>
      <c r="F188" s="29"/>
      <c r="G188" s="29"/>
      <c r="H188" s="2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2:43" ht="15.75" customHeight="1" x14ac:dyDescent="0.2">
      <c r="B189" s="2"/>
      <c r="C189" s="29"/>
      <c r="D189" s="29"/>
      <c r="E189" s="263"/>
      <c r="F189" s="29"/>
      <c r="G189" s="29"/>
      <c r="H189" s="2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2:43" ht="15.75" customHeight="1" x14ac:dyDescent="0.2">
      <c r="B190" s="2"/>
      <c r="C190" s="29"/>
      <c r="D190" s="29"/>
      <c r="E190" s="263"/>
      <c r="F190" s="29"/>
      <c r="G190" s="29"/>
      <c r="H190" s="2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2:43" ht="15.75" customHeight="1" x14ac:dyDescent="0.2">
      <c r="B191" s="2"/>
      <c r="C191" s="29"/>
      <c r="D191" s="29"/>
      <c r="E191" s="263"/>
      <c r="F191" s="29"/>
      <c r="G191" s="29"/>
      <c r="H191" s="2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2:43" ht="15.75" customHeight="1" x14ac:dyDescent="0.2">
      <c r="B192" s="2"/>
      <c r="C192" s="29"/>
      <c r="D192" s="29"/>
      <c r="E192" s="263"/>
      <c r="F192" s="29"/>
      <c r="G192" s="29"/>
      <c r="H192" s="2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2:43" ht="15.75" customHeight="1" x14ac:dyDescent="0.2">
      <c r="B193" s="2"/>
      <c r="C193" s="29"/>
      <c r="D193" s="29"/>
      <c r="E193" s="263"/>
      <c r="F193" s="29"/>
      <c r="G193" s="29"/>
      <c r="H193" s="2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2:43" ht="15.75" customHeight="1" x14ac:dyDescent="0.2">
      <c r="B194" s="2"/>
      <c r="C194" s="29"/>
      <c r="D194" s="29"/>
      <c r="E194" s="263"/>
      <c r="F194" s="29"/>
      <c r="G194" s="29"/>
      <c r="H194" s="2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2:43" ht="15.75" customHeight="1" x14ac:dyDescent="0.2">
      <c r="B195" s="2"/>
      <c r="C195" s="29"/>
      <c r="D195" s="29"/>
      <c r="E195" s="263"/>
      <c r="F195" s="29"/>
      <c r="G195" s="29"/>
      <c r="H195" s="2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2:43" ht="15.75" customHeight="1" x14ac:dyDescent="0.2">
      <c r="B196" s="2"/>
      <c r="C196" s="29"/>
      <c r="D196" s="29"/>
      <c r="E196" s="263"/>
      <c r="F196" s="29"/>
      <c r="G196" s="29"/>
      <c r="H196" s="2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2:43" ht="15.75" customHeight="1" x14ac:dyDescent="0.2">
      <c r="B197" s="2"/>
      <c r="C197" s="29"/>
      <c r="D197" s="29"/>
      <c r="E197" s="263"/>
      <c r="F197" s="29"/>
      <c r="G197" s="29"/>
      <c r="H197" s="2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2:43" ht="15.75" customHeight="1" x14ac:dyDescent="0.2">
      <c r="B198" s="2"/>
      <c r="C198" s="29"/>
      <c r="D198" s="29"/>
      <c r="E198" s="263"/>
      <c r="F198" s="29"/>
      <c r="G198" s="29"/>
      <c r="H198" s="2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2:43" ht="15.75" customHeight="1" x14ac:dyDescent="0.2">
      <c r="B199" s="2"/>
      <c r="C199" s="29"/>
      <c r="D199" s="29"/>
      <c r="E199" s="263"/>
      <c r="F199" s="29"/>
      <c r="G199" s="29"/>
      <c r="H199" s="2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2:43" ht="15.75" customHeight="1" x14ac:dyDescent="0.2">
      <c r="B200" s="2"/>
      <c r="C200" s="29"/>
      <c r="D200" s="29"/>
      <c r="E200" s="263"/>
      <c r="F200" s="29"/>
      <c r="G200" s="29"/>
      <c r="H200" s="2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2:43" ht="15.75" customHeight="1" x14ac:dyDescent="0.2">
      <c r="B201" s="2"/>
      <c r="C201" s="29"/>
      <c r="D201" s="29"/>
      <c r="E201" s="263"/>
      <c r="F201" s="29"/>
      <c r="G201" s="29"/>
      <c r="H201" s="2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2:43" ht="15.75" customHeight="1" x14ac:dyDescent="0.2">
      <c r="B202" s="2"/>
      <c r="C202" s="29"/>
      <c r="D202" s="29"/>
      <c r="E202" s="263"/>
      <c r="F202" s="29"/>
      <c r="G202" s="29"/>
      <c r="H202" s="2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2:43" ht="15.75" customHeight="1" x14ac:dyDescent="0.2">
      <c r="B203" s="2"/>
      <c r="C203" s="29"/>
      <c r="D203" s="29"/>
      <c r="E203" s="263"/>
      <c r="F203" s="29"/>
      <c r="G203" s="29"/>
      <c r="H203" s="2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2:43" ht="15.75" customHeight="1" x14ac:dyDescent="0.2">
      <c r="B204" s="2"/>
      <c r="C204" s="29"/>
      <c r="D204" s="29"/>
      <c r="E204" s="263"/>
      <c r="F204" s="29"/>
      <c r="G204" s="29"/>
      <c r="H204" s="2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2:43" ht="15.75" customHeight="1" x14ac:dyDescent="0.2">
      <c r="B205" s="2"/>
      <c r="C205" s="29"/>
      <c r="D205" s="29"/>
      <c r="E205" s="263"/>
      <c r="F205" s="29"/>
      <c r="G205" s="29"/>
      <c r="H205" s="2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2:43" ht="15.75" customHeight="1" x14ac:dyDescent="0.2">
      <c r="B206" s="2"/>
      <c r="C206" s="29"/>
      <c r="D206" s="29"/>
      <c r="E206" s="263"/>
      <c r="F206" s="29"/>
      <c r="G206" s="29"/>
      <c r="H206" s="2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2:43" ht="15.75" customHeight="1" x14ac:dyDescent="0.2">
      <c r="B207" s="2"/>
      <c r="C207" s="29"/>
      <c r="D207" s="29"/>
      <c r="E207" s="263"/>
      <c r="F207" s="29"/>
      <c r="G207" s="29"/>
      <c r="H207" s="2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2:43" ht="15.75" customHeight="1" x14ac:dyDescent="0.2">
      <c r="B208" s="2"/>
      <c r="C208" s="29"/>
      <c r="D208" s="29"/>
      <c r="E208" s="263"/>
      <c r="F208" s="29"/>
      <c r="G208" s="29"/>
      <c r="H208" s="2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2:43" ht="15.75" customHeight="1" x14ac:dyDescent="0.2">
      <c r="B209" s="2"/>
      <c r="C209" s="29"/>
      <c r="D209" s="29"/>
      <c r="E209" s="263"/>
      <c r="F209" s="29"/>
      <c r="G209" s="29"/>
      <c r="H209" s="2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2:43" ht="15.75" customHeight="1" x14ac:dyDescent="0.2">
      <c r="B210" s="2"/>
      <c r="C210" s="29"/>
      <c r="D210" s="29"/>
      <c r="E210" s="263"/>
      <c r="F210" s="29"/>
      <c r="G210" s="29"/>
      <c r="H210" s="2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2:43" ht="15.75" customHeight="1" x14ac:dyDescent="0.2">
      <c r="B211" s="2"/>
      <c r="C211" s="29"/>
      <c r="D211" s="29"/>
      <c r="E211" s="263"/>
      <c r="F211" s="29"/>
      <c r="G211" s="29"/>
      <c r="H211" s="2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2:43" ht="15.75" customHeight="1" x14ac:dyDescent="0.2">
      <c r="B212" s="2"/>
      <c r="C212" s="29"/>
      <c r="D212" s="29"/>
      <c r="E212" s="263"/>
      <c r="F212" s="29"/>
      <c r="G212" s="29"/>
      <c r="H212" s="2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2:43" ht="15.75" customHeight="1" x14ac:dyDescent="0.2">
      <c r="B213" s="2"/>
      <c r="C213" s="29"/>
      <c r="D213" s="29"/>
      <c r="E213" s="263"/>
      <c r="F213" s="29"/>
      <c r="G213" s="29"/>
      <c r="H213" s="2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2:43" ht="15.75" customHeight="1" x14ac:dyDescent="0.2">
      <c r="B214" s="2"/>
      <c r="C214" s="29"/>
      <c r="D214" s="29"/>
      <c r="E214" s="263"/>
      <c r="F214" s="29"/>
      <c r="G214" s="29"/>
      <c r="H214" s="2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2:43" ht="15.75" customHeight="1" x14ac:dyDescent="0.2">
      <c r="B215" s="2"/>
      <c r="C215" s="29"/>
      <c r="D215" s="29"/>
      <c r="E215" s="263"/>
      <c r="F215" s="29"/>
      <c r="G215" s="29"/>
      <c r="H215" s="2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2:43" ht="15.75" customHeight="1" x14ac:dyDescent="0.2">
      <c r="B216" s="2"/>
      <c r="C216" s="29"/>
      <c r="D216" s="29"/>
      <c r="E216" s="263"/>
      <c r="F216" s="29"/>
      <c r="G216" s="29"/>
      <c r="H216" s="2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2:43" ht="15.75" customHeight="1" x14ac:dyDescent="0.2">
      <c r="B217" s="2"/>
      <c r="C217" s="29"/>
      <c r="D217" s="29"/>
      <c r="E217" s="263"/>
      <c r="F217" s="29"/>
      <c r="G217" s="29"/>
      <c r="H217" s="2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2:43" ht="15.75" customHeight="1" x14ac:dyDescent="0.2">
      <c r="B218" s="2"/>
      <c r="C218" s="29"/>
      <c r="D218" s="29"/>
      <c r="E218" s="263"/>
      <c r="F218" s="29"/>
      <c r="G218" s="29"/>
      <c r="H218" s="2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2:43" ht="15.75" customHeight="1" x14ac:dyDescent="0.2">
      <c r="B219" s="2"/>
      <c r="C219" s="29"/>
      <c r="D219" s="29"/>
      <c r="E219" s="263"/>
      <c r="F219" s="29"/>
      <c r="G219" s="29"/>
      <c r="H219" s="2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2:43" ht="15.75" customHeight="1" x14ac:dyDescent="0.2">
      <c r="B220" s="2"/>
      <c r="C220" s="29"/>
      <c r="D220" s="29"/>
      <c r="E220" s="263"/>
      <c r="F220" s="29"/>
      <c r="G220" s="29"/>
      <c r="H220" s="2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2:43" ht="15.75" customHeight="1" x14ac:dyDescent="0.2">
      <c r="B221" s="2"/>
      <c r="C221" s="29"/>
      <c r="D221" s="29"/>
      <c r="E221" s="263"/>
      <c r="F221" s="29"/>
      <c r="G221" s="29"/>
      <c r="H221" s="2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2:43" ht="15.75" customHeight="1" x14ac:dyDescent="0.2">
      <c r="B222" s="2"/>
      <c r="C222" s="29"/>
      <c r="D222" s="29"/>
      <c r="E222" s="263"/>
      <c r="F222" s="29"/>
      <c r="G222" s="29"/>
      <c r="H222" s="2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2:43" ht="15.75" customHeight="1" x14ac:dyDescent="0.2">
      <c r="B223" s="2"/>
      <c r="C223" s="29"/>
      <c r="D223" s="29"/>
      <c r="E223" s="263"/>
      <c r="F223" s="29"/>
      <c r="G223" s="29"/>
      <c r="H223" s="2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2:43" ht="15.75" customHeight="1" x14ac:dyDescent="0.2">
      <c r="B224" s="2"/>
      <c r="C224" s="29"/>
      <c r="D224" s="29"/>
      <c r="E224" s="263"/>
      <c r="F224" s="29"/>
      <c r="G224" s="29"/>
      <c r="H224" s="2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2:43" ht="15.75" customHeight="1" x14ac:dyDescent="0.2">
      <c r="B225" s="2"/>
      <c r="C225" s="29"/>
      <c r="D225" s="29"/>
      <c r="E225" s="263"/>
      <c r="F225" s="29"/>
      <c r="G225" s="29"/>
      <c r="H225" s="2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2:43" ht="15.75" customHeight="1" x14ac:dyDescent="0.2">
      <c r="B226" s="2"/>
      <c r="C226" s="29"/>
      <c r="D226" s="29"/>
      <c r="E226" s="263"/>
      <c r="F226" s="29"/>
      <c r="G226" s="29"/>
      <c r="H226" s="2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2:43" ht="15.75" customHeight="1" x14ac:dyDescent="0.2">
      <c r="B227" s="2"/>
      <c r="C227" s="29"/>
      <c r="D227" s="29"/>
      <c r="E227" s="263"/>
      <c r="F227" s="29"/>
      <c r="G227" s="29"/>
      <c r="H227" s="2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2:43" ht="15.75" customHeight="1" x14ac:dyDescent="0.2">
      <c r="B228" s="2"/>
      <c r="C228" s="29"/>
      <c r="D228" s="29"/>
      <c r="E228" s="263"/>
      <c r="F228" s="29"/>
      <c r="G228" s="29"/>
      <c r="H228" s="2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2:43" ht="15.75" customHeight="1" x14ac:dyDescent="0.2">
      <c r="B229" s="2"/>
      <c r="C229" s="29"/>
      <c r="D229" s="29"/>
      <c r="E229" s="263"/>
      <c r="F229" s="29"/>
      <c r="G229" s="29"/>
      <c r="H229" s="2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2:43" ht="15.75" customHeight="1" x14ac:dyDescent="0.2">
      <c r="B230" s="2"/>
      <c r="C230" s="29"/>
      <c r="D230" s="29"/>
      <c r="E230" s="263"/>
      <c r="F230" s="29"/>
      <c r="G230" s="29"/>
      <c r="H230" s="2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2:43" ht="15.75" customHeight="1" x14ac:dyDescent="0.2">
      <c r="B231" s="2"/>
      <c r="C231" s="29"/>
      <c r="D231" s="29"/>
      <c r="E231" s="263"/>
      <c r="F231" s="29"/>
      <c r="G231" s="29"/>
      <c r="H231" s="2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2:43" ht="15.75" customHeight="1" x14ac:dyDescent="0.2">
      <c r="B232" s="2"/>
      <c r="C232" s="29"/>
      <c r="D232" s="29"/>
      <c r="E232" s="263"/>
      <c r="F232" s="29"/>
      <c r="G232" s="29"/>
      <c r="H232" s="2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2:43" ht="15.75" customHeight="1" x14ac:dyDescent="0.2">
      <c r="B233" s="2"/>
      <c r="C233" s="29"/>
      <c r="D233" s="29"/>
      <c r="E233" s="263"/>
      <c r="F233" s="29"/>
      <c r="G233" s="29"/>
      <c r="H233" s="2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2:43" ht="15.75" customHeight="1" x14ac:dyDescent="0.2">
      <c r="B234" s="2"/>
      <c r="C234" s="29"/>
      <c r="D234" s="29"/>
      <c r="E234" s="263"/>
      <c r="F234" s="29"/>
      <c r="G234" s="29"/>
      <c r="H234" s="2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2:43" ht="15.75" customHeight="1" x14ac:dyDescent="0.2">
      <c r="B235" s="2"/>
      <c r="C235" s="29"/>
      <c r="D235" s="29"/>
      <c r="E235" s="263"/>
      <c r="F235" s="29"/>
      <c r="G235" s="29"/>
      <c r="H235" s="2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2:43" ht="15.75" customHeight="1" x14ac:dyDescent="0.2">
      <c r="B236" s="2"/>
      <c r="C236" s="29"/>
      <c r="D236" s="29"/>
      <c r="E236" s="263"/>
      <c r="F236" s="29"/>
      <c r="G236" s="29"/>
      <c r="H236" s="2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2:43" ht="15.75" customHeight="1" x14ac:dyDescent="0.2">
      <c r="B237" s="2"/>
      <c r="C237" s="29"/>
      <c r="D237" s="29"/>
      <c r="E237" s="263"/>
      <c r="F237" s="29"/>
      <c r="G237" s="29"/>
      <c r="H237" s="2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2:43" ht="15.75" customHeight="1" x14ac:dyDescent="0.2">
      <c r="B238" s="2"/>
      <c r="C238" s="29"/>
      <c r="D238" s="29"/>
      <c r="E238" s="263"/>
      <c r="F238" s="29"/>
      <c r="G238" s="29"/>
      <c r="H238" s="2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2:43" ht="15.75" customHeight="1" x14ac:dyDescent="0.2">
      <c r="B239" s="2"/>
      <c r="C239" s="29"/>
      <c r="D239" s="29"/>
      <c r="E239" s="263"/>
      <c r="F239" s="29"/>
      <c r="G239" s="29"/>
      <c r="H239" s="2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2:43" ht="15.75" customHeight="1" x14ac:dyDescent="0.2">
      <c r="B240" s="2"/>
      <c r="C240" s="29"/>
      <c r="D240" s="29"/>
      <c r="E240" s="263"/>
      <c r="F240" s="29"/>
      <c r="G240" s="29"/>
      <c r="H240" s="2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2:43" ht="15.75" customHeight="1" x14ac:dyDescent="0.2">
      <c r="B241" s="2"/>
      <c r="C241" s="29"/>
      <c r="D241" s="29"/>
      <c r="E241" s="263"/>
      <c r="F241" s="29"/>
      <c r="G241" s="29"/>
      <c r="H241" s="2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2:43" ht="15.75" customHeight="1" x14ac:dyDescent="0.2">
      <c r="B242" s="2"/>
      <c r="C242" s="29"/>
      <c r="D242" s="29"/>
      <c r="E242" s="263"/>
      <c r="F242" s="29"/>
      <c r="G242" s="29"/>
      <c r="H242" s="2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2:43" ht="15.75" customHeight="1" x14ac:dyDescent="0.2">
      <c r="B243" s="2"/>
      <c r="C243" s="29"/>
      <c r="D243" s="29"/>
      <c r="E243" s="263"/>
      <c r="F243" s="29"/>
      <c r="G243" s="29"/>
      <c r="H243" s="2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2:43" ht="15.75" customHeight="1" x14ac:dyDescent="0.2">
      <c r="B244" s="2"/>
      <c r="C244" s="29"/>
      <c r="D244" s="29"/>
      <c r="E244" s="263"/>
      <c r="F244" s="29"/>
      <c r="G244" s="29"/>
      <c r="H244" s="2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2:43" ht="15.75" customHeight="1" x14ac:dyDescent="0.2">
      <c r="B245" s="2"/>
      <c r="C245" s="29"/>
      <c r="D245" s="29"/>
      <c r="E245" s="263"/>
      <c r="F245" s="29"/>
      <c r="G245" s="29"/>
      <c r="H245" s="2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2:43" ht="15.75" customHeight="1" x14ac:dyDescent="0.2">
      <c r="B246" s="2"/>
      <c r="C246" s="29"/>
      <c r="D246" s="29"/>
      <c r="E246" s="263"/>
      <c r="F246" s="29"/>
      <c r="G246" s="29"/>
      <c r="H246" s="2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2:43" ht="15.75" customHeight="1" x14ac:dyDescent="0.2">
      <c r="B247" s="2"/>
      <c r="C247" s="29"/>
      <c r="D247" s="29"/>
      <c r="E247" s="263"/>
      <c r="F247" s="29"/>
      <c r="G247" s="29"/>
      <c r="H247" s="2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2:43" ht="15.75" customHeight="1" x14ac:dyDescent="0.2">
      <c r="B248" s="2"/>
      <c r="C248" s="29"/>
      <c r="D248" s="29"/>
      <c r="E248" s="263"/>
      <c r="F248" s="29"/>
      <c r="G248" s="29"/>
      <c r="H248" s="2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2:43" ht="15.75" customHeight="1" x14ac:dyDescent="0.2">
      <c r="B249" s="2"/>
      <c r="C249" s="29"/>
      <c r="D249" s="29"/>
      <c r="E249" s="263"/>
      <c r="F249" s="29"/>
      <c r="G249" s="29"/>
      <c r="H249" s="2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2:43" ht="15.75" customHeight="1" x14ac:dyDescent="0.2">
      <c r="B250" s="2"/>
      <c r="C250" s="29"/>
      <c r="D250" s="29"/>
      <c r="E250" s="263"/>
      <c r="F250" s="29"/>
      <c r="G250" s="29"/>
      <c r="H250" s="2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2:43" ht="15.75" customHeight="1" x14ac:dyDescent="0.2">
      <c r="B251" s="2"/>
      <c r="C251" s="29"/>
      <c r="D251" s="29"/>
      <c r="E251" s="263"/>
      <c r="F251" s="29"/>
      <c r="G251" s="29"/>
      <c r="H251" s="2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2:43" ht="15.75" customHeight="1" x14ac:dyDescent="0.2">
      <c r="B252" s="2"/>
      <c r="C252" s="29"/>
      <c r="D252" s="29"/>
      <c r="E252" s="263"/>
      <c r="F252" s="29"/>
      <c r="G252" s="29"/>
      <c r="H252" s="2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2:43" ht="15.75" customHeight="1" x14ac:dyDescent="0.2">
      <c r="B253" s="2"/>
      <c r="C253" s="29"/>
      <c r="D253" s="29"/>
      <c r="E253" s="263"/>
      <c r="F253" s="29"/>
      <c r="G253" s="29"/>
      <c r="H253" s="2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2:43" ht="15.75" customHeight="1" x14ac:dyDescent="0.2">
      <c r="B254" s="2"/>
      <c r="C254" s="29"/>
      <c r="D254" s="29"/>
      <c r="E254" s="263"/>
      <c r="F254" s="29"/>
      <c r="G254" s="29"/>
      <c r="H254" s="2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2:43" ht="15.75" customHeight="1" x14ac:dyDescent="0.2">
      <c r="B255" s="2"/>
      <c r="C255" s="29"/>
      <c r="D255" s="29"/>
      <c r="E255" s="263"/>
      <c r="F255" s="29"/>
      <c r="G255" s="29"/>
      <c r="H255" s="2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2:43" ht="15.75" customHeight="1" x14ac:dyDescent="0.2">
      <c r="B256" s="2"/>
      <c r="C256" s="29"/>
      <c r="D256" s="29"/>
      <c r="E256" s="263"/>
      <c r="F256" s="29"/>
      <c r="G256" s="29"/>
      <c r="H256" s="2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2:43" ht="15.75" customHeight="1" x14ac:dyDescent="0.2">
      <c r="B257" s="2"/>
      <c r="C257" s="29"/>
      <c r="D257" s="29"/>
      <c r="E257" s="263"/>
      <c r="F257" s="29"/>
      <c r="G257" s="29"/>
      <c r="H257" s="2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2:43" ht="15.75" customHeight="1" x14ac:dyDescent="0.2">
      <c r="B258" s="2"/>
      <c r="C258" s="29"/>
      <c r="D258" s="29"/>
      <c r="E258" s="263"/>
      <c r="F258" s="29"/>
      <c r="G258" s="29"/>
      <c r="H258" s="2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2:43" ht="15.75" customHeight="1" x14ac:dyDescent="0.2">
      <c r="B259" s="2"/>
      <c r="C259" s="29"/>
      <c r="D259" s="29"/>
      <c r="E259" s="263"/>
      <c r="F259" s="29"/>
      <c r="G259" s="29"/>
      <c r="H259" s="2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2:43" ht="15.75" customHeight="1" x14ac:dyDescent="0.2">
      <c r="B260" s="2"/>
      <c r="C260" s="29"/>
      <c r="D260" s="29"/>
      <c r="E260" s="263"/>
      <c r="F260" s="29"/>
      <c r="G260" s="29"/>
      <c r="H260" s="2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2:43" ht="15.75" customHeight="1" x14ac:dyDescent="0.2">
      <c r="B261" s="2"/>
      <c r="C261" s="29"/>
      <c r="D261" s="29"/>
      <c r="E261" s="263"/>
      <c r="F261" s="29"/>
      <c r="G261" s="29"/>
      <c r="H261" s="2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2:43" ht="15.75" customHeight="1" x14ac:dyDescent="0.2">
      <c r="B262" s="2"/>
      <c r="C262" s="29"/>
      <c r="D262" s="29"/>
      <c r="E262" s="263"/>
      <c r="F262" s="29"/>
      <c r="G262" s="29"/>
      <c r="H262" s="2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2:43" ht="15.75" customHeight="1" x14ac:dyDescent="0.2">
      <c r="B263" s="2"/>
      <c r="C263" s="29"/>
      <c r="D263" s="29"/>
      <c r="E263" s="263"/>
      <c r="F263" s="29"/>
      <c r="G263" s="29"/>
      <c r="H263" s="2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2:43" ht="15.75" customHeight="1" x14ac:dyDescent="0.2">
      <c r="B264" s="2"/>
      <c r="C264" s="29"/>
      <c r="D264" s="29"/>
      <c r="E264" s="263"/>
      <c r="F264" s="29"/>
      <c r="G264" s="29"/>
      <c r="H264" s="2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2:43" ht="15.75" customHeight="1" x14ac:dyDescent="0.2">
      <c r="B265" s="2"/>
      <c r="C265" s="29"/>
      <c r="D265" s="29"/>
      <c r="E265" s="263"/>
      <c r="F265" s="29"/>
      <c r="G265" s="29"/>
      <c r="H265" s="2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2:43" ht="15.75" customHeight="1" x14ac:dyDescent="0.2">
      <c r="B266" s="2"/>
      <c r="C266" s="29"/>
      <c r="D266" s="29"/>
      <c r="E266" s="263"/>
      <c r="F266" s="29"/>
      <c r="G266" s="29"/>
      <c r="H266" s="2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2:43" ht="15.75" customHeight="1" x14ac:dyDescent="0.2">
      <c r="B267" s="2"/>
      <c r="C267" s="29"/>
      <c r="D267" s="29"/>
      <c r="E267" s="263"/>
      <c r="F267" s="29"/>
      <c r="G267" s="29"/>
      <c r="H267" s="2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2:43" ht="15.75" customHeight="1" x14ac:dyDescent="0.2">
      <c r="B268" s="2"/>
      <c r="C268" s="29"/>
      <c r="D268" s="29"/>
      <c r="E268" s="263"/>
      <c r="F268" s="29"/>
      <c r="G268" s="29"/>
      <c r="H268" s="2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2:43" ht="15.75" customHeight="1" x14ac:dyDescent="0.2">
      <c r="B269" s="2"/>
      <c r="C269" s="29"/>
      <c r="D269" s="29"/>
      <c r="E269" s="263"/>
      <c r="F269" s="29"/>
      <c r="G269" s="29"/>
      <c r="H269" s="2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2:43" ht="15.75" customHeight="1" x14ac:dyDescent="0.2">
      <c r="B270" s="2"/>
      <c r="C270" s="29"/>
      <c r="D270" s="29"/>
      <c r="E270" s="263"/>
      <c r="F270" s="29"/>
      <c r="G270" s="29"/>
      <c r="H270" s="2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2:43" ht="15.75" customHeight="1" x14ac:dyDescent="0.2">
      <c r="B271" s="2"/>
      <c r="C271" s="29"/>
      <c r="D271" s="29"/>
      <c r="E271" s="263"/>
      <c r="F271" s="29"/>
      <c r="G271" s="29"/>
      <c r="H271" s="2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2:43" ht="15.75" customHeight="1" x14ac:dyDescent="0.2">
      <c r="B272" s="2"/>
      <c r="C272" s="29"/>
      <c r="D272" s="29"/>
      <c r="E272" s="263"/>
      <c r="F272" s="29"/>
      <c r="G272" s="29"/>
      <c r="H272" s="2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2:43" ht="15.75" customHeight="1" x14ac:dyDescent="0.2">
      <c r="B273" s="2"/>
      <c r="C273" s="29"/>
      <c r="D273" s="29"/>
      <c r="E273" s="263"/>
      <c r="F273" s="29"/>
      <c r="G273" s="29"/>
      <c r="H273" s="2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2:43" ht="15.75" customHeight="1" x14ac:dyDescent="0.2">
      <c r="B274" s="2"/>
      <c r="C274" s="29"/>
      <c r="D274" s="29"/>
      <c r="E274" s="263"/>
      <c r="F274" s="29"/>
      <c r="G274" s="29"/>
      <c r="H274" s="2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2:43" ht="15.75" customHeight="1" x14ac:dyDescent="0.2">
      <c r="B275" s="2"/>
      <c r="C275" s="29"/>
      <c r="D275" s="29"/>
      <c r="E275" s="263"/>
      <c r="F275" s="29"/>
      <c r="G275" s="29"/>
      <c r="H275" s="2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2:43" ht="15.75" customHeight="1" x14ac:dyDescent="0.2">
      <c r="B276" s="2"/>
      <c r="C276" s="29"/>
      <c r="D276" s="29"/>
      <c r="E276" s="263"/>
      <c r="F276" s="29"/>
      <c r="G276" s="29"/>
      <c r="H276" s="2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2:43" ht="15.75" customHeight="1" x14ac:dyDescent="0.2">
      <c r="B277" s="2"/>
      <c r="C277" s="29"/>
      <c r="D277" s="29"/>
      <c r="E277" s="263"/>
      <c r="F277" s="29"/>
      <c r="G277" s="29"/>
      <c r="H277" s="2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2:43" ht="15.75" customHeight="1" x14ac:dyDescent="0.2">
      <c r="B278" s="2"/>
      <c r="C278" s="29"/>
      <c r="D278" s="29"/>
      <c r="E278" s="263"/>
      <c r="F278" s="29"/>
      <c r="G278" s="29"/>
      <c r="H278" s="2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2:43" ht="15.75" customHeight="1" x14ac:dyDescent="0.2">
      <c r="B279" s="2"/>
      <c r="C279" s="29"/>
      <c r="D279" s="29"/>
      <c r="E279" s="263"/>
      <c r="F279" s="29"/>
      <c r="G279" s="29"/>
      <c r="H279" s="2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2:43" ht="15.75" customHeight="1" x14ac:dyDescent="0.2">
      <c r="B280" s="2"/>
      <c r="C280" s="29"/>
      <c r="D280" s="29"/>
      <c r="E280" s="263"/>
      <c r="F280" s="29"/>
      <c r="G280" s="29"/>
      <c r="H280" s="2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2:43" ht="15.75" customHeight="1" x14ac:dyDescent="0.2">
      <c r="B281" s="2"/>
      <c r="C281" s="29"/>
      <c r="D281" s="29"/>
      <c r="E281" s="263"/>
      <c r="F281" s="29"/>
      <c r="G281" s="29"/>
      <c r="H281" s="2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2:43" ht="15.75" customHeight="1" x14ac:dyDescent="0.2">
      <c r="B282" s="2"/>
      <c r="C282" s="29"/>
      <c r="D282" s="29"/>
      <c r="E282" s="263"/>
      <c r="F282" s="29"/>
      <c r="G282" s="29"/>
      <c r="H282" s="2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2:43" ht="15.75" customHeight="1" x14ac:dyDescent="0.2">
      <c r="B283" s="2"/>
      <c r="C283" s="29"/>
      <c r="D283" s="29"/>
      <c r="E283" s="263"/>
      <c r="F283" s="29"/>
      <c r="G283" s="29"/>
      <c r="H283" s="2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2:43" ht="15.75" customHeight="1" x14ac:dyDescent="0.2">
      <c r="B284" s="2"/>
      <c r="C284" s="29"/>
      <c r="D284" s="29"/>
      <c r="E284" s="263"/>
      <c r="F284" s="29"/>
      <c r="G284" s="29"/>
      <c r="H284" s="2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2:43" ht="15.75" customHeight="1" x14ac:dyDescent="0.2">
      <c r="B285" s="2"/>
      <c r="C285" s="29"/>
      <c r="D285" s="29"/>
      <c r="E285" s="263"/>
      <c r="F285" s="29"/>
      <c r="G285" s="29"/>
      <c r="H285" s="2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2:43" ht="15.75" customHeight="1" x14ac:dyDescent="0.2">
      <c r="B286" s="2"/>
      <c r="C286" s="29"/>
      <c r="D286" s="29"/>
      <c r="E286" s="263"/>
      <c r="F286" s="29"/>
      <c r="G286" s="29"/>
      <c r="H286" s="2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2:43" ht="15.75" customHeight="1" x14ac:dyDescent="0.2">
      <c r="B287" s="2"/>
      <c r="C287" s="29"/>
      <c r="D287" s="29"/>
      <c r="E287" s="263"/>
      <c r="F287" s="29"/>
      <c r="G287" s="29"/>
      <c r="H287" s="2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2:43" ht="15.75" customHeight="1" x14ac:dyDescent="0.2">
      <c r="B288" s="2"/>
      <c r="C288" s="29"/>
      <c r="D288" s="29"/>
      <c r="E288" s="263"/>
      <c r="F288" s="29"/>
      <c r="G288" s="29"/>
      <c r="H288" s="2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2:43" ht="15.75" customHeight="1" x14ac:dyDescent="0.2">
      <c r="B289" s="2"/>
      <c r="C289" s="29"/>
      <c r="D289" s="29"/>
      <c r="E289" s="263"/>
      <c r="F289" s="29"/>
      <c r="G289" s="29"/>
      <c r="H289" s="2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2:43" ht="15.75" customHeight="1" x14ac:dyDescent="0.2">
      <c r="B290" s="2"/>
      <c r="C290" s="29"/>
      <c r="D290" s="29"/>
      <c r="E290" s="263"/>
      <c r="F290" s="29"/>
      <c r="G290" s="29"/>
      <c r="H290" s="2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2:43" ht="15.75" customHeight="1" x14ac:dyDescent="0.2">
      <c r="B291" s="2"/>
      <c r="C291" s="29"/>
      <c r="D291" s="29"/>
      <c r="E291" s="263"/>
      <c r="F291" s="29"/>
      <c r="G291" s="29"/>
      <c r="H291" s="2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2:43" ht="15.75" customHeight="1" x14ac:dyDescent="0.2">
      <c r="B292" s="2"/>
      <c r="C292" s="29"/>
      <c r="D292" s="29"/>
      <c r="E292" s="263"/>
      <c r="F292" s="29"/>
      <c r="G292" s="29"/>
      <c r="H292" s="2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2:43" ht="15.75" customHeight="1" x14ac:dyDescent="0.2">
      <c r="B293" s="2"/>
      <c r="C293" s="29"/>
      <c r="D293" s="29"/>
      <c r="E293" s="263"/>
      <c r="F293" s="29"/>
      <c r="G293" s="29"/>
      <c r="H293" s="2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2:43" ht="15.75" customHeight="1" x14ac:dyDescent="0.2">
      <c r="B294" s="2"/>
      <c r="C294" s="29"/>
      <c r="D294" s="29"/>
      <c r="E294" s="263"/>
      <c r="F294" s="29"/>
      <c r="G294" s="29"/>
      <c r="H294" s="2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2:43" ht="15.75" customHeight="1" x14ac:dyDescent="0.2">
      <c r="B295" s="2"/>
      <c r="C295" s="29"/>
      <c r="D295" s="29"/>
      <c r="E295" s="263"/>
      <c r="F295" s="29"/>
      <c r="G295" s="29"/>
      <c r="H295" s="2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2:43" ht="15.75" customHeight="1" x14ac:dyDescent="0.2">
      <c r="B296" s="2"/>
      <c r="C296" s="29"/>
      <c r="D296" s="29"/>
      <c r="E296" s="263"/>
      <c r="F296" s="29"/>
      <c r="G296" s="29"/>
      <c r="H296" s="2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2:43" ht="15.75" customHeight="1" x14ac:dyDescent="0.2">
      <c r="B297" s="2"/>
      <c r="C297" s="29"/>
      <c r="D297" s="29"/>
      <c r="E297" s="263"/>
      <c r="F297" s="29"/>
      <c r="G297" s="29"/>
      <c r="H297" s="2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2:43" ht="15.75" customHeight="1" x14ac:dyDescent="0.2">
      <c r="B298" s="2"/>
      <c r="C298" s="29"/>
      <c r="D298" s="29"/>
      <c r="E298" s="263"/>
      <c r="F298" s="29"/>
      <c r="G298" s="29"/>
      <c r="H298" s="2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2:43" ht="15.75" customHeight="1" x14ac:dyDescent="0.2">
      <c r="B299" s="2"/>
      <c r="C299" s="29"/>
      <c r="D299" s="29"/>
      <c r="E299" s="263"/>
      <c r="F299" s="29"/>
      <c r="G299" s="29"/>
      <c r="H299" s="2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2:43" ht="15.75" customHeight="1" x14ac:dyDescent="0.2">
      <c r="B300" s="2"/>
      <c r="C300" s="29"/>
      <c r="D300" s="29"/>
      <c r="E300" s="263"/>
      <c r="F300" s="29"/>
      <c r="G300" s="29"/>
      <c r="H300" s="2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2:43" ht="15.75" customHeight="1" x14ac:dyDescent="0.2">
      <c r="B301" s="2"/>
      <c r="C301" s="29"/>
      <c r="D301" s="29"/>
      <c r="E301" s="263"/>
      <c r="F301" s="29"/>
      <c r="G301" s="29"/>
      <c r="H301" s="2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2:43" ht="15.75" customHeight="1" x14ac:dyDescent="0.2">
      <c r="B302" s="2"/>
      <c r="C302" s="29"/>
      <c r="D302" s="29"/>
      <c r="E302" s="263"/>
      <c r="F302" s="29"/>
      <c r="G302" s="29"/>
      <c r="H302" s="2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2:43" ht="15.75" customHeight="1" x14ac:dyDescent="0.2">
      <c r="B303" s="2"/>
      <c r="C303" s="29"/>
      <c r="D303" s="29"/>
      <c r="E303" s="263"/>
      <c r="F303" s="29"/>
      <c r="G303" s="29"/>
      <c r="H303" s="2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2:43" ht="15.75" customHeight="1" x14ac:dyDescent="0.2">
      <c r="B304" s="2"/>
      <c r="C304" s="29"/>
      <c r="D304" s="29"/>
      <c r="E304" s="263"/>
      <c r="F304" s="29"/>
      <c r="G304" s="29"/>
      <c r="H304" s="2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2:43" ht="15.75" customHeight="1" x14ac:dyDescent="0.2">
      <c r="B305" s="2"/>
      <c r="C305" s="29"/>
      <c r="D305" s="29"/>
      <c r="E305" s="263"/>
      <c r="F305" s="29"/>
      <c r="G305" s="29"/>
      <c r="H305" s="2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2:43" ht="15.75" customHeight="1" x14ac:dyDescent="0.2">
      <c r="B306" s="2"/>
      <c r="C306" s="29"/>
      <c r="D306" s="29"/>
      <c r="E306" s="263"/>
      <c r="F306" s="29"/>
      <c r="G306" s="29"/>
      <c r="H306" s="2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2:43" ht="15.75" customHeight="1" x14ac:dyDescent="0.2">
      <c r="B307" s="2"/>
      <c r="C307" s="29"/>
      <c r="D307" s="29"/>
      <c r="E307" s="263"/>
      <c r="F307" s="29"/>
      <c r="G307" s="29"/>
      <c r="H307" s="2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2:43" ht="15.75" customHeight="1" x14ac:dyDescent="0.2">
      <c r="B308" s="2"/>
      <c r="C308" s="29"/>
      <c r="D308" s="29"/>
      <c r="E308" s="263"/>
      <c r="F308" s="29"/>
      <c r="G308" s="29"/>
      <c r="H308" s="2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2:43" ht="15.75" customHeight="1" x14ac:dyDescent="0.2">
      <c r="B309" s="2"/>
      <c r="C309" s="29"/>
      <c r="D309" s="29"/>
      <c r="E309" s="263"/>
      <c r="F309" s="29"/>
      <c r="G309" s="29"/>
      <c r="H309" s="2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2:43" ht="15.75" customHeight="1" x14ac:dyDescent="0.2">
      <c r="B310" s="2"/>
      <c r="C310" s="29"/>
      <c r="D310" s="29"/>
      <c r="E310" s="263"/>
      <c r="F310" s="29"/>
      <c r="G310" s="29"/>
      <c r="H310" s="2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2:43" ht="15.75" customHeight="1" x14ac:dyDescent="0.2">
      <c r="B311" s="2"/>
      <c r="C311" s="29"/>
      <c r="D311" s="29"/>
      <c r="E311" s="263"/>
      <c r="F311" s="29"/>
      <c r="G311" s="29"/>
      <c r="H311" s="2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2:43" ht="15.75" customHeight="1" x14ac:dyDescent="0.2">
      <c r="B312" s="2"/>
      <c r="C312" s="29"/>
      <c r="D312" s="29"/>
      <c r="E312" s="263"/>
      <c r="F312" s="29"/>
      <c r="G312" s="29"/>
      <c r="H312" s="2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2:43" ht="15.75" customHeight="1" x14ac:dyDescent="0.2">
      <c r="B313" s="2"/>
      <c r="C313" s="29"/>
      <c r="D313" s="29"/>
      <c r="E313" s="263"/>
      <c r="F313" s="29"/>
      <c r="G313" s="29"/>
      <c r="H313" s="2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2:43" ht="15.75" customHeight="1" x14ac:dyDescent="0.2">
      <c r="B314" s="2"/>
      <c r="C314" s="29"/>
      <c r="D314" s="29"/>
      <c r="E314" s="263"/>
      <c r="F314" s="29"/>
      <c r="G314" s="29"/>
      <c r="H314" s="2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2:43" ht="15.75" customHeight="1" x14ac:dyDescent="0.2">
      <c r="B315" s="2"/>
      <c r="C315" s="29"/>
      <c r="D315" s="29"/>
      <c r="E315" s="263"/>
      <c r="F315" s="29"/>
      <c r="G315" s="29"/>
      <c r="H315" s="2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2:43" ht="15.75" customHeight="1" x14ac:dyDescent="0.2">
      <c r="B316" s="2"/>
      <c r="C316" s="29"/>
      <c r="D316" s="29"/>
      <c r="E316" s="263"/>
      <c r="F316" s="29"/>
      <c r="G316" s="29"/>
      <c r="H316" s="2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2:43" ht="15.75" customHeight="1" x14ac:dyDescent="0.2">
      <c r="B317" s="2"/>
      <c r="C317" s="29"/>
      <c r="D317" s="29"/>
      <c r="E317" s="263"/>
      <c r="F317" s="29"/>
      <c r="G317" s="29"/>
      <c r="H317" s="2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2:43" ht="15.75" customHeight="1" x14ac:dyDescent="0.2">
      <c r="B318" s="2"/>
      <c r="C318" s="29"/>
      <c r="D318" s="29"/>
      <c r="E318" s="263"/>
      <c r="F318" s="29"/>
      <c r="G318" s="29"/>
      <c r="H318" s="2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2:43" ht="15.75" customHeight="1" x14ac:dyDescent="0.2">
      <c r="B319" s="2"/>
      <c r="C319" s="29"/>
      <c r="D319" s="29"/>
      <c r="E319" s="263"/>
      <c r="F319" s="29"/>
      <c r="G319" s="29"/>
      <c r="H319" s="2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2:43" ht="15.75" customHeight="1" x14ac:dyDescent="0.2">
      <c r="B320" s="2"/>
      <c r="C320" s="29"/>
      <c r="D320" s="29"/>
      <c r="E320" s="263"/>
      <c r="F320" s="29"/>
      <c r="G320" s="29"/>
      <c r="H320" s="2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2:43" ht="15.75" customHeight="1" x14ac:dyDescent="0.2">
      <c r="B321" s="2"/>
      <c r="C321" s="29"/>
      <c r="D321" s="29"/>
      <c r="E321" s="263"/>
      <c r="F321" s="29"/>
      <c r="G321" s="29"/>
      <c r="H321" s="2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2:43" ht="15.75" customHeight="1" x14ac:dyDescent="0.2">
      <c r="B322" s="2"/>
      <c r="C322" s="29"/>
      <c r="D322" s="29"/>
      <c r="E322" s="263"/>
      <c r="F322" s="29"/>
      <c r="G322" s="29"/>
      <c r="H322" s="2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2:43" ht="15.75" customHeight="1" x14ac:dyDescent="0.2">
      <c r="B323" s="2"/>
      <c r="C323" s="29"/>
      <c r="D323" s="29"/>
      <c r="E323" s="263"/>
      <c r="F323" s="29"/>
      <c r="G323" s="29"/>
      <c r="H323" s="2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2:43" ht="15.75" customHeight="1" x14ac:dyDescent="0.2">
      <c r="B324" s="2"/>
      <c r="C324" s="29"/>
      <c r="D324" s="29"/>
      <c r="E324" s="263"/>
      <c r="F324" s="29"/>
      <c r="G324" s="29"/>
      <c r="H324" s="2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2:43" ht="15.75" customHeight="1" x14ac:dyDescent="0.2">
      <c r="B325" s="2"/>
      <c r="C325" s="29"/>
      <c r="D325" s="29"/>
      <c r="E325" s="263"/>
      <c r="F325" s="29"/>
      <c r="G325" s="29"/>
      <c r="H325" s="2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2:43" ht="15.75" customHeight="1" x14ac:dyDescent="0.2">
      <c r="B326" s="2"/>
      <c r="C326" s="29"/>
      <c r="D326" s="29"/>
      <c r="E326" s="263"/>
      <c r="F326" s="29"/>
      <c r="G326" s="29"/>
      <c r="H326" s="2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2:43" ht="15.75" customHeight="1" x14ac:dyDescent="0.2">
      <c r="B327" s="2"/>
      <c r="C327" s="29"/>
      <c r="D327" s="29"/>
      <c r="E327" s="263"/>
      <c r="F327" s="29"/>
      <c r="G327" s="29"/>
      <c r="H327" s="2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2:43" ht="15.75" customHeight="1" x14ac:dyDescent="0.2">
      <c r="B328" s="2"/>
      <c r="C328" s="29"/>
      <c r="D328" s="29"/>
      <c r="E328" s="263"/>
      <c r="F328" s="29"/>
      <c r="G328" s="29"/>
      <c r="H328" s="2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2:43" ht="15.75" customHeight="1" x14ac:dyDescent="0.2">
      <c r="B329" s="2"/>
      <c r="C329" s="29"/>
      <c r="D329" s="29"/>
      <c r="E329" s="263"/>
      <c r="F329" s="29"/>
      <c r="G329" s="29"/>
      <c r="H329" s="2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2:43" ht="15.75" customHeight="1" x14ac:dyDescent="0.2">
      <c r="B330" s="2"/>
      <c r="C330" s="29"/>
      <c r="D330" s="29"/>
      <c r="E330" s="263"/>
      <c r="F330" s="29"/>
      <c r="G330" s="29"/>
      <c r="H330" s="2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2:43" ht="15.75" customHeight="1" x14ac:dyDescent="0.2">
      <c r="B331" s="2"/>
      <c r="C331" s="29"/>
      <c r="D331" s="29"/>
      <c r="E331" s="263"/>
      <c r="F331" s="29"/>
      <c r="G331" s="29"/>
      <c r="H331" s="2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2:43" ht="15.75" customHeight="1" x14ac:dyDescent="0.2">
      <c r="B332" s="2"/>
      <c r="C332" s="29"/>
      <c r="D332" s="29"/>
      <c r="E332" s="263"/>
      <c r="F332" s="29"/>
      <c r="G332" s="29"/>
      <c r="H332" s="2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2:43" ht="15.75" customHeight="1" x14ac:dyDescent="0.2">
      <c r="B333" s="2"/>
      <c r="C333" s="29"/>
      <c r="D333" s="29"/>
      <c r="E333" s="263"/>
      <c r="F333" s="29"/>
      <c r="G333" s="29"/>
      <c r="H333" s="2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2:43" ht="15.75" customHeight="1" x14ac:dyDescent="0.2">
      <c r="B334" s="2"/>
      <c r="C334" s="29"/>
      <c r="D334" s="29"/>
      <c r="E334" s="263"/>
      <c r="F334" s="29"/>
      <c r="G334" s="29"/>
      <c r="H334" s="2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2:43" ht="15.75" customHeight="1" x14ac:dyDescent="0.2">
      <c r="B335" s="2"/>
      <c r="C335" s="29"/>
      <c r="D335" s="29"/>
      <c r="E335" s="263"/>
      <c r="F335" s="29"/>
      <c r="G335" s="29"/>
      <c r="H335" s="2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2:43" ht="15.75" customHeight="1" x14ac:dyDescent="0.2">
      <c r="B336" s="2"/>
      <c r="C336" s="29"/>
      <c r="D336" s="29"/>
      <c r="E336" s="263"/>
      <c r="F336" s="29"/>
      <c r="G336" s="29"/>
      <c r="H336" s="2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2:43" ht="15.75" customHeight="1" x14ac:dyDescent="0.2">
      <c r="B337" s="2"/>
      <c r="C337" s="29"/>
      <c r="D337" s="29"/>
      <c r="E337" s="263"/>
      <c r="F337" s="29"/>
      <c r="G337" s="29"/>
      <c r="H337" s="2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2:43" ht="15.75" customHeight="1" x14ac:dyDescent="0.2">
      <c r="B338" s="2"/>
      <c r="C338" s="29"/>
      <c r="D338" s="29"/>
      <c r="E338" s="263"/>
      <c r="F338" s="29"/>
      <c r="G338" s="29"/>
      <c r="H338" s="2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2:43" ht="15.75" customHeight="1" x14ac:dyDescent="0.2">
      <c r="B339" s="2"/>
      <c r="C339" s="29"/>
      <c r="D339" s="29"/>
      <c r="E339" s="263"/>
      <c r="F339" s="29"/>
      <c r="G339" s="29"/>
      <c r="H339" s="2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2:43" ht="15.75" customHeight="1" x14ac:dyDescent="0.2">
      <c r="B340" s="2"/>
      <c r="C340" s="29"/>
      <c r="D340" s="29"/>
      <c r="E340" s="263"/>
      <c r="F340" s="29"/>
      <c r="G340" s="29"/>
      <c r="H340" s="2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2:43" ht="15.75" customHeight="1" x14ac:dyDescent="0.2">
      <c r="B341" s="2"/>
      <c r="C341" s="29"/>
      <c r="D341" s="29"/>
      <c r="E341" s="263"/>
      <c r="F341" s="29"/>
      <c r="G341" s="29"/>
      <c r="H341" s="2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2:43" ht="15.75" customHeight="1" x14ac:dyDescent="0.2">
      <c r="B342" s="2"/>
      <c r="C342" s="29"/>
      <c r="D342" s="29"/>
      <c r="E342" s="263"/>
      <c r="F342" s="29"/>
      <c r="G342" s="29"/>
      <c r="H342" s="2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2:43" ht="15.75" customHeight="1" x14ac:dyDescent="0.2">
      <c r="B343" s="2"/>
      <c r="C343" s="29"/>
      <c r="D343" s="29"/>
      <c r="E343" s="263"/>
      <c r="F343" s="29"/>
      <c r="G343" s="29"/>
      <c r="H343" s="2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2:43" ht="15.75" customHeight="1" x14ac:dyDescent="0.2">
      <c r="B344" s="2"/>
      <c r="C344" s="29"/>
      <c r="D344" s="29"/>
      <c r="E344" s="263"/>
      <c r="F344" s="29"/>
      <c r="G344" s="29"/>
      <c r="H344" s="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2:43" ht="15.75" customHeight="1" x14ac:dyDescent="0.2">
      <c r="B345" s="2"/>
      <c r="C345" s="29"/>
      <c r="D345" s="29"/>
      <c r="E345" s="263"/>
      <c r="F345" s="29"/>
      <c r="G345" s="29"/>
      <c r="H345" s="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2:43" ht="15.75" customHeight="1" x14ac:dyDescent="0.2">
      <c r="B346" s="2"/>
      <c r="C346" s="29"/>
      <c r="D346" s="29"/>
      <c r="E346" s="263"/>
      <c r="F346" s="29"/>
      <c r="G346" s="29"/>
      <c r="H346" s="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2:43" ht="15.75" customHeight="1" x14ac:dyDescent="0.2">
      <c r="B347" s="2"/>
      <c r="C347" s="29"/>
      <c r="D347" s="29"/>
      <c r="E347" s="263"/>
      <c r="F347" s="29"/>
      <c r="G347" s="29"/>
      <c r="H347" s="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2:43" ht="15.75" customHeight="1" x14ac:dyDescent="0.2">
      <c r="B348" s="2"/>
      <c r="C348" s="29"/>
      <c r="D348" s="29"/>
      <c r="E348" s="263"/>
      <c r="F348" s="29"/>
      <c r="G348" s="29"/>
      <c r="H348" s="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2:43" ht="15.75" customHeight="1" x14ac:dyDescent="0.2">
      <c r="B349" s="2"/>
      <c r="C349" s="29"/>
      <c r="D349" s="29"/>
      <c r="E349" s="263"/>
      <c r="F349" s="29"/>
      <c r="G349" s="29"/>
      <c r="H349" s="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2:43" ht="15.75" customHeight="1" x14ac:dyDescent="0.2">
      <c r="B350" s="2"/>
      <c r="C350" s="29"/>
      <c r="D350" s="29"/>
      <c r="E350" s="263"/>
      <c r="F350" s="29"/>
      <c r="G350" s="29"/>
      <c r="H350" s="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2:43" ht="15.75" customHeight="1" x14ac:dyDescent="0.2">
      <c r="B351" s="2"/>
      <c r="C351" s="29"/>
      <c r="D351" s="29"/>
      <c r="E351" s="263"/>
      <c r="F351" s="29"/>
      <c r="G351" s="29"/>
      <c r="H351" s="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2:43" ht="15.75" customHeight="1" x14ac:dyDescent="0.2">
      <c r="B352" s="2"/>
      <c r="C352" s="29"/>
      <c r="D352" s="29"/>
      <c r="E352" s="263"/>
      <c r="F352" s="29"/>
      <c r="G352" s="29"/>
      <c r="H352" s="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2:43" ht="15.75" customHeight="1" x14ac:dyDescent="0.2">
      <c r="B353" s="2"/>
      <c r="C353" s="29"/>
      <c r="D353" s="29"/>
      <c r="E353" s="263"/>
      <c r="F353" s="29"/>
      <c r="G353" s="29"/>
      <c r="H353" s="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2:43" ht="15.75" customHeight="1" x14ac:dyDescent="0.2">
      <c r="B354" s="2"/>
      <c r="C354" s="29"/>
      <c r="D354" s="29"/>
      <c r="E354" s="263"/>
      <c r="F354" s="29"/>
      <c r="G354" s="29"/>
      <c r="H354" s="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2:43" ht="15.75" customHeight="1" x14ac:dyDescent="0.2">
      <c r="B355" s="2"/>
      <c r="C355" s="29"/>
      <c r="D355" s="29"/>
      <c r="E355" s="263"/>
      <c r="F355" s="29"/>
      <c r="G355" s="29"/>
      <c r="H355" s="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2:43" ht="15.75" customHeight="1" x14ac:dyDescent="0.2">
      <c r="B356" s="2"/>
      <c r="C356" s="29"/>
      <c r="D356" s="29"/>
      <c r="E356" s="263"/>
      <c r="F356" s="29"/>
      <c r="G356" s="29"/>
      <c r="H356" s="2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2:43" ht="15.75" customHeight="1" x14ac:dyDescent="0.2">
      <c r="B357" s="2"/>
      <c r="C357" s="29"/>
      <c r="D357" s="29"/>
      <c r="E357" s="263"/>
      <c r="F357" s="29"/>
      <c r="G357" s="29"/>
      <c r="H357" s="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2:43" ht="15.75" customHeight="1" x14ac:dyDescent="0.2">
      <c r="B358" s="2"/>
      <c r="C358" s="29"/>
      <c r="D358" s="29"/>
      <c r="E358" s="263"/>
      <c r="F358" s="29"/>
      <c r="G358" s="29"/>
      <c r="H358" s="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2:43" ht="15.75" customHeight="1" x14ac:dyDescent="0.2">
      <c r="B359" s="2"/>
      <c r="C359" s="29"/>
      <c r="D359" s="29"/>
      <c r="E359" s="263"/>
      <c r="F359" s="29"/>
      <c r="G359" s="29"/>
      <c r="H359" s="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2:43" ht="15.75" customHeight="1" x14ac:dyDescent="0.2">
      <c r="B360" s="2"/>
      <c r="C360" s="29"/>
      <c r="D360" s="29"/>
      <c r="E360" s="263"/>
      <c r="F360" s="29"/>
      <c r="G360" s="29"/>
      <c r="H360" s="2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2:43" ht="15.75" customHeight="1" x14ac:dyDescent="0.2">
      <c r="B361" s="2"/>
      <c r="C361" s="29"/>
      <c r="D361" s="29"/>
      <c r="E361" s="263"/>
      <c r="F361" s="29"/>
      <c r="G361" s="29"/>
      <c r="H361" s="2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2:43" ht="15.75" customHeight="1" x14ac:dyDescent="0.2">
      <c r="B362" s="2"/>
      <c r="C362" s="29"/>
      <c r="D362" s="29"/>
      <c r="E362" s="263"/>
      <c r="F362" s="29"/>
      <c r="G362" s="29"/>
      <c r="H362" s="2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2:43" ht="15.75" customHeight="1" x14ac:dyDescent="0.2">
      <c r="B363" s="2"/>
      <c r="C363" s="29"/>
      <c r="D363" s="29"/>
      <c r="E363" s="263"/>
      <c r="F363" s="29"/>
      <c r="G363" s="29"/>
      <c r="H363" s="2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2:43" ht="15.75" customHeight="1" x14ac:dyDescent="0.2">
      <c r="B364" s="2"/>
      <c r="C364" s="29"/>
      <c r="D364" s="29"/>
      <c r="E364" s="263"/>
      <c r="F364" s="29"/>
      <c r="G364" s="29"/>
      <c r="H364" s="2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2:43" ht="15.75" customHeight="1" x14ac:dyDescent="0.2">
      <c r="B365" s="2"/>
      <c r="C365" s="29"/>
      <c r="D365" s="29"/>
      <c r="E365" s="263"/>
      <c r="F365" s="29"/>
      <c r="G365" s="29"/>
      <c r="H365" s="2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2:43" ht="15.75" customHeight="1" x14ac:dyDescent="0.2">
      <c r="B366" s="2"/>
      <c r="C366" s="29"/>
      <c r="D366" s="29"/>
      <c r="E366" s="263"/>
      <c r="F366" s="29"/>
      <c r="G366" s="29"/>
      <c r="H366" s="2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2:43" ht="15.75" customHeight="1" x14ac:dyDescent="0.2">
      <c r="B367" s="2"/>
      <c r="C367" s="29"/>
      <c r="D367" s="29"/>
      <c r="E367" s="263"/>
      <c r="F367" s="29"/>
      <c r="G367" s="29"/>
      <c r="H367" s="2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2:43" ht="15.75" customHeight="1" x14ac:dyDescent="0.2">
      <c r="B368" s="2"/>
      <c r="C368" s="29"/>
      <c r="D368" s="29"/>
      <c r="E368" s="263"/>
      <c r="F368" s="29"/>
      <c r="G368" s="29"/>
      <c r="H368" s="2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2:43" ht="15.75" customHeight="1" x14ac:dyDescent="0.2">
      <c r="B369" s="2"/>
      <c r="C369" s="29"/>
      <c r="D369" s="29"/>
      <c r="E369" s="263"/>
      <c r="F369" s="29"/>
      <c r="G369" s="29"/>
      <c r="H369" s="2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2:43" ht="15.75" customHeight="1" x14ac:dyDescent="0.2">
      <c r="B370" s="2"/>
      <c r="C370" s="29"/>
      <c r="D370" s="29"/>
      <c r="E370" s="263"/>
      <c r="F370" s="29"/>
      <c r="G370" s="29"/>
      <c r="H370" s="2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2:43" ht="15.75" customHeight="1" x14ac:dyDescent="0.2">
      <c r="B371" s="2"/>
      <c r="C371" s="29"/>
      <c r="D371" s="29"/>
      <c r="E371" s="263"/>
      <c r="F371" s="29"/>
      <c r="G371" s="29"/>
      <c r="H371" s="2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2:43" ht="15.75" customHeight="1" x14ac:dyDescent="0.2">
      <c r="B372" s="2"/>
      <c r="C372" s="29"/>
      <c r="D372" s="29"/>
      <c r="E372" s="263"/>
      <c r="F372" s="29"/>
      <c r="G372" s="29"/>
      <c r="H372" s="2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2:43" ht="15.75" customHeight="1" x14ac:dyDescent="0.2">
      <c r="B373" s="2"/>
      <c r="C373" s="29"/>
      <c r="D373" s="29"/>
      <c r="E373" s="263"/>
      <c r="F373" s="29"/>
      <c r="G373" s="29"/>
      <c r="H373" s="2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2:43" ht="15.75" customHeight="1" x14ac:dyDescent="0.2">
      <c r="B374" s="2"/>
      <c r="C374" s="29"/>
      <c r="D374" s="29"/>
      <c r="E374" s="263"/>
      <c r="F374" s="29"/>
      <c r="G374" s="29"/>
      <c r="H374" s="2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2:43" ht="15.75" customHeight="1" x14ac:dyDescent="0.2">
      <c r="B375" s="2"/>
      <c r="C375" s="29"/>
      <c r="D375" s="29"/>
      <c r="E375" s="263"/>
      <c r="F375" s="29"/>
      <c r="G375" s="29"/>
      <c r="H375" s="2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2:43" ht="15.75" customHeight="1" x14ac:dyDescent="0.2">
      <c r="B376" s="2"/>
      <c r="C376" s="29"/>
      <c r="D376" s="29"/>
      <c r="E376" s="263"/>
      <c r="F376" s="29"/>
      <c r="G376" s="29"/>
      <c r="H376" s="2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2:43" ht="15.75" customHeight="1" x14ac:dyDescent="0.2">
      <c r="B377" s="2"/>
      <c r="C377" s="29"/>
      <c r="D377" s="29"/>
      <c r="E377" s="263"/>
      <c r="F377" s="29"/>
      <c r="G377" s="29"/>
      <c r="H377" s="2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2:43" ht="15.75" customHeight="1" x14ac:dyDescent="0.2">
      <c r="B378" s="2"/>
      <c r="C378" s="29"/>
      <c r="D378" s="29"/>
      <c r="E378" s="263"/>
      <c r="F378" s="29"/>
      <c r="G378" s="29"/>
      <c r="H378" s="2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2:43" ht="15.75" customHeight="1" x14ac:dyDescent="0.2">
      <c r="B379" s="2"/>
      <c r="C379" s="29"/>
      <c r="D379" s="29"/>
      <c r="E379" s="263"/>
      <c r="F379" s="29"/>
      <c r="G379" s="29"/>
      <c r="H379" s="2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2:43" ht="15.75" customHeight="1" x14ac:dyDescent="0.2">
      <c r="B380" s="2"/>
      <c r="C380" s="29"/>
      <c r="D380" s="29"/>
      <c r="E380" s="263"/>
      <c r="F380" s="29"/>
      <c r="G380" s="29"/>
      <c r="H380" s="2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2:43" ht="15.75" customHeight="1" x14ac:dyDescent="0.2">
      <c r="B381" s="2"/>
      <c r="C381" s="29"/>
      <c r="D381" s="29"/>
      <c r="E381" s="263"/>
      <c r="F381" s="29"/>
      <c r="G381" s="29"/>
      <c r="H381" s="2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2:43" ht="15.75" customHeight="1" x14ac:dyDescent="0.2">
      <c r="B382" s="2"/>
      <c r="C382" s="29"/>
      <c r="D382" s="29"/>
      <c r="E382" s="263"/>
      <c r="F382" s="29"/>
      <c r="G382" s="29"/>
      <c r="H382" s="2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2:43" ht="15.75" customHeight="1" x14ac:dyDescent="0.2">
      <c r="B383" s="2"/>
      <c r="C383" s="29"/>
      <c r="D383" s="29"/>
      <c r="E383" s="263"/>
      <c r="F383" s="29"/>
      <c r="G383" s="29"/>
      <c r="H383" s="2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2:43" ht="15.75" customHeight="1" x14ac:dyDescent="0.2">
      <c r="B384" s="2"/>
      <c r="C384" s="29"/>
      <c r="D384" s="29"/>
      <c r="E384" s="263"/>
      <c r="F384" s="29"/>
      <c r="G384" s="29"/>
      <c r="H384" s="2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2:43" ht="15.75" customHeight="1" x14ac:dyDescent="0.2">
      <c r="B385" s="2"/>
      <c r="C385" s="29"/>
      <c r="D385" s="29"/>
      <c r="E385" s="263"/>
      <c r="F385" s="29"/>
      <c r="G385" s="29"/>
      <c r="H385" s="2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2:43" ht="15.75" customHeight="1" x14ac:dyDescent="0.2">
      <c r="B386" s="2"/>
      <c r="C386" s="29"/>
      <c r="D386" s="29"/>
      <c r="E386" s="263"/>
      <c r="F386" s="29"/>
      <c r="G386" s="29"/>
      <c r="H386" s="2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2:43" ht="15.75" customHeight="1" x14ac:dyDescent="0.2">
      <c r="B387" s="2"/>
      <c r="C387" s="29"/>
      <c r="D387" s="29"/>
      <c r="E387" s="263"/>
      <c r="F387" s="29"/>
      <c r="G387" s="29"/>
      <c r="H387" s="2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2:43" ht="15.75" customHeight="1" x14ac:dyDescent="0.2">
      <c r="B388" s="2"/>
      <c r="C388" s="29"/>
      <c r="D388" s="29"/>
      <c r="E388" s="263"/>
      <c r="F388" s="29"/>
      <c r="G388" s="29"/>
      <c r="H388" s="2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2:43" ht="15.75" customHeight="1" x14ac:dyDescent="0.2">
      <c r="B389" s="2"/>
      <c r="C389" s="29"/>
      <c r="D389" s="29"/>
      <c r="E389" s="263"/>
      <c r="F389" s="29"/>
      <c r="G389" s="29"/>
      <c r="H389" s="2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2:43" ht="15.75" customHeight="1" x14ac:dyDescent="0.2">
      <c r="B390" s="2"/>
      <c r="C390" s="29"/>
      <c r="D390" s="29"/>
      <c r="E390" s="263"/>
      <c r="F390" s="29"/>
      <c r="G390" s="29"/>
      <c r="H390" s="2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2:43" ht="15.75" customHeight="1" x14ac:dyDescent="0.2">
      <c r="B391" s="2"/>
      <c r="C391" s="29"/>
      <c r="D391" s="29"/>
      <c r="E391" s="263"/>
      <c r="F391" s="29"/>
      <c r="G391" s="29"/>
      <c r="H391" s="2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2:43" ht="15.75" customHeight="1" x14ac:dyDescent="0.2">
      <c r="B392" s="2"/>
      <c r="C392" s="29"/>
      <c r="D392" s="29"/>
      <c r="E392" s="263"/>
      <c r="F392" s="29"/>
      <c r="G392" s="29"/>
      <c r="H392" s="2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2:43" ht="15.75" customHeight="1" x14ac:dyDescent="0.2">
      <c r="B393" s="2"/>
      <c r="C393" s="29"/>
      <c r="D393" s="29"/>
      <c r="E393" s="263"/>
      <c r="F393" s="29"/>
      <c r="G393" s="29"/>
      <c r="H393" s="2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2:43" ht="15.75" customHeight="1" x14ac:dyDescent="0.2">
      <c r="B394" s="2"/>
      <c r="C394" s="29"/>
      <c r="D394" s="29"/>
      <c r="E394" s="263"/>
      <c r="F394" s="29"/>
      <c r="G394" s="29"/>
      <c r="H394" s="2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2:43" ht="15.75" customHeight="1" x14ac:dyDescent="0.2">
      <c r="B395" s="2"/>
      <c r="C395" s="29"/>
      <c r="D395" s="29"/>
      <c r="E395" s="263"/>
      <c r="F395" s="29"/>
      <c r="G395" s="29"/>
      <c r="H395" s="2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2:43" ht="15.75" customHeight="1" x14ac:dyDescent="0.2">
      <c r="B396" s="2"/>
      <c r="C396" s="29"/>
      <c r="D396" s="29"/>
      <c r="E396" s="263"/>
      <c r="F396" s="29"/>
      <c r="G396" s="29"/>
      <c r="H396" s="2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2:43" ht="15.75" customHeight="1" x14ac:dyDescent="0.2">
      <c r="B397" s="2"/>
      <c r="C397" s="29"/>
      <c r="D397" s="29"/>
      <c r="E397" s="263"/>
      <c r="F397" s="29"/>
      <c r="G397" s="29"/>
      <c r="H397" s="2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2:43" ht="15.75" customHeight="1" x14ac:dyDescent="0.2">
      <c r="B398" s="2"/>
      <c r="C398" s="29"/>
      <c r="D398" s="29"/>
      <c r="E398" s="263"/>
      <c r="F398" s="29"/>
      <c r="G398" s="29"/>
      <c r="H398" s="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2:43" ht="15.75" customHeight="1" x14ac:dyDescent="0.2">
      <c r="B399" s="2"/>
      <c r="C399" s="29"/>
      <c r="D399" s="29"/>
      <c r="E399" s="263"/>
      <c r="F399" s="29"/>
      <c r="G399" s="29"/>
      <c r="H399" s="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2:43" ht="15.75" customHeight="1" x14ac:dyDescent="0.2">
      <c r="B400" s="2"/>
      <c r="C400" s="29"/>
      <c r="D400" s="29"/>
      <c r="E400" s="263"/>
      <c r="F400" s="29"/>
      <c r="G400" s="29"/>
      <c r="H400" s="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2:43" ht="15.75" customHeight="1" x14ac:dyDescent="0.2">
      <c r="B401" s="2"/>
      <c r="C401" s="29"/>
      <c r="D401" s="29"/>
      <c r="E401" s="263"/>
      <c r="F401" s="29"/>
      <c r="G401" s="29"/>
      <c r="H401" s="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2:43" ht="15.75" customHeight="1" x14ac:dyDescent="0.2">
      <c r="B402" s="2"/>
      <c r="C402" s="29"/>
      <c r="D402" s="29"/>
      <c r="E402" s="263"/>
      <c r="F402" s="29"/>
      <c r="G402" s="29"/>
      <c r="H402" s="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2:43" ht="15.75" customHeight="1" x14ac:dyDescent="0.2">
      <c r="B403" s="2"/>
      <c r="C403" s="29"/>
      <c r="D403" s="29"/>
      <c r="E403" s="263"/>
      <c r="F403" s="29"/>
      <c r="G403" s="29"/>
      <c r="H403" s="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2:43" ht="15.75" customHeight="1" x14ac:dyDescent="0.2">
      <c r="B404" s="2"/>
      <c r="C404" s="29"/>
      <c r="D404" s="29"/>
      <c r="E404" s="263"/>
      <c r="F404" s="29"/>
      <c r="G404" s="29"/>
      <c r="H404" s="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2:43" ht="15.75" customHeight="1" x14ac:dyDescent="0.2">
      <c r="B405" s="2"/>
      <c r="C405" s="29"/>
      <c r="D405" s="29"/>
      <c r="E405" s="263"/>
      <c r="F405" s="29"/>
      <c r="G405" s="29"/>
      <c r="H405" s="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2:43" ht="15.75" customHeight="1" x14ac:dyDescent="0.2">
      <c r="B406" s="2"/>
      <c r="C406" s="29"/>
      <c r="D406" s="29"/>
      <c r="E406" s="263"/>
      <c r="F406" s="29"/>
      <c r="G406" s="29"/>
      <c r="H406" s="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2:43" ht="15.75" customHeight="1" x14ac:dyDescent="0.2">
      <c r="B407" s="2"/>
      <c r="C407" s="29"/>
      <c r="D407" s="29"/>
      <c r="E407" s="263"/>
      <c r="F407" s="29"/>
      <c r="G407" s="29"/>
      <c r="H407" s="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2:43" ht="15.75" customHeight="1" x14ac:dyDescent="0.2">
      <c r="B408" s="2"/>
      <c r="C408" s="29"/>
      <c r="D408" s="29"/>
      <c r="E408" s="263"/>
      <c r="F408" s="29"/>
      <c r="G408" s="29"/>
      <c r="H408" s="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2:43" ht="15.75" customHeight="1" x14ac:dyDescent="0.2">
      <c r="B409" s="2"/>
      <c r="C409" s="29"/>
      <c r="D409" s="29"/>
      <c r="E409" s="263"/>
      <c r="F409" s="29"/>
      <c r="G409" s="29"/>
      <c r="H409" s="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2:43" ht="15.75" customHeight="1" x14ac:dyDescent="0.2">
      <c r="B410" s="2"/>
      <c r="C410" s="29"/>
      <c r="D410" s="29"/>
      <c r="E410" s="263"/>
      <c r="F410" s="29"/>
      <c r="G410" s="29"/>
      <c r="H410" s="2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2:43" ht="15.75" customHeight="1" x14ac:dyDescent="0.2">
      <c r="B411" s="2"/>
      <c r="C411" s="29"/>
      <c r="D411" s="29"/>
      <c r="E411" s="263"/>
      <c r="F411" s="29"/>
      <c r="G411" s="29"/>
      <c r="H411" s="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2:43" ht="15.75" customHeight="1" x14ac:dyDescent="0.2">
      <c r="B412" s="2"/>
      <c r="C412" s="29"/>
      <c r="D412" s="29"/>
      <c r="E412" s="263"/>
      <c r="F412" s="29"/>
      <c r="G412" s="29"/>
      <c r="H412" s="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2:43" ht="15.75" customHeight="1" x14ac:dyDescent="0.2">
      <c r="B413" s="2"/>
      <c r="C413" s="29"/>
      <c r="D413" s="29"/>
      <c r="E413" s="263"/>
      <c r="F413" s="29"/>
      <c r="G413" s="29"/>
      <c r="H413" s="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2:43" ht="15.75" customHeight="1" x14ac:dyDescent="0.2">
      <c r="B414" s="2"/>
      <c r="C414" s="29"/>
      <c r="D414" s="29"/>
      <c r="E414" s="263"/>
      <c r="F414" s="29"/>
      <c r="G414" s="29"/>
      <c r="H414" s="2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2:43" ht="15.75" customHeight="1" x14ac:dyDescent="0.2">
      <c r="B415" s="2"/>
      <c r="C415" s="29"/>
      <c r="D415" s="29"/>
      <c r="E415" s="263"/>
      <c r="F415" s="29"/>
      <c r="G415" s="29"/>
      <c r="H415" s="2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2:43" ht="15.75" customHeight="1" x14ac:dyDescent="0.2">
      <c r="B416" s="2"/>
      <c r="C416" s="29"/>
      <c r="D416" s="29"/>
      <c r="E416" s="263"/>
      <c r="F416" s="29"/>
      <c r="G416" s="29"/>
      <c r="H416" s="2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2:43" ht="15.75" customHeight="1" x14ac:dyDescent="0.2">
      <c r="B417" s="2"/>
      <c r="C417" s="29"/>
      <c r="D417" s="29"/>
      <c r="E417" s="263"/>
      <c r="F417" s="29"/>
      <c r="G417" s="29"/>
      <c r="H417" s="2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2:43" ht="15.75" customHeight="1" x14ac:dyDescent="0.2">
      <c r="B418" s="2"/>
      <c r="C418" s="29"/>
      <c r="D418" s="29"/>
      <c r="E418" s="263"/>
      <c r="F418" s="29"/>
      <c r="G418" s="29"/>
      <c r="H418" s="2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2:43" ht="15.75" customHeight="1" x14ac:dyDescent="0.2">
      <c r="B419" s="2"/>
      <c r="C419" s="29"/>
      <c r="D419" s="29"/>
      <c r="E419" s="263"/>
      <c r="F419" s="29"/>
      <c r="G419" s="29"/>
      <c r="H419" s="2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2:43" ht="15.75" customHeight="1" x14ac:dyDescent="0.2">
      <c r="B420" s="2"/>
      <c r="C420" s="29"/>
      <c r="D420" s="29"/>
      <c r="E420" s="263"/>
      <c r="F420" s="29"/>
      <c r="G420" s="29"/>
      <c r="H420" s="2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2:43" ht="15.75" customHeight="1" x14ac:dyDescent="0.2">
      <c r="B421" s="2"/>
      <c r="C421" s="29"/>
      <c r="D421" s="29"/>
      <c r="E421" s="263"/>
      <c r="F421" s="29"/>
      <c r="G421" s="29"/>
      <c r="H421" s="2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2:43" ht="15.75" customHeight="1" x14ac:dyDescent="0.2">
      <c r="B422" s="2"/>
      <c r="C422" s="29"/>
      <c r="D422" s="29"/>
      <c r="E422" s="263"/>
      <c r="F422" s="29"/>
      <c r="G422" s="29"/>
      <c r="H422" s="2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2:43" ht="15.75" customHeight="1" x14ac:dyDescent="0.2">
      <c r="B423" s="2"/>
      <c r="C423" s="29"/>
      <c r="D423" s="29"/>
      <c r="E423" s="263"/>
      <c r="F423" s="29"/>
      <c r="G423" s="29"/>
      <c r="H423" s="2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2:43" ht="15.75" customHeight="1" x14ac:dyDescent="0.2">
      <c r="B424" s="2"/>
      <c r="C424" s="29"/>
      <c r="D424" s="29"/>
      <c r="E424" s="263"/>
      <c r="F424" s="29"/>
      <c r="G424" s="29"/>
      <c r="H424" s="2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2:43" ht="15.75" customHeight="1" x14ac:dyDescent="0.2">
      <c r="B425" s="2"/>
      <c r="C425" s="29"/>
      <c r="D425" s="29"/>
      <c r="E425" s="263"/>
      <c r="F425" s="29"/>
      <c r="G425" s="29"/>
      <c r="H425" s="2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2:43" ht="15.75" customHeight="1" x14ac:dyDescent="0.2">
      <c r="B426" s="2"/>
      <c r="C426" s="29"/>
      <c r="D426" s="29"/>
      <c r="E426" s="263"/>
      <c r="F426" s="29"/>
      <c r="G426" s="29"/>
      <c r="H426" s="2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2:43" ht="15.75" customHeight="1" x14ac:dyDescent="0.2">
      <c r="B427" s="2"/>
      <c r="C427" s="29"/>
      <c r="D427" s="29"/>
      <c r="E427" s="263"/>
      <c r="F427" s="29"/>
      <c r="G427" s="29"/>
      <c r="H427" s="2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2:43" ht="15.75" customHeight="1" x14ac:dyDescent="0.2">
      <c r="B428" s="2"/>
      <c r="C428" s="29"/>
      <c r="D428" s="29"/>
      <c r="E428" s="263"/>
      <c r="F428" s="29"/>
      <c r="G428" s="29"/>
      <c r="H428" s="2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2:43" ht="15.75" customHeight="1" x14ac:dyDescent="0.2">
      <c r="B429" s="2"/>
      <c r="C429" s="29"/>
      <c r="D429" s="29"/>
      <c r="E429" s="263"/>
      <c r="F429" s="29"/>
      <c r="G429" s="29"/>
      <c r="H429" s="2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2:43" ht="15.75" customHeight="1" x14ac:dyDescent="0.2">
      <c r="B430" s="2"/>
      <c r="C430" s="29"/>
      <c r="D430" s="29"/>
      <c r="E430" s="263"/>
      <c r="F430" s="29"/>
      <c r="G430" s="29"/>
      <c r="H430" s="2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2:43" ht="15.75" customHeight="1" x14ac:dyDescent="0.2">
      <c r="B431" s="2"/>
      <c r="C431" s="29"/>
      <c r="D431" s="29"/>
      <c r="E431" s="263"/>
      <c r="F431" s="29"/>
      <c r="G431" s="29"/>
      <c r="H431" s="2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2:43" ht="15.75" customHeight="1" x14ac:dyDescent="0.2">
      <c r="B432" s="2"/>
      <c r="C432" s="29"/>
      <c r="D432" s="29"/>
      <c r="E432" s="263"/>
      <c r="F432" s="29"/>
      <c r="G432" s="29"/>
      <c r="H432" s="2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2:43" ht="15.75" customHeight="1" x14ac:dyDescent="0.2">
      <c r="B433" s="2"/>
      <c r="C433" s="29"/>
      <c r="D433" s="29"/>
      <c r="E433" s="263"/>
      <c r="F433" s="29"/>
      <c r="G433" s="29"/>
      <c r="H433" s="2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2:43" ht="15.75" customHeight="1" x14ac:dyDescent="0.2">
      <c r="B434" s="2"/>
      <c r="C434" s="29"/>
      <c r="D434" s="29"/>
      <c r="E434" s="263"/>
      <c r="F434" s="29"/>
      <c r="G434" s="29"/>
      <c r="H434" s="2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2:43" ht="15.75" customHeight="1" x14ac:dyDescent="0.2">
      <c r="B435" s="2"/>
      <c r="C435" s="29"/>
      <c r="D435" s="29"/>
      <c r="E435" s="263"/>
      <c r="F435" s="29"/>
      <c r="G435" s="29"/>
      <c r="H435" s="2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2:43" ht="15.75" customHeight="1" x14ac:dyDescent="0.2">
      <c r="B436" s="2"/>
      <c r="C436" s="29"/>
      <c r="D436" s="29"/>
      <c r="E436" s="263"/>
      <c r="F436" s="29"/>
      <c r="G436" s="29"/>
      <c r="H436" s="2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2:43" ht="15.75" customHeight="1" x14ac:dyDescent="0.2">
      <c r="B437" s="2"/>
      <c r="C437" s="29"/>
      <c r="D437" s="29"/>
      <c r="E437" s="263"/>
      <c r="F437" s="29"/>
      <c r="G437" s="29"/>
      <c r="H437" s="2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2:43" ht="15.75" customHeight="1" x14ac:dyDescent="0.2">
      <c r="B438" s="2"/>
      <c r="C438" s="29"/>
      <c r="D438" s="29"/>
      <c r="E438" s="263"/>
      <c r="F438" s="29"/>
      <c r="G438" s="29"/>
      <c r="H438" s="2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2:43" ht="15.75" customHeight="1" x14ac:dyDescent="0.2">
      <c r="B439" s="2"/>
      <c r="C439" s="29"/>
      <c r="D439" s="29"/>
      <c r="E439" s="263"/>
      <c r="F439" s="29"/>
      <c r="G439" s="29"/>
      <c r="H439" s="2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2:43" ht="15.75" customHeight="1" x14ac:dyDescent="0.2">
      <c r="B440" s="2"/>
      <c r="C440" s="29"/>
      <c r="D440" s="29"/>
      <c r="E440" s="263"/>
      <c r="F440" s="29"/>
      <c r="G440" s="29"/>
      <c r="H440" s="2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2:43" ht="15.75" customHeight="1" x14ac:dyDescent="0.2">
      <c r="B441" s="2"/>
      <c r="C441" s="29"/>
      <c r="D441" s="29"/>
      <c r="E441" s="263"/>
      <c r="F441" s="29"/>
      <c r="G441" s="29"/>
      <c r="H441" s="2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2:43" ht="15.75" customHeight="1" x14ac:dyDescent="0.2">
      <c r="B442" s="2"/>
      <c r="C442" s="29"/>
      <c r="D442" s="29"/>
      <c r="E442" s="263"/>
      <c r="F442" s="29"/>
      <c r="G442" s="29"/>
      <c r="H442" s="2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2:43" ht="15.75" customHeight="1" x14ac:dyDescent="0.2">
      <c r="B443" s="2"/>
      <c r="C443" s="29"/>
      <c r="D443" s="29"/>
      <c r="E443" s="263"/>
      <c r="F443" s="29"/>
      <c r="G443" s="29"/>
      <c r="H443" s="2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2:43" ht="15.75" customHeight="1" x14ac:dyDescent="0.2">
      <c r="B444" s="2"/>
      <c r="C444" s="29"/>
      <c r="D444" s="29"/>
      <c r="E444" s="263"/>
      <c r="F444" s="29"/>
      <c r="G444" s="29"/>
      <c r="H444" s="2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2:43" ht="15.75" customHeight="1" x14ac:dyDescent="0.2">
      <c r="B445" s="2"/>
      <c r="C445" s="29"/>
      <c r="D445" s="29"/>
      <c r="E445" s="263"/>
      <c r="F445" s="29"/>
      <c r="G445" s="29"/>
      <c r="H445" s="2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2:43" ht="15.75" customHeight="1" x14ac:dyDescent="0.2">
      <c r="B446" s="2"/>
      <c r="C446" s="29"/>
      <c r="D446" s="29"/>
      <c r="E446" s="263"/>
      <c r="F446" s="29"/>
      <c r="G446" s="29"/>
      <c r="H446" s="2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2:43" ht="15.75" customHeight="1" x14ac:dyDescent="0.2">
      <c r="B447" s="2"/>
      <c r="C447" s="29"/>
      <c r="D447" s="29"/>
      <c r="E447" s="263"/>
      <c r="F447" s="29"/>
      <c r="G447" s="29"/>
      <c r="H447" s="2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2:43" ht="15.75" customHeight="1" x14ac:dyDescent="0.2">
      <c r="B448" s="2"/>
      <c r="C448" s="29"/>
      <c r="D448" s="29"/>
      <c r="E448" s="263"/>
      <c r="F448" s="29"/>
      <c r="G448" s="29"/>
      <c r="H448" s="2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2:43" ht="15.75" customHeight="1" x14ac:dyDescent="0.2">
      <c r="B449" s="2"/>
      <c r="C449" s="29"/>
      <c r="D449" s="29"/>
      <c r="E449" s="263"/>
      <c r="F449" s="29"/>
      <c r="G449" s="29"/>
      <c r="H449" s="2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2:43" ht="15.75" customHeight="1" x14ac:dyDescent="0.2">
      <c r="B450" s="2"/>
      <c r="C450" s="29"/>
      <c r="D450" s="29"/>
      <c r="E450" s="263"/>
      <c r="F450" s="29"/>
      <c r="G450" s="29"/>
      <c r="H450" s="2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2:43" ht="15.75" customHeight="1" x14ac:dyDescent="0.2">
      <c r="B451" s="2"/>
      <c r="C451" s="29"/>
      <c r="D451" s="29"/>
      <c r="E451" s="263"/>
      <c r="F451" s="29"/>
      <c r="G451" s="29"/>
      <c r="H451" s="2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2:43" ht="15.75" customHeight="1" x14ac:dyDescent="0.2">
      <c r="B452" s="2"/>
      <c r="C452" s="29"/>
      <c r="D452" s="29"/>
      <c r="E452" s="263"/>
      <c r="F452" s="29"/>
      <c r="G452" s="29"/>
      <c r="H452" s="2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2:43" ht="15.75" customHeight="1" x14ac:dyDescent="0.2">
      <c r="B453" s="2"/>
      <c r="C453" s="29"/>
      <c r="D453" s="29"/>
      <c r="E453" s="263"/>
      <c r="F453" s="29"/>
      <c r="G453" s="29"/>
      <c r="H453" s="2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2:43" ht="15.75" customHeight="1" x14ac:dyDescent="0.2">
      <c r="B454" s="2"/>
      <c r="C454" s="29"/>
      <c r="D454" s="29"/>
      <c r="E454" s="263"/>
      <c r="F454" s="29"/>
      <c r="G454" s="29"/>
      <c r="H454" s="2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2:43" ht="15.75" customHeight="1" x14ac:dyDescent="0.2">
      <c r="B455" s="2"/>
      <c r="C455" s="29"/>
      <c r="D455" s="29"/>
      <c r="E455" s="263"/>
      <c r="F455" s="29"/>
      <c r="G455" s="29"/>
      <c r="H455" s="2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2:43" ht="15.75" customHeight="1" x14ac:dyDescent="0.2">
      <c r="B456" s="2"/>
      <c r="C456" s="29"/>
      <c r="D456" s="29"/>
      <c r="E456" s="263"/>
      <c r="F456" s="29"/>
      <c r="G456" s="29"/>
      <c r="H456" s="2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2:43" ht="15.75" customHeight="1" x14ac:dyDescent="0.2">
      <c r="B457" s="2"/>
      <c r="C457" s="29"/>
      <c r="D457" s="29"/>
      <c r="E457" s="263"/>
      <c r="F457" s="29"/>
      <c r="G457" s="29"/>
      <c r="H457" s="2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2:43" ht="15.75" customHeight="1" x14ac:dyDescent="0.2">
      <c r="B458" s="2"/>
      <c r="C458" s="29"/>
      <c r="D458" s="29"/>
      <c r="E458" s="263"/>
      <c r="F458" s="29"/>
      <c r="G458" s="29"/>
      <c r="H458" s="2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2:43" ht="15.75" customHeight="1" x14ac:dyDescent="0.2">
      <c r="B459" s="2"/>
      <c r="C459" s="29"/>
      <c r="D459" s="29"/>
      <c r="E459" s="263"/>
      <c r="F459" s="29"/>
      <c r="G459" s="29"/>
      <c r="H459" s="2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2:43" ht="15.75" customHeight="1" x14ac:dyDescent="0.2">
      <c r="B460" s="2"/>
      <c r="C460" s="29"/>
      <c r="D460" s="29"/>
      <c r="E460" s="263"/>
      <c r="F460" s="29"/>
      <c r="G460" s="29"/>
      <c r="H460" s="2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2:43" ht="15.75" customHeight="1" x14ac:dyDescent="0.2">
      <c r="B461" s="2"/>
      <c r="C461" s="29"/>
      <c r="D461" s="29"/>
      <c r="E461" s="263"/>
      <c r="F461" s="29"/>
      <c r="G461" s="29"/>
      <c r="H461" s="2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2:43" ht="15.75" customHeight="1" x14ac:dyDescent="0.2">
      <c r="B462" s="2"/>
      <c r="C462" s="29"/>
      <c r="D462" s="29"/>
      <c r="E462" s="263"/>
      <c r="F462" s="29"/>
      <c r="G462" s="29"/>
      <c r="H462" s="2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2:43" ht="15.75" customHeight="1" x14ac:dyDescent="0.2">
      <c r="B463" s="2"/>
      <c r="C463" s="29"/>
      <c r="D463" s="29"/>
      <c r="E463" s="263"/>
      <c r="F463" s="29"/>
      <c r="G463" s="29"/>
      <c r="H463" s="2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2:43" ht="15.75" customHeight="1" x14ac:dyDescent="0.2">
      <c r="B464" s="2"/>
      <c r="C464" s="29"/>
      <c r="D464" s="29"/>
      <c r="E464" s="263"/>
      <c r="F464" s="29"/>
      <c r="G464" s="29"/>
      <c r="H464" s="2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2:43" ht="15.75" customHeight="1" x14ac:dyDescent="0.2">
      <c r="B465" s="2"/>
      <c r="C465" s="29"/>
      <c r="D465" s="29"/>
      <c r="E465" s="263"/>
      <c r="F465" s="29"/>
      <c r="G465" s="29"/>
      <c r="H465" s="2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2:43" ht="15.75" customHeight="1" x14ac:dyDescent="0.2">
      <c r="B466" s="2"/>
      <c r="C466" s="29"/>
      <c r="D466" s="29"/>
      <c r="E466" s="263"/>
      <c r="F466" s="29"/>
      <c r="G466" s="29"/>
      <c r="H466" s="2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2:43" ht="15.75" customHeight="1" x14ac:dyDescent="0.2">
      <c r="B467" s="2"/>
      <c r="C467" s="29"/>
      <c r="D467" s="29"/>
      <c r="E467" s="263"/>
      <c r="F467" s="29"/>
      <c r="G467" s="29"/>
      <c r="H467" s="2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2:43" ht="15.75" customHeight="1" x14ac:dyDescent="0.2">
      <c r="B468" s="2"/>
      <c r="C468" s="29"/>
      <c r="D468" s="29"/>
      <c r="E468" s="263"/>
      <c r="F468" s="29"/>
      <c r="G468" s="29"/>
      <c r="H468" s="2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2:43" ht="15.75" customHeight="1" x14ac:dyDescent="0.2">
      <c r="B469" s="2"/>
      <c r="C469" s="29"/>
      <c r="D469" s="29"/>
      <c r="E469" s="263"/>
      <c r="F469" s="29"/>
      <c r="G469" s="29"/>
      <c r="H469" s="2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2:43" ht="15.75" customHeight="1" x14ac:dyDescent="0.2">
      <c r="B470" s="2"/>
      <c r="C470" s="29"/>
      <c r="D470" s="29"/>
      <c r="E470" s="263"/>
      <c r="F470" s="29"/>
      <c r="G470" s="29"/>
      <c r="H470" s="2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2:43" ht="15.75" customHeight="1" x14ac:dyDescent="0.2">
      <c r="B471" s="2"/>
      <c r="C471" s="29"/>
      <c r="D471" s="29"/>
      <c r="E471" s="263"/>
      <c r="F471" s="29"/>
      <c r="G471" s="29"/>
      <c r="H471" s="2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2:43" ht="15.75" customHeight="1" x14ac:dyDescent="0.2">
      <c r="B472" s="2"/>
      <c r="C472" s="29"/>
      <c r="D472" s="29"/>
      <c r="E472" s="263"/>
      <c r="F472" s="29"/>
      <c r="G472" s="29"/>
      <c r="H472" s="2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2:43" ht="15.75" customHeight="1" x14ac:dyDescent="0.2">
      <c r="B473" s="2"/>
      <c r="C473" s="29"/>
      <c r="D473" s="29"/>
      <c r="E473" s="263"/>
      <c r="F473" s="29"/>
      <c r="G473" s="29"/>
      <c r="H473" s="2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2:43" ht="15.75" customHeight="1" x14ac:dyDescent="0.2">
      <c r="B474" s="2"/>
      <c r="C474" s="29"/>
      <c r="D474" s="29"/>
      <c r="E474" s="263"/>
      <c r="F474" s="29"/>
      <c r="G474" s="29"/>
      <c r="H474" s="2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2:43" ht="15.75" customHeight="1" x14ac:dyDescent="0.2">
      <c r="B475" s="2"/>
      <c r="C475" s="29"/>
      <c r="D475" s="29"/>
      <c r="E475" s="263"/>
      <c r="F475" s="29"/>
      <c r="G475" s="29"/>
      <c r="H475" s="2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2:43" ht="15.75" customHeight="1" x14ac:dyDescent="0.2">
      <c r="B476" s="2"/>
      <c r="C476" s="29"/>
      <c r="D476" s="29"/>
      <c r="E476" s="263"/>
      <c r="F476" s="29"/>
      <c r="G476" s="29"/>
      <c r="H476" s="2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2:43" ht="15.75" customHeight="1" x14ac:dyDescent="0.2">
      <c r="B477" s="2"/>
      <c r="C477" s="29"/>
      <c r="D477" s="29"/>
      <c r="E477" s="263"/>
      <c r="F477" s="29"/>
      <c r="G477" s="29"/>
      <c r="H477" s="2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2:43" ht="15.75" customHeight="1" x14ac:dyDescent="0.2">
      <c r="B478" s="2"/>
      <c r="C478" s="29"/>
      <c r="D478" s="29"/>
      <c r="E478" s="263"/>
      <c r="F478" s="29"/>
      <c r="G478" s="29"/>
      <c r="H478" s="2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2:43" ht="15.75" customHeight="1" x14ac:dyDescent="0.2">
      <c r="B479" s="2"/>
      <c r="C479" s="29"/>
      <c r="D479" s="29"/>
      <c r="E479" s="263"/>
      <c r="F479" s="29"/>
      <c r="G479" s="29"/>
      <c r="H479" s="2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2:43" ht="15.75" customHeight="1" x14ac:dyDescent="0.2">
      <c r="B480" s="2"/>
      <c r="C480" s="29"/>
      <c r="D480" s="29"/>
      <c r="E480" s="263"/>
      <c r="F480" s="29"/>
      <c r="G480" s="29"/>
      <c r="H480" s="2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2:43" ht="15.75" customHeight="1" x14ac:dyDescent="0.2">
      <c r="B481" s="2"/>
      <c r="C481" s="29"/>
      <c r="D481" s="29"/>
      <c r="E481" s="263"/>
      <c r="F481" s="29"/>
      <c r="G481" s="29"/>
      <c r="H481" s="2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2:43" ht="15.75" customHeight="1" x14ac:dyDescent="0.2">
      <c r="B482" s="2"/>
      <c r="C482" s="29"/>
      <c r="D482" s="29"/>
      <c r="E482" s="263"/>
      <c r="F482" s="29"/>
      <c r="G482" s="29"/>
      <c r="H482" s="2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2:43" ht="15.75" customHeight="1" x14ac:dyDescent="0.2">
      <c r="B483" s="2"/>
      <c r="C483" s="29"/>
      <c r="D483" s="29"/>
      <c r="E483" s="263"/>
      <c r="F483" s="29"/>
      <c r="G483" s="29"/>
      <c r="H483" s="2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2:43" ht="15.75" customHeight="1" x14ac:dyDescent="0.2">
      <c r="B484" s="2"/>
      <c r="C484" s="29"/>
      <c r="D484" s="29"/>
      <c r="E484" s="263"/>
      <c r="F484" s="29"/>
      <c r="G484" s="29"/>
      <c r="H484" s="2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2:43" ht="15.75" customHeight="1" x14ac:dyDescent="0.2">
      <c r="B485" s="2"/>
      <c r="C485" s="29"/>
      <c r="D485" s="29"/>
      <c r="E485" s="263"/>
      <c r="F485" s="29"/>
      <c r="G485" s="29"/>
      <c r="H485" s="2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2:43" ht="15.75" customHeight="1" x14ac:dyDescent="0.2">
      <c r="B486" s="2"/>
      <c r="C486" s="29"/>
      <c r="D486" s="29"/>
      <c r="E486" s="263"/>
      <c r="F486" s="29"/>
      <c r="G486" s="29"/>
      <c r="H486" s="2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2:43" ht="15.75" customHeight="1" x14ac:dyDescent="0.2">
      <c r="B487" s="2"/>
      <c r="C487" s="29"/>
      <c r="D487" s="29"/>
      <c r="E487" s="263"/>
      <c r="F487" s="29"/>
      <c r="G487" s="29"/>
      <c r="H487" s="2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2:43" ht="15.75" customHeight="1" x14ac:dyDescent="0.2">
      <c r="B488" s="2"/>
      <c r="C488" s="29"/>
      <c r="D488" s="29"/>
      <c r="E488" s="263"/>
      <c r="F488" s="29"/>
      <c r="G488" s="29"/>
      <c r="H488" s="2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2:43" ht="15.75" customHeight="1" x14ac:dyDescent="0.2">
      <c r="B489" s="2"/>
      <c r="C489" s="29"/>
      <c r="D489" s="29"/>
      <c r="E489" s="263"/>
      <c r="F489" s="29"/>
      <c r="G489" s="29"/>
      <c r="H489" s="2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2:43" ht="15.75" customHeight="1" x14ac:dyDescent="0.2">
      <c r="B490" s="2"/>
      <c r="C490" s="29"/>
      <c r="D490" s="29"/>
      <c r="E490" s="263"/>
      <c r="F490" s="29"/>
      <c r="G490" s="29"/>
      <c r="H490" s="2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2:43" ht="15.75" customHeight="1" x14ac:dyDescent="0.2">
      <c r="B491" s="2"/>
      <c r="C491" s="29"/>
      <c r="D491" s="29"/>
      <c r="E491" s="263"/>
      <c r="F491" s="29"/>
      <c r="G491" s="29"/>
      <c r="H491" s="2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2:43" ht="15.75" customHeight="1" x14ac:dyDescent="0.2">
      <c r="B492" s="2"/>
      <c r="C492" s="29"/>
      <c r="D492" s="29"/>
      <c r="E492" s="263"/>
      <c r="F492" s="29"/>
      <c r="G492" s="29"/>
      <c r="H492" s="2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2:43" ht="15.75" customHeight="1" x14ac:dyDescent="0.2">
      <c r="B493" s="2"/>
      <c r="C493" s="29"/>
      <c r="D493" s="29"/>
      <c r="E493" s="263"/>
      <c r="F493" s="29"/>
      <c r="G493" s="29"/>
      <c r="H493" s="2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2:43" ht="15.75" customHeight="1" x14ac:dyDescent="0.2">
      <c r="B494" s="2"/>
      <c r="C494" s="29"/>
      <c r="D494" s="29"/>
      <c r="E494" s="263"/>
      <c r="F494" s="29"/>
      <c r="G494" s="29"/>
      <c r="H494" s="2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2:43" ht="15.75" customHeight="1" x14ac:dyDescent="0.2">
      <c r="B495" s="2"/>
      <c r="C495" s="29"/>
      <c r="D495" s="29"/>
      <c r="E495" s="263"/>
      <c r="F495" s="29"/>
      <c r="G495" s="29"/>
      <c r="H495" s="2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2:43" ht="15.75" customHeight="1" x14ac:dyDescent="0.2">
      <c r="B496" s="2"/>
      <c r="C496" s="29"/>
      <c r="D496" s="29"/>
      <c r="E496" s="263"/>
      <c r="F496" s="29"/>
      <c r="G496" s="29"/>
      <c r="H496" s="2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2:43" ht="15.75" customHeight="1" x14ac:dyDescent="0.2">
      <c r="B497" s="2"/>
      <c r="C497" s="29"/>
      <c r="D497" s="29"/>
      <c r="E497" s="263"/>
      <c r="F497" s="29"/>
      <c r="G497" s="29"/>
      <c r="H497" s="2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2:43" ht="15.75" customHeight="1" x14ac:dyDescent="0.2">
      <c r="B498" s="2"/>
      <c r="C498" s="29"/>
      <c r="D498" s="29"/>
      <c r="E498" s="263"/>
      <c r="F498" s="29"/>
      <c r="G498" s="29"/>
      <c r="H498" s="2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2:43" ht="15.75" customHeight="1" x14ac:dyDescent="0.2">
      <c r="B499" s="2"/>
      <c r="C499" s="29"/>
      <c r="D499" s="29"/>
      <c r="E499" s="263"/>
      <c r="F499" s="29"/>
      <c r="G499" s="29"/>
      <c r="H499" s="2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2:43" ht="15.75" customHeight="1" x14ac:dyDescent="0.2">
      <c r="B500" s="2"/>
      <c r="C500" s="29"/>
      <c r="D500" s="29"/>
      <c r="E500" s="263"/>
      <c r="F500" s="29"/>
      <c r="G500" s="29"/>
      <c r="H500" s="2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2:43" ht="15.75" customHeight="1" x14ac:dyDescent="0.2">
      <c r="B501" s="2"/>
      <c r="C501" s="29"/>
      <c r="D501" s="29"/>
      <c r="E501" s="263"/>
      <c r="F501" s="29"/>
      <c r="G501" s="29"/>
      <c r="H501" s="2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2:43" ht="15.75" customHeight="1" x14ac:dyDescent="0.2">
      <c r="B502" s="2"/>
      <c r="C502" s="29"/>
      <c r="D502" s="29"/>
      <c r="E502" s="263"/>
      <c r="F502" s="29"/>
      <c r="G502" s="29"/>
      <c r="H502" s="2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2:43" ht="15.75" customHeight="1" x14ac:dyDescent="0.2">
      <c r="B503" s="2"/>
      <c r="C503" s="29"/>
      <c r="D503" s="29"/>
      <c r="E503" s="263"/>
      <c r="F503" s="29"/>
      <c r="G503" s="29"/>
      <c r="H503" s="2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2:43" ht="15.75" customHeight="1" x14ac:dyDescent="0.2">
      <c r="B504" s="2"/>
      <c r="C504" s="29"/>
      <c r="D504" s="29"/>
      <c r="E504" s="263"/>
      <c r="F504" s="29"/>
      <c r="G504" s="29"/>
      <c r="H504" s="2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2:43" ht="15.75" customHeight="1" x14ac:dyDescent="0.2">
      <c r="B505" s="2"/>
      <c r="C505" s="29"/>
      <c r="D505" s="29"/>
      <c r="E505" s="263"/>
      <c r="F505" s="29"/>
      <c r="G505" s="29"/>
      <c r="H505" s="2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2:43" ht="15.75" customHeight="1" x14ac:dyDescent="0.2">
      <c r="B506" s="2"/>
      <c r="C506" s="29"/>
      <c r="D506" s="29"/>
      <c r="E506" s="263"/>
      <c r="F506" s="29"/>
      <c r="G506" s="29"/>
      <c r="H506" s="2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2:43" ht="15.75" customHeight="1" x14ac:dyDescent="0.2">
      <c r="B507" s="2"/>
      <c r="C507" s="29"/>
      <c r="D507" s="29"/>
      <c r="E507" s="263"/>
      <c r="F507" s="29"/>
      <c r="G507" s="29"/>
      <c r="H507" s="2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2:43" ht="15.75" customHeight="1" x14ac:dyDescent="0.2">
      <c r="B508" s="2"/>
      <c r="C508" s="29"/>
      <c r="D508" s="29"/>
      <c r="E508" s="263"/>
      <c r="F508" s="29"/>
      <c r="G508" s="29"/>
      <c r="H508" s="2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2:43" ht="15.75" customHeight="1" x14ac:dyDescent="0.2">
      <c r="B509" s="2"/>
      <c r="C509" s="29"/>
      <c r="D509" s="29"/>
      <c r="E509" s="263"/>
      <c r="F509" s="29"/>
      <c r="G509" s="29"/>
      <c r="H509" s="2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2:43" ht="15.75" customHeight="1" x14ac:dyDescent="0.2">
      <c r="B510" s="2"/>
      <c r="C510" s="29"/>
      <c r="D510" s="29"/>
      <c r="E510" s="263"/>
      <c r="F510" s="29"/>
      <c r="G510" s="29"/>
      <c r="H510" s="2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2:43" ht="15.75" customHeight="1" x14ac:dyDescent="0.2">
      <c r="B511" s="2"/>
      <c r="C511" s="29"/>
      <c r="D511" s="29"/>
      <c r="E511" s="263"/>
      <c r="F511" s="29"/>
      <c r="G511" s="29"/>
      <c r="H511" s="2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2:43" ht="15.75" customHeight="1" x14ac:dyDescent="0.2">
      <c r="B512" s="2"/>
      <c r="C512" s="29"/>
      <c r="D512" s="29"/>
      <c r="E512" s="263"/>
      <c r="F512" s="29"/>
      <c r="G512" s="29"/>
      <c r="H512" s="2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2:43" ht="15.75" customHeight="1" x14ac:dyDescent="0.2">
      <c r="B513" s="2"/>
      <c r="C513" s="29"/>
      <c r="D513" s="29"/>
      <c r="E513" s="263"/>
      <c r="F513" s="29"/>
      <c r="G513" s="29"/>
      <c r="H513" s="2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2:43" ht="15.75" customHeight="1" x14ac:dyDescent="0.2">
      <c r="B514" s="2"/>
      <c r="C514" s="29"/>
      <c r="D514" s="29"/>
      <c r="E514" s="263"/>
      <c r="F514" s="29"/>
      <c r="G514" s="29"/>
      <c r="H514" s="2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2:43" ht="15.75" customHeight="1" x14ac:dyDescent="0.2">
      <c r="B515" s="2"/>
      <c r="C515" s="29"/>
      <c r="D515" s="29"/>
      <c r="E515" s="263"/>
      <c r="F515" s="29"/>
      <c r="G515" s="29"/>
      <c r="H515" s="2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2:43" ht="15.75" customHeight="1" x14ac:dyDescent="0.2">
      <c r="B516" s="2"/>
      <c r="C516" s="29"/>
      <c r="D516" s="29"/>
      <c r="E516" s="263"/>
      <c r="F516" s="29"/>
      <c r="G516" s="29"/>
      <c r="H516" s="2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2:43" ht="15.75" customHeight="1" x14ac:dyDescent="0.2">
      <c r="B517" s="2"/>
      <c r="C517" s="29"/>
      <c r="D517" s="29"/>
      <c r="E517" s="263"/>
      <c r="F517" s="29"/>
      <c r="G517" s="29"/>
      <c r="H517" s="2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2:43" ht="15.75" customHeight="1" x14ac:dyDescent="0.2">
      <c r="B518" s="2"/>
      <c r="C518" s="29"/>
      <c r="D518" s="29"/>
      <c r="E518" s="263"/>
      <c r="F518" s="29"/>
      <c r="G518" s="29"/>
      <c r="H518" s="2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2:43" ht="15.75" customHeight="1" x14ac:dyDescent="0.2">
      <c r="B519" s="2"/>
      <c r="C519" s="29"/>
      <c r="D519" s="29"/>
      <c r="E519" s="263"/>
      <c r="F519" s="29"/>
      <c r="G519" s="29"/>
      <c r="H519" s="2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2:43" ht="15.75" customHeight="1" x14ac:dyDescent="0.2">
      <c r="B520" s="2"/>
      <c r="C520" s="29"/>
      <c r="D520" s="29"/>
      <c r="E520" s="263"/>
      <c r="F520" s="29"/>
      <c r="G520" s="29"/>
      <c r="H520" s="2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2:43" ht="15.75" customHeight="1" x14ac:dyDescent="0.2">
      <c r="B521" s="2"/>
      <c r="C521" s="29"/>
      <c r="D521" s="29"/>
      <c r="E521" s="263"/>
      <c r="F521" s="29"/>
      <c r="G521" s="29"/>
      <c r="H521" s="2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2:43" ht="15.75" customHeight="1" x14ac:dyDescent="0.2">
      <c r="B522" s="2"/>
      <c r="C522" s="29"/>
      <c r="D522" s="29"/>
      <c r="E522" s="263"/>
      <c r="F522" s="29"/>
      <c r="G522" s="29"/>
      <c r="H522" s="2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2:43" ht="15.75" customHeight="1" x14ac:dyDescent="0.2">
      <c r="B523" s="2"/>
      <c r="C523" s="29"/>
      <c r="D523" s="29"/>
      <c r="E523" s="263"/>
      <c r="F523" s="29"/>
      <c r="G523" s="29"/>
      <c r="H523" s="2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2:43" ht="15.75" customHeight="1" x14ac:dyDescent="0.2">
      <c r="B524" s="2"/>
      <c r="C524" s="29"/>
      <c r="D524" s="29"/>
      <c r="E524" s="263"/>
      <c r="F524" s="29"/>
      <c r="G524" s="29"/>
      <c r="H524" s="2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2:43" ht="15.75" customHeight="1" x14ac:dyDescent="0.2">
      <c r="B525" s="2"/>
      <c r="C525" s="29"/>
      <c r="D525" s="29"/>
      <c r="E525" s="263"/>
      <c r="F525" s="29"/>
      <c r="G525" s="29"/>
      <c r="H525" s="2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2:43" ht="15.75" customHeight="1" x14ac:dyDescent="0.2">
      <c r="B526" s="2"/>
      <c r="C526" s="29"/>
      <c r="D526" s="29"/>
      <c r="E526" s="263"/>
      <c r="F526" s="29"/>
      <c r="G526" s="29"/>
      <c r="H526" s="2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2:43" ht="15.75" customHeight="1" x14ac:dyDescent="0.2">
      <c r="B527" s="2"/>
      <c r="C527" s="29"/>
      <c r="D527" s="29"/>
      <c r="E527" s="263"/>
      <c r="F527" s="29"/>
      <c r="G527" s="29"/>
      <c r="H527" s="2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2:43" ht="15.75" customHeight="1" x14ac:dyDescent="0.2">
      <c r="B528" s="2"/>
      <c r="C528" s="29"/>
      <c r="D528" s="29"/>
      <c r="E528" s="263"/>
      <c r="F528" s="29"/>
      <c r="G528" s="29"/>
      <c r="H528" s="2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2:43" ht="15.75" customHeight="1" x14ac:dyDescent="0.2">
      <c r="B529" s="2"/>
      <c r="C529" s="29"/>
      <c r="D529" s="29"/>
      <c r="E529" s="263"/>
      <c r="F529" s="29"/>
      <c r="G529" s="29"/>
      <c r="H529" s="2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2:43" ht="15.75" customHeight="1" x14ac:dyDescent="0.2">
      <c r="B530" s="2"/>
      <c r="C530" s="29"/>
      <c r="D530" s="29"/>
      <c r="E530" s="263"/>
      <c r="F530" s="29"/>
      <c r="G530" s="29"/>
      <c r="H530" s="2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2:43" ht="15.75" customHeight="1" x14ac:dyDescent="0.2">
      <c r="B531" s="2"/>
      <c r="C531" s="29"/>
      <c r="D531" s="29"/>
      <c r="E531" s="263"/>
      <c r="F531" s="29"/>
      <c r="G531" s="29"/>
      <c r="H531" s="2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2:43" ht="15.75" customHeight="1" x14ac:dyDescent="0.2">
      <c r="B532" s="2"/>
      <c r="C532" s="29"/>
      <c r="D532" s="29"/>
      <c r="E532" s="263"/>
      <c r="F532" s="29"/>
      <c r="G532" s="29"/>
      <c r="H532" s="2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2:43" ht="15.75" customHeight="1" x14ac:dyDescent="0.2">
      <c r="B533" s="2"/>
      <c r="C533" s="29"/>
      <c r="D533" s="29"/>
      <c r="E533" s="263"/>
      <c r="F533" s="29"/>
      <c r="G533" s="29"/>
      <c r="H533" s="2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2:43" ht="15.75" customHeight="1" x14ac:dyDescent="0.2">
      <c r="B534" s="2"/>
      <c r="C534" s="29"/>
      <c r="D534" s="29"/>
      <c r="E534" s="263"/>
      <c r="F534" s="29"/>
      <c r="G534" s="29"/>
      <c r="H534" s="2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2:43" ht="15.75" customHeight="1" x14ac:dyDescent="0.2">
      <c r="B535" s="2"/>
      <c r="C535" s="29"/>
      <c r="D535" s="29"/>
      <c r="E535" s="263"/>
      <c r="F535" s="29"/>
      <c r="G535" s="29"/>
      <c r="H535" s="2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2:43" ht="15.75" customHeight="1" x14ac:dyDescent="0.2">
      <c r="B536" s="2"/>
      <c r="C536" s="29"/>
      <c r="D536" s="29"/>
      <c r="E536" s="263"/>
      <c r="F536" s="29"/>
      <c r="G536" s="29"/>
      <c r="H536" s="2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2:43" ht="15.75" customHeight="1" x14ac:dyDescent="0.2">
      <c r="B537" s="2"/>
      <c r="C537" s="29"/>
      <c r="D537" s="29"/>
      <c r="E537" s="263"/>
      <c r="F537" s="29"/>
      <c r="G537" s="29"/>
      <c r="H537" s="2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2:43" ht="15.75" customHeight="1" x14ac:dyDescent="0.2">
      <c r="B538" s="2"/>
      <c r="C538" s="29"/>
      <c r="D538" s="29"/>
      <c r="E538" s="263"/>
      <c r="F538" s="29"/>
      <c r="G538" s="29"/>
      <c r="H538" s="2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2:43" ht="15.75" customHeight="1" x14ac:dyDescent="0.2">
      <c r="B539" s="2"/>
      <c r="C539" s="29"/>
      <c r="D539" s="29"/>
      <c r="E539" s="263"/>
      <c r="F539" s="29"/>
      <c r="G539" s="29"/>
      <c r="H539" s="2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2:43" ht="15.75" customHeight="1" x14ac:dyDescent="0.2">
      <c r="B540" s="2"/>
      <c r="C540" s="29"/>
      <c r="D540" s="29"/>
      <c r="E540" s="263"/>
      <c r="F540" s="29"/>
      <c r="G540" s="29"/>
      <c r="H540" s="2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2:43" ht="15.75" customHeight="1" x14ac:dyDescent="0.2">
      <c r="B541" s="2"/>
      <c r="C541" s="29"/>
      <c r="D541" s="29"/>
      <c r="E541" s="263"/>
      <c r="F541" s="29"/>
      <c r="G541" s="29"/>
      <c r="H541" s="2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2:43" ht="15.75" customHeight="1" x14ac:dyDescent="0.2">
      <c r="B542" s="2"/>
      <c r="C542" s="29"/>
      <c r="D542" s="29"/>
      <c r="E542" s="263"/>
      <c r="F542" s="29"/>
      <c r="G542" s="29"/>
      <c r="H542" s="2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2:43" ht="15.75" customHeight="1" x14ac:dyDescent="0.2">
      <c r="B543" s="2"/>
      <c r="C543" s="29"/>
      <c r="D543" s="29"/>
      <c r="E543" s="263"/>
      <c r="F543" s="29"/>
      <c r="G543" s="29"/>
      <c r="H543" s="2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2:43" ht="15.75" customHeight="1" x14ac:dyDescent="0.2">
      <c r="B544" s="2"/>
      <c r="C544" s="29"/>
      <c r="D544" s="29"/>
      <c r="E544" s="263"/>
      <c r="F544" s="29"/>
      <c r="G544" s="29"/>
      <c r="H544" s="2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2:43" ht="15.75" customHeight="1" x14ac:dyDescent="0.2">
      <c r="B545" s="2"/>
      <c r="C545" s="29"/>
      <c r="D545" s="29"/>
      <c r="E545" s="263"/>
      <c r="F545" s="29"/>
      <c r="G545" s="29"/>
      <c r="H545" s="2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2:43" ht="15.75" customHeight="1" x14ac:dyDescent="0.2">
      <c r="B546" s="2"/>
      <c r="C546" s="29"/>
      <c r="D546" s="29"/>
      <c r="E546" s="263"/>
      <c r="F546" s="29"/>
      <c r="G546" s="29"/>
      <c r="H546" s="2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2:43" ht="15.75" customHeight="1" x14ac:dyDescent="0.2">
      <c r="B547" s="2"/>
      <c r="C547" s="29"/>
      <c r="D547" s="29"/>
      <c r="E547" s="263"/>
      <c r="F547" s="29"/>
      <c r="G547" s="29"/>
      <c r="H547" s="2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2:43" ht="15.75" customHeight="1" x14ac:dyDescent="0.2">
      <c r="B548" s="2"/>
      <c r="C548" s="29"/>
      <c r="D548" s="29"/>
      <c r="E548" s="263"/>
      <c r="F548" s="29"/>
      <c r="G548" s="29"/>
      <c r="H548" s="2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2:43" ht="15.75" customHeight="1" x14ac:dyDescent="0.2">
      <c r="B549" s="2"/>
      <c r="C549" s="29"/>
      <c r="D549" s="29"/>
      <c r="E549" s="263"/>
      <c r="F549" s="29"/>
      <c r="G549" s="29"/>
      <c r="H549" s="2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2:43" ht="15.75" customHeight="1" x14ac:dyDescent="0.2">
      <c r="B550" s="2"/>
      <c r="C550" s="29"/>
      <c r="D550" s="29"/>
      <c r="E550" s="263"/>
      <c r="F550" s="29"/>
      <c r="G550" s="29"/>
      <c r="H550" s="2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2:43" ht="15.75" customHeight="1" x14ac:dyDescent="0.2">
      <c r="B551" s="2"/>
      <c r="C551" s="29"/>
      <c r="D551" s="29"/>
      <c r="E551" s="263"/>
      <c r="F551" s="29"/>
      <c r="G551" s="29"/>
      <c r="H551" s="2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2:43" ht="15.75" customHeight="1" x14ac:dyDescent="0.2">
      <c r="B552" s="2"/>
      <c r="C552" s="29"/>
      <c r="D552" s="29"/>
      <c r="E552" s="263"/>
      <c r="F552" s="29"/>
      <c r="G552" s="29"/>
      <c r="H552" s="2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2:43" ht="15.75" customHeight="1" x14ac:dyDescent="0.2">
      <c r="B553" s="2"/>
      <c r="C553" s="29"/>
      <c r="D553" s="29"/>
      <c r="E553" s="263"/>
      <c r="F553" s="29"/>
      <c r="G553" s="29"/>
      <c r="H553" s="2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2:43" ht="15.75" customHeight="1" x14ac:dyDescent="0.2">
      <c r="B554" s="2"/>
      <c r="C554" s="29"/>
      <c r="D554" s="29"/>
      <c r="E554" s="263"/>
      <c r="F554" s="29"/>
      <c r="G554" s="29"/>
      <c r="H554" s="2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2:43" ht="15.75" customHeight="1" x14ac:dyDescent="0.2">
      <c r="B555" s="2"/>
      <c r="C555" s="29"/>
      <c r="D555" s="29"/>
      <c r="E555" s="263"/>
      <c r="F555" s="29"/>
      <c r="G555" s="29"/>
      <c r="H555" s="2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2:43" ht="15.75" customHeight="1" x14ac:dyDescent="0.2">
      <c r="B556" s="2"/>
      <c r="C556" s="29"/>
      <c r="D556" s="29"/>
      <c r="E556" s="263"/>
      <c r="F556" s="29"/>
      <c r="G556" s="29"/>
      <c r="H556" s="2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2:43" ht="15.75" customHeight="1" x14ac:dyDescent="0.2">
      <c r="B557" s="2"/>
      <c r="C557" s="29"/>
      <c r="D557" s="29"/>
      <c r="E557" s="263"/>
      <c r="F557" s="29"/>
      <c r="G557" s="29"/>
      <c r="H557" s="2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2:43" ht="15.75" customHeight="1" x14ac:dyDescent="0.2">
      <c r="B558" s="2"/>
      <c r="C558" s="29"/>
      <c r="D558" s="29"/>
      <c r="E558" s="263"/>
      <c r="F558" s="29"/>
      <c r="G558" s="29"/>
      <c r="H558" s="2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2:43" ht="15.75" customHeight="1" x14ac:dyDescent="0.2">
      <c r="B559" s="2"/>
      <c r="C559" s="29"/>
      <c r="D559" s="29"/>
      <c r="E559" s="263"/>
      <c r="F559" s="29"/>
      <c r="G559" s="29"/>
      <c r="H559" s="2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2:43" ht="15.75" customHeight="1" x14ac:dyDescent="0.2">
      <c r="B560" s="2"/>
      <c r="C560" s="29"/>
      <c r="D560" s="29"/>
      <c r="E560" s="263"/>
      <c r="F560" s="29"/>
      <c r="G560" s="29"/>
      <c r="H560" s="2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2:43" ht="15.75" customHeight="1" x14ac:dyDescent="0.2">
      <c r="B561" s="2"/>
      <c r="C561" s="29"/>
      <c r="D561" s="29"/>
      <c r="E561" s="263"/>
      <c r="F561" s="29"/>
      <c r="G561" s="29"/>
      <c r="H561" s="2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2:43" ht="15.75" customHeight="1" x14ac:dyDescent="0.2">
      <c r="B562" s="2"/>
      <c r="C562" s="29"/>
      <c r="D562" s="29"/>
      <c r="E562" s="263"/>
      <c r="F562" s="29"/>
      <c r="G562" s="29"/>
      <c r="H562" s="2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2:43" ht="15.75" customHeight="1" x14ac:dyDescent="0.2">
      <c r="B563" s="2"/>
      <c r="C563" s="29"/>
      <c r="D563" s="29"/>
      <c r="E563" s="263"/>
      <c r="F563" s="29"/>
      <c r="G563" s="29"/>
      <c r="H563" s="2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2:43" ht="15.75" customHeight="1" x14ac:dyDescent="0.2">
      <c r="B564" s="2"/>
      <c r="C564" s="29"/>
      <c r="D564" s="29"/>
      <c r="E564" s="263"/>
      <c r="F564" s="29"/>
      <c r="G564" s="29"/>
      <c r="H564" s="2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2:43" ht="15.75" customHeight="1" x14ac:dyDescent="0.2">
      <c r="B565" s="2"/>
      <c r="C565" s="29"/>
      <c r="D565" s="29"/>
      <c r="E565" s="263"/>
      <c r="F565" s="29"/>
      <c r="G565" s="29"/>
      <c r="H565" s="2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2:43" ht="15.75" customHeight="1" x14ac:dyDescent="0.2">
      <c r="B566" s="2"/>
      <c r="C566" s="29"/>
      <c r="D566" s="29"/>
      <c r="E566" s="263"/>
      <c r="F566" s="29"/>
      <c r="G566" s="29"/>
      <c r="H566" s="2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2:43" ht="15.75" customHeight="1" x14ac:dyDescent="0.2">
      <c r="B567" s="2"/>
      <c r="C567" s="29"/>
      <c r="D567" s="29"/>
      <c r="E567" s="263"/>
      <c r="F567" s="29"/>
      <c r="G567" s="29"/>
      <c r="H567" s="2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2:43" ht="15.75" customHeight="1" x14ac:dyDescent="0.2">
      <c r="B568" s="2"/>
      <c r="C568" s="29"/>
      <c r="D568" s="29"/>
      <c r="E568" s="263"/>
      <c r="F568" s="29"/>
      <c r="G568" s="29"/>
      <c r="H568" s="2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2:43" ht="15.75" customHeight="1" x14ac:dyDescent="0.2">
      <c r="B569" s="2"/>
      <c r="C569" s="29"/>
      <c r="D569" s="29"/>
      <c r="E569" s="263"/>
      <c r="F569" s="29"/>
      <c r="G569" s="29"/>
      <c r="H569" s="2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2:43" ht="15.75" customHeight="1" x14ac:dyDescent="0.2">
      <c r="B570" s="2"/>
      <c r="C570" s="29"/>
      <c r="D570" s="29"/>
      <c r="E570" s="263"/>
      <c r="F570" s="29"/>
      <c r="G570" s="29"/>
      <c r="H570" s="2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2:43" ht="15.75" customHeight="1" x14ac:dyDescent="0.2">
      <c r="B571" s="2"/>
      <c r="C571" s="29"/>
      <c r="D571" s="29"/>
      <c r="E571" s="263"/>
      <c r="F571" s="29"/>
      <c r="G571" s="29"/>
      <c r="H571" s="2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2:43" ht="15.75" customHeight="1" x14ac:dyDescent="0.2">
      <c r="B572" s="2"/>
      <c r="C572" s="29"/>
      <c r="D572" s="29"/>
      <c r="E572" s="263"/>
      <c r="F572" s="29"/>
      <c r="G572" s="29"/>
      <c r="H572" s="2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2:43" ht="15.75" customHeight="1" x14ac:dyDescent="0.2">
      <c r="B573" s="2"/>
      <c r="C573" s="29"/>
      <c r="D573" s="29"/>
      <c r="E573" s="263"/>
      <c r="F573" s="29"/>
      <c r="G573" s="29"/>
      <c r="H573" s="2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2:43" ht="15.75" customHeight="1" x14ac:dyDescent="0.2">
      <c r="B574" s="2"/>
      <c r="C574" s="29"/>
      <c r="D574" s="29"/>
      <c r="E574" s="263"/>
      <c r="F574" s="29"/>
      <c r="G574" s="29"/>
      <c r="H574" s="2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2:43" ht="15.75" customHeight="1" x14ac:dyDescent="0.2">
      <c r="B575" s="2"/>
      <c r="C575" s="29"/>
      <c r="D575" s="29"/>
      <c r="E575" s="263"/>
      <c r="F575" s="29"/>
      <c r="G575" s="29"/>
      <c r="H575" s="2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2:43" ht="15.75" customHeight="1" x14ac:dyDescent="0.2">
      <c r="B576" s="2"/>
      <c r="C576" s="29"/>
      <c r="D576" s="29"/>
      <c r="E576" s="263"/>
      <c r="F576" s="29"/>
      <c r="G576" s="29"/>
      <c r="H576" s="2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2:43" ht="15.75" customHeight="1" x14ac:dyDescent="0.2">
      <c r="B577" s="2"/>
      <c r="C577" s="29"/>
      <c r="D577" s="29"/>
      <c r="E577" s="263"/>
      <c r="F577" s="29"/>
      <c r="G577" s="29"/>
      <c r="H577" s="2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2:43" ht="15.75" customHeight="1" x14ac:dyDescent="0.2">
      <c r="B578" s="2"/>
      <c r="C578" s="29"/>
      <c r="D578" s="29"/>
      <c r="E578" s="263"/>
      <c r="F578" s="29"/>
      <c r="G578" s="29"/>
      <c r="H578" s="2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2:43" ht="15.75" customHeight="1" x14ac:dyDescent="0.2">
      <c r="B579" s="2"/>
      <c r="C579" s="29"/>
      <c r="D579" s="29"/>
      <c r="E579" s="263"/>
      <c r="F579" s="29"/>
      <c r="G579" s="29"/>
      <c r="H579" s="2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2:43" ht="15.75" customHeight="1" x14ac:dyDescent="0.2">
      <c r="B580" s="2"/>
      <c r="C580" s="29"/>
      <c r="D580" s="29"/>
      <c r="E580" s="263"/>
      <c r="F580" s="29"/>
      <c r="G580" s="29"/>
      <c r="H580" s="2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2:43" ht="15.75" customHeight="1" x14ac:dyDescent="0.2">
      <c r="B581" s="2"/>
      <c r="C581" s="29"/>
      <c r="D581" s="29"/>
      <c r="E581" s="263"/>
      <c r="F581" s="29"/>
      <c r="G581" s="29"/>
      <c r="H581" s="2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2:43" ht="15.75" customHeight="1" x14ac:dyDescent="0.2">
      <c r="B582" s="2"/>
      <c r="C582" s="29"/>
      <c r="D582" s="29"/>
      <c r="E582" s="263"/>
      <c r="F582" s="29"/>
      <c r="G582" s="29"/>
      <c r="H582" s="2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2:43" ht="15.75" customHeight="1" x14ac:dyDescent="0.2">
      <c r="B583" s="2"/>
      <c r="C583" s="29"/>
      <c r="D583" s="29"/>
      <c r="E583" s="263"/>
      <c r="F583" s="29"/>
      <c r="G583" s="29"/>
      <c r="H583" s="2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2:43" ht="15.75" customHeight="1" x14ac:dyDescent="0.2">
      <c r="B584" s="2"/>
      <c r="C584" s="29"/>
      <c r="D584" s="29"/>
      <c r="E584" s="263"/>
      <c r="F584" s="29"/>
      <c r="G584" s="29"/>
      <c r="H584" s="2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2:43" ht="15.75" customHeight="1" x14ac:dyDescent="0.2">
      <c r="B585" s="2"/>
      <c r="C585" s="29"/>
      <c r="D585" s="29"/>
      <c r="E585" s="263"/>
      <c r="F585" s="29"/>
      <c r="G585" s="29"/>
      <c r="H585" s="2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2:43" ht="15.75" customHeight="1" x14ac:dyDescent="0.2">
      <c r="B586" s="2"/>
      <c r="C586" s="29"/>
      <c r="D586" s="29"/>
      <c r="E586" s="263"/>
      <c r="F586" s="29"/>
      <c r="G586" s="29"/>
      <c r="H586" s="2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2:43" ht="15.75" customHeight="1" x14ac:dyDescent="0.2">
      <c r="B587" s="2"/>
      <c r="C587" s="29"/>
      <c r="D587" s="29"/>
      <c r="E587" s="263"/>
      <c r="F587" s="29"/>
      <c r="G587" s="29"/>
      <c r="H587" s="2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2:43" ht="15.75" customHeight="1" x14ac:dyDescent="0.2">
      <c r="B588" s="2"/>
      <c r="C588" s="29"/>
      <c r="D588" s="29"/>
      <c r="E588" s="263"/>
      <c r="F588" s="29"/>
      <c r="G588" s="29"/>
      <c r="H588" s="2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2:43" ht="15.75" customHeight="1" x14ac:dyDescent="0.2">
      <c r="B589" s="2"/>
      <c r="C589" s="29"/>
      <c r="D589" s="29"/>
      <c r="E589" s="263"/>
      <c r="F589" s="29"/>
      <c r="G589" s="29"/>
      <c r="H589" s="2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2:43" ht="15.75" customHeight="1" x14ac:dyDescent="0.2">
      <c r="B590" s="2"/>
      <c r="C590" s="29"/>
      <c r="D590" s="29"/>
      <c r="E590" s="263"/>
      <c r="F590" s="29"/>
      <c r="G590" s="29"/>
      <c r="H590" s="2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2:43" ht="15.75" customHeight="1" x14ac:dyDescent="0.2">
      <c r="B591" s="2"/>
      <c r="C591" s="29"/>
      <c r="D591" s="29"/>
      <c r="E591" s="263"/>
      <c r="F591" s="29"/>
      <c r="G591" s="29"/>
      <c r="H591" s="2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2:43" ht="15.75" customHeight="1" x14ac:dyDescent="0.2">
      <c r="B592" s="2"/>
      <c r="C592" s="29"/>
      <c r="D592" s="29"/>
      <c r="E592" s="263"/>
      <c r="F592" s="29"/>
      <c r="G592" s="29"/>
      <c r="H592" s="2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2:43" ht="15.75" customHeight="1" x14ac:dyDescent="0.2">
      <c r="B593" s="2"/>
      <c r="C593" s="29"/>
      <c r="D593" s="29"/>
      <c r="E593" s="263"/>
      <c r="F593" s="29"/>
      <c r="G593" s="29"/>
      <c r="H593" s="2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2:43" ht="15.75" customHeight="1" x14ac:dyDescent="0.2">
      <c r="B594" s="2"/>
      <c r="C594" s="29"/>
      <c r="D594" s="29"/>
      <c r="E594" s="263"/>
      <c r="F594" s="29"/>
      <c r="G594" s="29"/>
      <c r="H594" s="2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2:43" ht="15.75" customHeight="1" x14ac:dyDescent="0.2">
      <c r="B595" s="2"/>
      <c r="C595" s="29"/>
      <c r="D595" s="29"/>
      <c r="E595" s="263"/>
      <c r="F595" s="29"/>
      <c r="G595" s="29"/>
      <c r="H595" s="2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2:43" ht="15.75" customHeight="1" x14ac:dyDescent="0.2">
      <c r="B596" s="2"/>
      <c r="C596" s="29"/>
      <c r="D596" s="29"/>
      <c r="E596" s="263"/>
      <c r="F596" s="29"/>
      <c r="G596" s="29"/>
      <c r="H596" s="2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2:43" ht="15.75" customHeight="1" x14ac:dyDescent="0.2">
      <c r="B597" s="2"/>
      <c r="C597" s="29"/>
      <c r="D597" s="29"/>
      <c r="E597" s="263"/>
      <c r="F597" s="29"/>
      <c r="G597" s="29"/>
      <c r="H597" s="2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2:43" ht="15.75" customHeight="1" x14ac:dyDescent="0.2">
      <c r="B598" s="2"/>
      <c r="C598" s="29"/>
      <c r="D598" s="29"/>
      <c r="E598" s="263"/>
      <c r="F598" s="29"/>
      <c r="G598" s="29"/>
      <c r="H598" s="2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2:43" ht="15.75" customHeight="1" x14ac:dyDescent="0.2">
      <c r="B599" s="2"/>
      <c r="C599" s="29"/>
      <c r="D599" s="29"/>
      <c r="E599" s="263"/>
      <c r="F599" s="29"/>
      <c r="G599" s="29"/>
      <c r="H599" s="2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2:43" ht="15.75" customHeight="1" x14ac:dyDescent="0.2">
      <c r="B600" s="2"/>
      <c r="C600" s="29"/>
      <c r="D600" s="29"/>
      <c r="E600" s="263"/>
      <c r="F600" s="29"/>
      <c r="G600" s="29"/>
      <c r="H600" s="2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2:43" ht="15.75" customHeight="1" x14ac:dyDescent="0.2">
      <c r="B601" s="2"/>
      <c r="C601" s="29"/>
      <c r="D601" s="29"/>
      <c r="E601" s="263"/>
      <c r="F601" s="29"/>
      <c r="G601" s="29"/>
      <c r="H601" s="2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2:43" ht="15.75" customHeight="1" x14ac:dyDescent="0.2">
      <c r="B602" s="2"/>
      <c r="C602" s="29"/>
      <c r="D602" s="29"/>
      <c r="E602" s="263"/>
      <c r="F602" s="29"/>
      <c r="G602" s="29"/>
      <c r="H602" s="2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2:43" ht="15.75" customHeight="1" x14ac:dyDescent="0.2">
      <c r="B603" s="2"/>
      <c r="C603" s="29"/>
      <c r="D603" s="29"/>
      <c r="E603" s="263"/>
      <c r="F603" s="29"/>
      <c r="G603" s="29"/>
      <c r="H603" s="2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2:43" ht="15.75" customHeight="1" x14ac:dyDescent="0.2">
      <c r="B604" s="2"/>
      <c r="C604" s="29"/>
      <c r="D604" s="29"/>
      <c r="E604" s="263"/>
      <c r="F604" s="29"/>
      <c r="G604" s="29"/>
      <c r="H604" s="2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2:43" ht="15.75" customHeight="1" x14ac:dyDescent="0.2">
      <c r="B605" s="2"/>
      <c r="C605" s="29"/>
      <c r="D605" s="29"/>
      <c r="E605" s="263"/>
      <c r="F605" s="29"/>
      <c r="G605" s="29"/>
      <c r="H605" s="2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2:43" ht="15.75" customHeight="1" x14ac:dyDescent="0.2">
      <c r="B606" s="2"/>
      <c r="C606" s="29"/>
      <c r="D606" s="29"/>
      <c r="E606" s="263"/>
      <c r="F606" s="29"/>
      <c r="G606" s="29"/>
      <c r="H606" s="2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2:43" ht="15.75" customHeight="1" x14ac:dyDescent="0.2">
      <c r="B607" s="2"/>
      <c r="C607" s="29"/>
      <c r="D607" s="29"/>
      <c r="E607" s="263"/>
      <c r="F607" s="29"/>
      <c r="G607" s="29"/>
      <c r="H607" s="2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2:43" ht="15.75" customHeight="1" x14ac:dyDescent="0.2">
      <c r="B608" s="2"/>
      <c r="C608" s="29"/>
      <c r="D608" s="29"/>
      <c r="E608" s="263"/>
      <c r="F608" s="29"/>
      <c r="G608" s="29"/>
      <c r="H608" s="2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2:43" ht="15.75" customHeight="1" x14ac:dyDescent="0.2">
      <c r="B609" s="2"/>
      <c r="C609" s="29"/>
      <c r="D609" s="29"/>
      <c r="E609" s="263"/>
      <c r="F609" s="29"/>
      <c r="G609" s="29"/>
      <c r="H609" s="2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2:43" ht="15.75" customHeight="1" x14ac:dyDescent="0.2">
      <c r="B610" s="2"/>
      <c r="C610" s="29"/>
      <c r="D610" s="29"/>
      <c r="E610" s="263"/>
      <c r="F610" s="29"/>
      <c r="G610" s="29"/>
      <c r="H610" s="2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2:43" ht="15.75" customHeight="1" x14ac:dyDescent="0.2">
      <c r="B611" s="2"/>
      <c r="C611" s="29"/>
      <c r="D611" s="29"/>
      <c r="E611" s="263"/>
      <c r="F611" s="29"/>
      <c r="G611" s="29"/>
      <c r="H611" s="2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2:43" ht="15.75" customHeight="1" x14ac:dyDescent="0.2">
      <c r="B612" s="2"/>
      <c r="C612" s="29"/>
      <c r="D612" s="29"/>
      <c r="E612" s="263"/>
      <c r="F612" s="29"/>
      <c r="G612" s="29"/>
      <c r="H612" s="2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2:43" ht="15.75" customHeight="1" x14ac:dyDescent="0.2">
      <c r="B613" s="2"/>
      <c r="C613" s="29"/>
      <c r="D613" s="29"/>
      <c r="E613" s="263"/>
      <c r="F613" s="29"/>
      <c r="G613" s="29"/>
      <c r="H613" s="2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2:43" ht="15.75" customHeight="1" x14ac:dyDescent="0.2">
      <c r="B614" s="2"/>
      <c r="C614" s="29"/>
      <c r="D614" s="29"/>
      <c r="E614" s="263"/>
      <c r="F614" s="29"/>
      <c r="G614" s="29"/>
      <c r="H614" s="2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2:43" ht="15.75" customHeight="1" x14ac:dyDescent="0.2">
      <c r="B615" s="2"/>
      <c r="C615" s="29"/>
      <c r="D615" s="29"/>
      <c r="E615" s="263"/>
      <c r="F615" s="29"/>
      <c r="G615" s="29"/>
      <c r="H615" s="2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2:43" ht="15.75" customHeight="1" x14ac:dyDescent="0.2">
      <c r="B616" s="2"/>
      <c r="C616" s="29"/>
      <c r="D616" s="29"/>
      <c r="E616" s="263"/>
      <c r="F616" s="29"/>
      <c r="G616" s="29"/>
      <c r="H616" s="2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2:43" ht="15.75" customHeight="1" x14ac:dyDescent="0.2">
      <c r="B617" s="2"/>
      <c r="C617" s="29"/>
      <c r="D617" s="29"/>
      <c r="E617" s="263"/>
      <c r="F617" s="29"/>
      <c r="G617" s="29"/>
      <c r="H617" s="2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2:43" ht="15.75" customHeight="1" x14ac:dyDescent="0.2">
      <c r="B618" s="2"/>
      <c r="C618" s="29"/>
      <c r="D618" s="29"/>
      <c r="E618" s="263"/>
      <c r="F618" s="29"/>
      <c r="G618" s="29"/>
      <c r="H618" s="2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2:43" ht="15.75" customHeight="1" x14ac:dyDescent="0.2">
      <c r="B619" s="2"/>
      <c r="C619" s="29"/>
      <c r="D619" s="29"/>
      <c r="E619" s="263"/>
      <c r="F619" s="29"/>
      <c r="G619" s="29"/>
      <c r="H619" s="2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2:43" ht="15.75" customHeight="1" x14ac:dyDescent="0.2">
      <c r="B620" s="2"/>
      <c r="C620" s="29"/>
      <c r="D620" s="29"/>
      <c r="E620" s="263"/>
      <c r="F620" s="29"/>
      <c r="G620" s="29"/>
      <c r="H620" s="2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2:43" ht="15.75" customHeight="1" x14ac:dyDescent="0.2">
      <c r="B621" s="2"/>
      <c r="C621" s="29"/>
      <c r="D621" s="29"/>
      <c r="E621" s="263"/>
      <c r="F621" s="29"/>
      <c r="G621" s="29"/>
      <c r="H621" s="2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2:43" ht="15.75" customHeight="1" x14ac:dyDescent="0.2">
      <c r="B622" s="2"/>
      <c r="C622" s="29"/>
      <c r="D622" s="29"/>
      <c r="E622" s="263"/>
      <c r="F622" s="29"/>
      <c r="G622" s="29"/>
      <c r="H622" s="2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2:43" ht="15.75" customHeight="1" x14ac:dyDescent="0.2">
      <c r="B623" s="2"/>
      <c r="C623" s="29"/>
      <c r="D623" s="29"/>
      <c r="E623" s="263"/>
      <c r="F623" s="29"/>
      <c r="G623" s="29"/>
      <c r="H623" s="2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2:43" ht="15.75" customHeight="1" x14ac:dyDescent="0.2">
      <c r="B624" s="2"/>
      <c r="C624" s="29"/>
      <c r="D624" s="29"/>
      <c r="E624" s="263"/>
      <c r="F624" s="29"/>
      <c r="G624" s="29"/>
      <c r="H624" s="2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2:43" ht="15.75" customHeight="1" x14ac:dyDescent="0.2">
      <c r="B625" s="2"/>
      <c r="C625" s="29"/>
      <c r="D625" s="29"/>
      <c r="E625" s="263"/>
      <c r="F625" s="29"/>
      <c r="G625" s="29"/>
      <c r="H625" s="2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2:43" ht="15.75" customHeight="1" x14ac:dyDescent="0.2">
      <c r="B626" s="2"/>
      <c r="C626" s="29"/>
      <c r="D626" s="29"/>
      <c r="E626" s="263"/>
      <c r="F626" s="29"/>
      <c r="G626" s="29"/>
      <c r="H626" s="2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2:43" ht="15.75" customHeight="1" x14ac:dyDescent="0.2">
      <c r="B627" s="2"/>
      <c r="C627" s="29"/>
      <c r="D627" s="29"/>
      <c r="E627" s="263"/>
      <c r="F627" s="29"/>
      <c r="G627" s="29"/>
      <c r="H627" s="2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2:43" ht="15.75" customHeight="1" x14ac:dyDescent="0.2">
      <c r="B628" s="2"/>
      <c r="C628" s="29"/>
      <c r="D628" s="29"/>
      <c r="E628" s="263"/>
      <c r="F628" s="29"/>
      <c r="G628" s="29"/>
      <c r="H628" s="2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2:43" ht="15.75" customHeight="1" x14ac:dyDescent="0.2">
      <c r="B629" s="2"/>
      <c r="C629" s="29"/>
      <c r="D629" s="29"/>
      <c r="E629" s="263"/>
      <c r="F629" s="29"/>
      <c r="G629" s="29"/>
      <c r="H629" s="2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2:43" ht="15.75" customHeight="1" x14ac:dyDescent="0.2">
      <c r="B630" s="2"/>
      <c r="C630" s="29"/>
      <c r="D630" s="29"/>
      <c r="E630" s="263"/>
      <c r="F630" s="29"/>
      <c r="G630" s="29"/>
      <c r="H630" s="2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2:43" ht="15.75" customHeight="1" x14ac:dyDescent="0.2">
      <c r="B631" s="2"/>
      <c r="C631" s="29"/>
      <c r="D631" s="29"/>
      <c r="E631" s="263"/>
      <c r="F631" s="29"/>
      <c r="G631" s="29"/>
      <c r="H631" s="2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2:43" ht="15.75" customHeight="1" x14ac:dyDescent="0.2">
      <c r="B632" s="2"/>
      <c r="C632" s="29"/>
      <c r="D632" s="29"/>
      <c r="E632" s="263"/>
      <c r="F632" s="29"/>
      <c r="G632" s="29"/>
      <c r="H632" s="2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2:43" ht="15.75" customHeight="1" x14ac:dyDescent="0.2">
      <c r="B633" s="2"/>
      <c r="C633" s="29"/>
      <c r="D633" s="29"/>
      <c r="E633" s="263"/>
      <c r="F633" s="29"/>
      <c r="G633" s="29"/>
      <c r="H633" s="2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2:43" ht="15.75" customHeight="1" x14ac:dyDescent="0.2">
      <c r="B634" s="2"/>
      <c r="C634" s="29"/>
      <c r="D634" s="29"/>
      <c r="E634" s="263"/>
      <c r="F634" s="29"/>
      <c r="G634" s="29"/>
      <c r="H634" s="2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2:43" ht="15.75" customHeight="1" x14ac:dyDescent="0.2">
      <c r="B635" s="2"/>
      <c r="C635" s="29"/>
      <c r="D635" s="29"/>
      <c r="E635" s="263"/>
      <c r="F635" s="29"/>
      <c r="G635" s="29"/>
      <c r="H635" s="2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</row>
    <row r="636" spans="2:43" ht="15.75" customHeight="1" x14ac:dyDescent="0.2">
      <c r="B636" s="2"/>
      <c r="C636" s="29"/>
      <c r="D636" s="29"/>
      <c r="E636" s="263"/>
      <c r="F636" s="29"/>
      <c r="G636" s="29"/>
      <c r="H636" s="2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</row>
    <row r="637" spans="2:43" ht="15.75" customHeight="1" x14ac:dyDescent="0.2">
      <c r="B637" s="2"/>
      <c r="C637" s="29"/>
      <c r="D637" s="29"/>
      <c r="E637" s="263"/>
      <c r="F637" s="29"/>
      <c r="G637" s="29"/>
      <c r="H637" s="2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</row>
    <row r="638" spans="2:43" ht="15.75" customHeight="1" x14ac:dyDescent="0.2">
      <c r="B638" s="2"/>
      <c r="C638" s="29"/>
      <c r="D638" s="29"/>
      <c r="E638" s="263"/>
      <c r="F638" s="29"/>
      <c r="G638" s="29"/>
      <c r="H638" s="2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</row>
    <row r="639" spans="2:43" ht="15.75" customHeight="1" x14ac:dyDescent="0.2">
      <c r="B639" s="2"/>
      <c r="C639" s="29"/>
      <c r="D639" s="29"/>
      <c r="E639" s="263"/>
      <c r="F639" s="29"/>
      <c r="G639" s="29"/>
      <c r="H639" s="2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</row>
    <row r="640" spans="2:43" ht="15.75" customHeight="1" x14ac:dyDescent="0.2">
      <c r="B640" s="2"/>
      <c r="C640" s="29"/>
      <c r="D640" s="29"/>
      <c r="E640" s="263"/>
      <c r="F640" s="29"/>
      <c r="G640" s="29"/>
      <c r="H640" s="2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</row>
    <row r="641" spans="2:43" ht="15.75" customHeight="1" x14ac:dyDescent="0.2">
      <c r="B641" s="2"/>
      <c r="C641" s="29"/>
      <c r="D641" s="29"/>
      <c r="E641" s="263"/>
      <c r="F641" s="29"/>
      <c r="G641" s="29"/>
      <c r="H641" s="2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</row>
    <row r="642" spans="2:43" ht="15.75" customHeight="1" x14ac:dyDescent="0.2">
      <c r="B642" s="2"/>
      <c r="C642" s="29"/>
      <c r="D642" s="29"/>
      <c r="E642" s="263"/>
      <c r="F642" s="29"/>
      <c r="G642" s="29"/>
      <c r="H642" s="2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</row>
    <row r="643" spans="2:43" ht="15.75" customHeight="1" x14ac:dyDescent="0.2"/>
    <row r="644" spans="2:43" ht="15.75" customHeight="1" x14ac:dyDescent="0.2"/>
    <row r="645" spans="2:43" ht="15.75" customHeight="1" x14ac:dyDescent="0.2"/>
    <row r="646" spans="2:43" ht="15.75" customHeight="1" x14ac:dyDescent="0.2"/>
    <row r="647" spans="2:43" ht="15.75" customHeight="1" x14ac:dyDescent="0.2"/>
    <row r="648" spans="2:43" ht="15.75" customHeight="1" x14ac:dyDescent="0.2"/>
    <row r="649" spans="2:43" ht="15.75" customHeight="1" x14ac:dyDescent="0.2"/>
    <row r="650" spans="2:43" ht="15.75" customHeight="1" x14ac:dyDescent="0.2"/>
    <row r="651" spans="2:43" ht="15.75" customHeight="1" x14ac:dyDescent="0.2"/>
    <row r="652" spans="2:43" ht="15.75" customHeight="1" x14ac:dyDescent="0.2"/>
    <row r="653" spans="2:43" ht="15.75" customHeight="1" x14ac:dyDescent="0.2"/>
    <row r="654" spans="2:43" ht="15.75" customHeight="1" x14ac:dyDescent="0.2"/>
    <row r="655" spans="2:43" ht="15.75" customHeight="1" x14ac:dyDescent="0.2"/>
    <row r="656" spans="2:43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H4"/>
    <mergeCell ref="A5:H5"/>
  </mergeCells>
  <phoneticPr fontId="13" type="noConversion"/>
  <pageMargins left="0.72" right="0.15748031496062992" top="0.15748031496062992" bottom="0.15748031496062992" header="0.15748031496062992" footer="0.1574803149606299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topLeftCell="A3" zoomScaleNormal="100" workbookViewId="0">
      <selection activeCell="B7" sqref="B7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37" customWidth="1"/>
    <col min="4" max="7" width="13.7109375" style="37" customWidth="1"/>
    <col min="9" max="9" width="13" customWidth="1"/>
  </cols>
  <sheetData>
    <row r="1" spans="1:21" ht="15" customHeight="1" x14ac:dyDescent="0.3">
      <c r="A1" s="56"/>
      <c r="B1" s="180"/>
      <c r="E1" s="181"/>
      <c r="F1" s="181"/>
      <c r="G1" s="181" t="s">
        <v>359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56"/>
      <c r="B2" s="180"/>
      <c r="E2" s="181"/>
      <c r="F2" s="181"/>
      <c r="G2" s="181" t="str">
        <f>'1.Bev-kiad.'!F2</f>
        <v>a 20/2023.(IX.29.)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56"/>
      <c r="B3" s="180"/>
      <c r="E3" s="181"/>
      <c r="F3" s="181"/>
      <c r="G3" s="181" t="s">
        <v>1364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758" t="s">
        <v>27</v>
      </c>
      <c r="B4" s="758"/>
      <c r="C4" s="758"/>
      <c r="D4" s="766"/>
      <c r="E4" s="766"/>
      <c r="F4" s="766"/>
      <c r="G4" s="76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758" t="s">
        <v>1222</v>
      </c>
      <c r="B5" s="758"/>
      <c r="C5" s="758"/>
      <c r="D5" s="766"/>
      <c r="E5" s="766"/>
      <c r="F5" s="766"/>
      <c r="G5" s="76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56"/>
      <c r="B6" s="56"/>
      <c r="E6" s="181"/>
      <c r="F6" s="181"/>
      <c r="G6" s="181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17" t="s">
        <v>118</v>
      </c>
      <c r="B7" s="45" t="s">
        <v>374</v>
      </c>
      <c r="C7" s="45" t="s">
        <v>883</v>
      </c>
      <c r="D7" s="45" t="s">
        <v>1337</v>
      </c>
      <c r="E7" s="45" t="s">
        <v>1345</v>
      </c>
      <c r="F7" s="45" t="s">
        <v>1346</v>
      </c>
      <c r="G7" s="45" t="s">
        <v>1347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47" t="s">
        <v>353</v>
      </c>
      <c r="B8" s="226" t="s">
        <v>338</v>
      </c>
      <c r="C8" s="173">
        <v>1296950</v>
      </c>
      <c r="D8" s="173">
        <f>SUM(D9:D50)</f>
        <v>2075263</v>
      </c>
      <c r="E8" s="173">
        <f>SUM(E9:E50)</f>
        <v>1280300</v>
      </c>
      <c r="F8" s="173">
        <f>SUM(F9:F50)</f>
        <v>1310300</v>
      </c>
      <c r="G8" s="173">
        <f>SUM(G9:G50)</f>
        <v>1260300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4" t="s">
        <v>120</v>
      </c>
      <c r="B9" s="23" t="s">
        <v>221</v>
      </c>
      <c r="C9" s="38">
        <v>607198</v>
      </c>
      <c r="D9" s="38">
        <f>SUM('1.Bev-kiad.'!D9)</f>
        <v>626091</v>
      </c>
      <c r="E9" s="38">
        <v>610000</v>
      </c>
      <c r="F9" s="38">
        <v>610000</v>
      </c>
      <c r="G9" s="38">
        <v>610000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8" t="s">
        <v>121</v>
      </c>
      <c r="B10" s="8" t="s">
        <v>129</v>
      </c>
      <c r="C10" s="5"/>
      <c r="D10" s="5"/>
      <c r="E10" s="5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8" t="s">
        <v>170</v>
      </c>
      <c r="B11" s="8" t="s">
        <v>171</v>
      </c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8" t="s">
        <v>122</v>
      </c>
      <c r="B12" s="8" t="s">
        <v>126</v>
      </c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8" t="s">
        <v>123</v>
      </c>
      <c r="B13" s="8" t="s">
        <v>127</v>
      </c>
      <c r="C13" s="11"/>
      <c r="D13" s="11"/>
      <c r="E13" s="11"/>
      <c r="F13" s="11"/>
      <c r="G13" s="1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8" t="s">
        <v>124</v>
      </c>
      <c r="B14" s="8" t="s">
        <v>128</v>
      </c>
      <c r="C14" s="13"/>
      <c r="D14" s="13"/>
      <c r="E14" s="13"/>
      <c r="F14" s="13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8" t="s">
        <v>125</v>
      </c>
      <c r="B15" s="8" t="s">
        <v>130</v>
      </c>
      <c r="C15" s="13"/>
      <c r="D15" s="13"/>
      <c r="E15" s="13"/>
      <c r="F15" s="13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4" t="s">
        <v>131</v>
      </c>
      <c r="B16" s="23" t="s">
        <v>222</v>
      </c>
      <c r="C16" s="42">
        <v>10900</v>
      </c>
      <c r="D16" s="42">
        <f>SUM('1.Bev-kiad.'!D16)</f>
        <v>708662</v>
      </c>
      <c r="E16" s="42">
        <v>0</v>
      </c>
      <c r="F16" s="42">
        <v>0</v>
      </c>
      <c r="G16" s="42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8" t="s">
        <v>132</v>
      </c>
      <c r="B17" s="8" t="s">
        <v>139</v>
      </c>
      <c r="C17" s="5"/>
      <c r="D17" s="5"/>
      <c r="E17" s="5"/>
      <c r="F17" s="5"/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8" t="s">
        <v>172</v>
      </c>
      <c r="B18" s="8" t="s">
        <v>173</v>
      </c>
      <c r="C18" s="13"/>
      <c r="D18" s="13"/>
      <c r="E18" s="13"/>
      <c r="F18" s="13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8" t="s">
        <v>133</v>
      </c>
      <c r="B19" s="8" t="s">
        <v>136</v>
      </c>
      <c r="C19" s="13"/>
      <c r="D19" s="13"/>
      <c r="E19" s="13"/>
      <c r="F19" s="13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8" t="s">
        <v>134</v>
      </c>
      <c r="B20" s="8" t="s">
        <v>137</v>
      </c>
      <c r="C20" s="13"/>
      <c r="D20" s="13"/>
      <c r="E20" s="13"/>
      <c r="F20" s="13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8" t="s">
        <v>135</v>
      </c>
      <c r="B21" s="8" t="s">
        <v>138</v>
      </c>
      <c r="C21" s="13"/>
      <c r="D21" s="13"/>
      <c r="E21" s="13"/>
      <c r="F21" s="13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4" t="s">
        <v>140</v>
      </c>
      <c r="B22" s="23" t="s">
        <v>103</v>
      </c>
      <c r="C22" s="42">
        <v>468980</v>
      </c>
      <c r="D22" s="42">
        <f>SUM('1.Bev-kiad.'!D22)</f>
        <v>468980</v>
      </c>
      <c r="E22" s="42">
        <v>500000</v>
      </c>
      <c r="F22" s="42">
        <v>500000</v>
      </c>
      <c r="G22" s="42">
        <v>500000</v>
      </c>
      <c r="H22" s="2"/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8" t="s">
        <v>141</v>
      </c>
      <c r="B23" s="8" t="s">
        <v>147</v>
      </c>
      <c r="C23" s="13"/>
      <c r="D23" s="13"/>
      <c r="E23" s="13"/>
      <c r="F23" s="13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8" t="s">
        <v>142</v>
      </c>
      <c r="B24" s="8" t="s">
        <v>148</v>
      </c>
      <c r="C24" s="13"/>
      <c r="D24" s="13"/>
      <c r="E24" s="13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8" t="s">
        <v>143</v>
      </c>
      <c r="B25" s="20" t="s">
        <v>149</v>
      </c>
      <c r="C25" s="49"/>
      <c r="D25" s="49"/>
      <c r="E25" s="49"/>
      <c r="F25" s="49"/>
      <c r="G25" s="4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8" t="s">
        <v>144</v>
      </c>
      <c r="B26" s="8" t="s">
        <v>176</v>
      </c>
      <c r="C26" s="39"/>
      <c r="D26" s="39"/>
      <c r="E26" s="39"/>
      <c r="F26" s="39"/>
      <c r="G26" s="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0" customFormat="1" ht="12.75" hidden="1" customHeight="1" x14ac:dyDescent="0.2">
      <c r="A27" s="8" t="s">
        <v>145</v>
      </c>
      <c r="B27" s="8" t="s">
        <v>177</v>
      </c>
      <c r="C27" s="13"/>
      <c r="D27" s="13"/>
      <c r="E27" s="13"/>
      <c r="F27" s="13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0" customFormat="1" ht="12.75" hidden="1" customHeight="1" x14ac:dyDescent="0.2">
      <c r="A28" s="8" t="s">
        <v>146</v>
      </c>
      <c r="B28" s="8" t="s">
        <v>150</v>
      </c>
      <c r="C28" s="13"/>
      <c r="D28" s="13"/>
      <c r="E28" s="13"/>
      <c r="F28" s="13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0" customFormat="1" ht="18" customHeight="1" x14ac:dyDescent="0.25">
      <c r="A29" s="14" t="s">
        <v>151</v>
      </c>
      <c r="B29" s="23" t="s">
        <v>223</v>
      </c>
      <c r="C29" s="42">
        <v>159072</v>
      </c>
      <c r="D29" s="42">
        <f>SUM('1.Bev-kiad.'!D29)</f>
        <v>218358</v>
      </c>
      <c r="E29" s="42">
        <v>120000</v>
      </c>
      <c r="F29" s="42">
        <f>60000+90000</f>
        <v>150000</v>
      </c>
      <c r="G29" s="42">
        <v>100000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8" t="s">
        <v>154</v>
      </c>
      <c r="B30" s="8" t="s">
        <v>152</v>
      </c>
      <c r="C30" s="13"/>
      <c r="D30" s="13"/>
      <c r="E30" s="13"/>
      <c r="F30" s="13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0" customFormat="1" ht="13.5" hidden="1" customHeight="1" x14ac:dyDescent="0.2">
      <c r="A31" s="8" t="s">
        <v>155</v>
      </c>
      <c r="B31" s="8" t="s">
        <v>153</v>
      </c>
      <c r="C31" s="13"/>
      <c r="D31" s="13"/>
      <c r="E31" s="13"/>
      <c r="F31" s="13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0" customFormat="1" ht="13.5" hidden="1" customHeight="1" x14ac:dyDescent="0.2">
      <c r="A32" s="8" t="s">
        <v>156</v>
      </c>
      <c r="B32" s="8" t="s">
        <v>159</v>
      </c>
      <c r="C32" s="11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8" t="s">
        <v>157</v>
      </c>
      <c r="B33" s="20" t="s">
        <v>160</v>
      </c>
      <c r="C33" s="8"/>
      <c r="D33" s="8"/>
      <c r="E33" s="8"/>
      <c r="F33" s="8"/>
      <c r="G33" s="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8" t="s">
        <v>158</v>
      </c>
      <c r="B34" s="20" t="s">
        <v>161</v>
      </c>
      <c r="C34" s="8"/>
      <c r="D34" s="8"/>
      <c r="E34" s="8"/>
      <c r="F34" s="8"/>
      <c r="G34" s="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8" t="s">
        <v>162</v>
      </c>
      <c r="B35" s="20" t="s">
        <v>163</v>
      </c>
      <c r="C35" s="8"/>
      <c r="D35" s="8"/>
      <c r="E35" s="8"/>
      <c r="F35" s="8"/>
      <c r="G35" s="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8" t="s">
        <v>164</v>
      </c>
      <c r="B36" s="20" t="s">
        <v>165</v>
      </c>
      <c r="C36" s="8"/>
      <c r="D36" s="8"/>
      <c r="E36" s="8"/>
      <c r="F36" s="8"/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8" t="s">
        <v>166</v>
      </c>
      <c r="B37" s="20" t="s">
        <v>167</v>
      </c>
      <c r="C37" s="8"/>
      <c r="D37" s="8"/>
      <c r="E37" s="8"/>
      <c r="F37" s="8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8" t="s">
        <v>168</v>
      </c>
      <c r="B38" s="20" t="s">
        <v>169</v>
      </c>
      <c r="C38" s="8"/>
      <c r="D38" s="8"/>
      <c r="E38" s="8"/>
      <c r="F38" s="8"/>
      <c r="G38" s="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8" t="s">
        <v>174</v>
      </c>
      <c r="B39" s="20" t="s">
        <v>175</v>
      </c>
      <c r="C39" s="8"/>
      <c r="D39" s="8"/>
      <c r="E39" s="8"/>
      <c r="F39" s="8"/>
      <c r="G39" s="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4" t="s">
        <v>178</v>
      </c>
      <c r="B40" s="23" t="s">
        <v>224</v>
      </c>
      <c r="C40" s="42">
        <v>500</v>
      </c>
      <c r="D40" s="42">
        <f>SUM('1.Bev-kiad.'!D40)</f>
        <v>500</v>
      </c>
      <c r="E40" s="42">
        <v>0</v>
      </c>
      <c r="F40" s="42">
        <v>0</v>
      </c>
      <c r="G40" s="42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8" t="s">
        <v>179</v>
      </c>
      <c r="B41" s="20" t="s">
        <v>184</v>
      </c>
      <c r="C41" s="8"/>
      <c r="D41" s="8"/>
      <c r="E41" s="8"/>
      <c r="F41" s="8"/>
      <c r="G41" s="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8" t="s">
        <v>180</v>
      </c>
      <c r="B42" s="20" t="s">
        <v>185</v>
      </c>
      <c r="C42" s="8"/>
      <c r="D42" s="8"/>
      <c r="E42" s="8"/>
      <c r="F42" s="8"/>
      <c r="G42" s="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8" t="s">
        <v>181</v>
      </c>
      <c r="B43" s="20" t="s">
        <v>186</v>
      </c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8" t="s">
        <v>182</v>
      </c>
      <c r="B44" s="20" t="s">
        <v>187</v>
      </c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8" t="s">
        <v>183</v>
      </c>
      <c r="B45" s="20" t="s">
        <v>188</v>
      </c>
      <c r="C45" s="8"/>
      <c r="D45" s="8"/>
      <c r="E45" s="8"/>
      <c r="F45" s="8"/>
      <c r="G45" s="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4" t="s">
        <v>189</v>
      </c>
      <c r="B46" s="23" t="s">
        <v>225</v>
      </c>
      <c r="C46" s="42">
        <v>40000</v>
      </c>
      <c r="D46" s="42">
        <f>SUM('1.Bev-kiad.'!D46)</f>
        <v>42372</v>
      </c>
      <c r="E46" s="42">
        <v>40000</v>
      </c>
      <c r="F46" s="42">
        <v>40000</v>
      </c>
      <c r="G46" s="42">
        <v>40000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8" t="s">
        <v>195</v>
      </c>
      <c r="B47" s="20" t="s">
        <v>192</v>
      </c>
      <c r="C47" s="8"/>
      <c r="D47" s="8"/>
      <c r="E47" s="8"/>
      <c r="F47" s="8"/>
      <c r="G47" s="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8" t="s">
        <v>196</v>
      </c>
      <c r="B48" s="20" t="s">
        <v>193</v>
      </c>
      <c r="C48" s="8"/>
      <c r="D48" s="8"/>
      <c r="E48" s="8"/>
      <c r="F48" s="8"/>
      <c r="G48" s="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8" t="s">
        <v>197</v>
      </c>
      <c r="B49" s="20" t="s">
        <v>194</v>
      </c>
      <c r="C49" s="8"/>
      <c r="D49" s="8"/>
      <c r="E49" s="8"/>
      <c r="F49" s="8"/>
      <c r="G49" s="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4" t="s">
        <v>190</v>
      </c>
      <c r="B50" s="23" t="s">
        <v>226</v>
      </c>
      <c r="C50" s="42">
        <v>10300</v>
      </c>
      <c r="D50" s="42">
        <f>SUM('3.felh'!D31)</f>
        <v>10300</v>
      </c>
      <c r="E50" s="42">
        <v>10300</v>
      </c>
      <c r="F50" s="42">
        <v>10300</v>
      </c>
      <c r="G50" s="42">
        <v>10300</v>
      </c>
      <c r="H50" s="2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8" t="s">
        <v>198</v>
      </c>
      <c r="B51" s="20" t="s">
        <v>201</v>
      </c>
      <c r="C51" s="42"/>
      <c r="D51" s="42"/>
      <c r="E51" s="42"/>
      <c r="F51" s="42"/>
      <c r="G51" s="4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8" t="s">
        <v>199</v>
      </c>
      <c r="B52" s="20" t="s">
        <v>202</v>
      </c>
      <c r="C52" s="42"/>
      <c r="D52" s="42"/>
      <c r="E52" s="42"/>
      <c r="F52" s="42"/>
      <c r="G52" s="4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8" t="s">
        <v>200</v>
      </c>
      <c r="B53" s="20" t="s">
        <v>203</v>
      </c>
      <c r="C53" s="42"/>
      <c r="D53" s="42"/>
      <c r="E53" s="42"/>
      <c r="F53" s="42"/>
      <c r="G53" s="4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25" t="s">
        <v>191</v>
      </c>
      <c r="B54" s="172" t="s">
        <v>350</v>
      </c>
      <c r="C54" s="193">
        <v>724264</v>
      </c>
      <c r="D54" s="193">
        <f>SUM(D55+D60)</f>
        <v>1074264</v>
      </c>
      <c r="E54" s="193">
        <f>SUM(E55+E60)</f>
        <v>979683</v>
      </c>
      <c r="F54" s="193">
        <f>SUM(F55+F60)</f>
        <v>622206</v>
      </c>
      <c r="G54" s="193">
        <f>SUM(G55+G60)</f>
        <v>146698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25"/>
      <c r="B55" s="23" t="s">
        <v>432</v>
      </c>
      <c r="C55" s="42">
        <v>724264</v>
      </c>
      <c r="D55" s="42">
        <f>SUM(D56)+D59</f>
        <v>724264</v>
      </c>
      <c r="E55" s="42">
        <f>SUM(E56)+E59</f>
        <v>979683</v>
      </c>
      <c r="F55" s="42">
        <f>SUM(F56)+F59</f>
        <v>622206</v>
      </c>
      <c r="G55" s="42">
        <f>SUM(G56)+G59</f>
        <v>146698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8"/>
      <c r="B56" s="31" t="s">
        <v>433</v>
      </c>
      <c r="C56" s="5">
        <v>724264</v>
      </c>
      <c r="D56" s="5">
        <f>SUM(D57:D58)</f>
        <v>724264</v>
      </c>
      <c r="E56" s="5">
        <f>SUM(E57:E58)</f>
        <v>958683</v>
      </c>
      <c r="F56" s="5">
        <f>SUM(F57:F58)</f>
        <v>600206</v>
      </c>
      <c r="G56" s="5">
        <f>SUM(G57:G58)</f>
        <v>123698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8"/>
      <c r="B57" s="31" t="s">
        <v>421</v>
      </c>
      <c r="C57" s="13">
        <v>205553</v>
      </c>
      <c r="D57" s="13">
        <f>SUM('1.Bev-kiad.'!D57)</f>
        <v>205553</v>
      </c>
      <c r="E57" s="13">
        <f>117634+70000-8750</f>
        <v>178884</v>
      </c>
      <c r="F57" s="13">
        <v>262492</v>
      </c>
      <c r="G57" s="13">
        <f>121856+1842</f>
        <v>123698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8"/>
      <c r="B58" s="31" t="s">
        <v>422</v>
      </c>
      <c r="C58" s="13">
        <v>518711</v>
      </c>
      <c r="D58" s="13">
        <f>SUM('1.Bev-kiad.'!D58)</f>
        <v>518711</v>
      </c>
      <c r="E58" s="13">
        <f>675428+104371</f>
        <v>779799</v>
      </c>
      <c r="F58" s="13">
        <v>337714</v>
      </c>
      <c r="G58" s="13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8"/>
      <c r="B59" s="31" t="s">
        <v>487</v>
      </c>
      <c r="C59" s="13">
        <v>0</v>
      </c>
      <c r="D59" s="13">
        <f>'2.működés'!D109</f>
        <v>0</v>
      </c>
      <c r="E59" s="13">
        <v>21000</v>
      </c>
      <c r="F59" s="13">
        <v>22000</v>
      </c>
      <c r="G59" s="13">
        <v>23000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8"/>
      <c r="B60" s="23" t="s">
        <v>430</v>
      </c>
      <c r="C60" s="42">
        <v>0</v>
      </c>
      <c r="D60" s="42">
        <f>SUM(D61:D62)</f>
        <v>350000</v>
      </c>
      <c r="E60" s="42">
        <f>SUM(E61:E62)</f>
        <v>0</v>
      </c>
      <c r="F60" s="42">
        <f>SUM(F61:F62)</f>
        <v>0</v>
      </c>
      <c r="G60" s="42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thickBot="1" x14ac:dyDescent="0.25">
      <c r="A61" s="8"/>
      <c r="B61" s="8" t="str">
        <f>'3.felh'!B41</f>
        <v xml:space="preserve">         2.1. Beruházási hitel felvétele (90/2023. (VI.14.))</v>
      </c>
      <c r="C61" s="13">
        <v>0</v>
      </c>
      <c r="D61" s="13">
        <f>'3.felh'!D41</f>
        <v>350000</v>
      </c>
      <c r="E61" s="13">
        <v>0</v>
      </c>
      <c r="F61" s="13">
        <v>0</v>
      </c>
      <c r="G61" s="13"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hidden="1" customHeight="1" thickBot="1" x14ac:dyDescent="0.25">
      <c r="A62" s="12"/>
      <c r="B62" s="12" t="s">
        <v>247</v>
      </c>
      <c r="C62" s="32">
        <v>0</v>
      </c>
      <c r="D62" s="32">
        <f>'3.felh'!C40</f>
        <v>0</v>
      </c>
      <c r="E62" s="32"/>
      <c r="F62" s="32"/>
      <c r="G62" s="3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15"/>
      <c r="B63" s="216" t="s">
        <v>373</v>
      </c>
      <c r="C63" s="179">
        <v>2021214</v>
      </c>
      <c r="D63" s="179">
        <f>SUM(D8+D54)</f>
        <v>3149527</v>
      </c>
      <c r="E63" s="179">
        <f>SUM(E8+E54)</f>
        <v>2259983</v>
      </c>
      <c r="F63" s="179">
        <f>SUM(F8+F54)</f>
        <v>1932506</v>
      </c>
      <c r="G63" s="179">
        <f>SUM(G8+G54)</f>
        <v>1406998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47" t="s">
        <v>352</v>
      </c>
      <c r="B64" s="225" t="s">
        <v>340</v>
      </c>
      <c r="C64" s="174">
        <v>1943218</v>
      </c>
      <c r="D64" s="174">
        <f>SUM(D65+D70)</f>
        <v>3071531</v>
      </c>
      <c r="E64" s="174">
        <f>SUM(E65+E70)</f>
        <v>2154195</v>
      </c>
      <c r="F64" s="174">
        <f>SUM(F65+F70)</f>
        <v>1816508</v>
      </c>
      <c r="G64" s="174">
        <f>SUM(G65+G70)</f>
        <v>1290000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4" t="s">
        <v>204</v>
      </c>
      <c r="B65" s="23" t="s">
        <v>8</v>
      </c>
      <c r="C65" s="148">
        <v>1412678</v>
      </c>
      <c r="D65" s="148">
        <f>SUM(D66:D68)</f>
        <v>1555090</v>
      </c>
      <c r="E65" s="148">
        <f>SUM(E66:E68)</f>
        <v>1712110</v>
      </c>
      <c r="F65" s="148">
        <f>SUM(F66:F68)</f>
        <v>1478794</v>
      </c>
      <c r="G65" s="148">
        <f>SUM(G66:G68)</f>
        <v>1290000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8"/>
      <c r="B66" s="14" t="s">
        <v>9</v>
      </c>
      <c r="C66" s="83">
        <v>1011081</v>
      </c>
      <c r="D66" s="83">
        <f>SUM('1.Bev-kiad.'!D66)</f>
        <v>1094926</v>
      </c>
      <c r="E66" s="83">
        <v>1160000</v>
      </c>
      <c r="F66" s="83">
        <v>1160000</v>
      </c>
      <c r="G66" s="83">
        <v>1000000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8"/>
      <c r="B67" s="8" t="s">
        <v>457</v>
      </c>
      <c r="C67" s="131">
        <v>271205</v>
      </c>
      <c r="D67" s="131">
        <f>SUM('1.Bev-kiad.'!D67)</f>
        <v>271261</v>
      </c>
      <c r="E67" s="131">
        <v>270000</v>
      </c>
      <c r="F67" s="131">
        <v>280000</v>
      </c>
      <c r="G67" s="131">
        <v>290000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3.5" customHeight="1" thickBot="1" x14ac:dyDescent="0.25">
      <c r="A68" s="8"/>
      <c r="B68" s="208" t="s">
        <v>207</v>
      </c>
      <c r="C68" s="563">
        <v>130392</v>
      </c>
      <c r="D68" s="563">
        <f>SUM('1.Bev-kiad.'!D68)</f>
        <v>188903</v>
      </c>
      <c r="E68" s="563">
        <f>283492-1382</f>
        <v>282110</v>
      </c>
      <c r="F68" s="563">
        <f>40636-1842</f>
        <v>38794</v>
      </c>
      <c r="G68" s="563"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hidden="1" customHeight="1" x14ac:dyDescent="0.2">
      <c r="A69" s="8"/>
      <c r="B69" s="8" t="s">
        <v>431</v>
      </c>
      <c r="C69" s="268"/>
      <c r="D69" s="268"/>
      <c r="E69" s="268"/>
      <c r="F69" s="268"/>
      <c r="G69" s="26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8" customHeight="1" x14ac:dyDescent="0.25">
      <c r="A70" s="14" t="s">
        <v>205</v>
      </c>
      <c r="B70" s="23" t="s">
        <v>227</v>
      </c>
      <c r="C70" s="36">
        <v>530540</v>
      </c>
      <c r="D70" s="36">
        <f>SUM(D71:D73)</f>
        <v>1516441</v>
      </c>
      <c r="E70" s="36">
        <f>SUM(E71:E73)</f>
        <v>442085</v>
      </c>
      <c r="F70" s="36">
        <f>SUM(F71:F73)</f>
        <v>337714</v>
      </c>
      <c r="G70" s="36">
        <f>SUM(G71:G73)</f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50" customFormat="1" ht="13.5" customHeight="1" x14ac:dyDescent="0.2">
      <c r="A71" s="8"/>
      <c r="B71" s="8" t="s">
        <v>334</v>
      </c>
      <c r="C71" s="13">
        <v>5648</v>
      </c>
      <c r="D71" s="13">
        <f>SUM('1.Bev-kiad.'!D71)</f>
        <v>27776</v>
      </c>
      <c r="E71" s="13">
        <v>337714</v>
      </c>
      <c r="F71" s="13">
        <v>337714</v>
      </c>
      <c r="G71" s="13"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50" customFormat="1" ht="13.5" customHeight="1" x14ac:dyDescent="0.2">
      <c r="A72" s="8"/>
      <c r="B72" s="8" t="s">
        <v>335</v>
      </c>
      <c r="C72" s="13">
        <v>444892</v>
      </c>
      <c r="D72" s="13">
        <f>SUM('1.Bev-kiad.'!D72)</f>
        <v>769002</v>
      </c>
      <c r="E72" s="13">
        <v>104371</v>
      </c>
      <c r="F72" s="13">
        <v>0</v>
      </c>
      <c r="G72" s="13"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50" customFormat="1" ht="13.5" customHeight="1" x14ac:dyDescent="0.2">
      <c r="A73" s="8"/>
      <c r="B73" s="8" t="s">
        <v>336</v>
      </c>
      <c r="C73" s="13">
        <v>80000</v>
      </c>
      <c r="D73" s="13">
        <f>SUM(D74:D75)</f>
        <v>719663</v>
      </c>
      <c r="E73" s="13">
        <f>SUM(E74:E75)</f>
        <v>0</v>
      </c>
      <c r="F73" s="13">
        <f>SUM(F74:F75)</f>
        <v>0</v>
      </c>
      <c r="G73" s="13">
        <f>SUM(G74:G75)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50" customFormat="1" ht="13.5" customHeight="1" thickBot="1" x14ac:dyDescent="0.25">
      <c r="A74" s="8"/>
      <c r="B74" s="8" t="s">
        <v>346</v>
      </c>
      <c r="C74" s="32">
        <v>0</v>
      </c>
      <c r="D74" s="32">
        <f>SUM('3.felh'!D83)</f>
        <v>0</v>
      </c>
      <c r="E74" s="32">
        <v>0</v>
      </c>
      <c r="F74" s="32">
        <v>0</v>
      </c>
      <c r="G74" s="32"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50" customFormat="1" ht="13.5" customHeight="1" thickBot="1" x14ac:dyDescent="0.25">
      <c r="A75" s="8"/>
      <c r="B75" s="8" t="s">
        <v>347</v>
      </c>
      <c r="C75" s="563">
        <v>80000</v>
      </c>
      <c r="D75" s="563">
        <f>SUM('1.Bev-kiad.'!D76)</f>
        <v>719663</v>
      </c>
      <c r="E75" s="563">
        <v>0</v>
      </c>
      <c r="F75" s="563">
        <v>0</v>
      </c>
      <c r="G75" s="563"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50" customFormat="1" ht="22.5" customHeight="1" x14ac:dyDescent="0.25">
      <c r="A76" s="14" t="s">
        <v>206</v>
      </c>
      <c r="B76" s="172" t="s">
        <v>351</v>
      </c>
      <c r="C76" s="190">
        <v>77996</v>
      </c>
      <c r="D76" s="190">
        <f>SUM(D77+D81+D82)</f>
        <v>77996</v>
      </c>
      <c r="E76" s="190">
        <f>SUM(E77+E81+E82)</f>
        <v>105788</v>
      </c>
      <c r="F76" s="190">
        <f>SUM(F77+F81+F82)</f>
        <v>115998</v>
      </c>
      <c r="G76" s="190">
        <f>SUM(G77+G81+G82)</f>
        <v>116998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0" customFormat="1" ht="15" customHeight="1" x14ac:dyDescent="0.25">
      <c r="A77" s="14"/>
      <c r="B77" s="189" t="s">
        <v>378</v>
      </c>
      <c r="C77" s="160">
        <v>77996</v>
      </c>
      <c r="D77" s="160">
        <f>SUM(D78:D80)</f>
        <v>77996</v>
      </c>
      <c r="E77" s="160">
        <f>SUM(E78:E80)</f>
        <v>105788</v>
      </c>
      <c r="F77" s="160">
        <f>SUM(F78:F80)</f>
        <v>115998</v>
      </c>
      <c r="G77" s="160">
        <f>SUM(G78:G80)</f>
        <v>116998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0" customFormat="1" ht="12.75" customHeight="1" x14ac:dyDescent="0.2">
      <c r="A78" s="14" t="s">
        <v>385</v>
      </c>
      <c r="B78" s="8" t="s">
        <v>405</v>
      </c>
      <c r="C78" s="13">
        <v>19840</v>
      </c>
      <c r="D78" s="13">
        <f>SUM('1.Bev-kiad.'!D79)</f>
        <v>19840</v>
      </c>
      <c r="E78" s="13">
        <v>20000</v>
      </c>
      <c r="F78" s="13">
        <v>21000</v>
      </c>
      <c r="G78" s="13">
        <v>22000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0" customFormat="1" ht="15.75" hidden="1" x14ac:dyDescent="0.25">
      <c r="A79" s="14"/>
      <c r="B79" s="224" t="s">
        <v>379</v>
      </c>
      <c r="C79" s="43"/>
      <c r="D79" s="43"/>
      <c r="E79" s="43"/>
      <c r="F79" s="43"/>
      <c r="G79" s="4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0" customFormat="1" ht="12.75" customHeight="1" x14ac:dyDescent="0.2">
      <c r="A80" s="14"/>
      <c r="B80" s="224" t="s">
        <v>884</v>
      </c>
      <c r="C80" s="13">
        <v>58156</v>
      </c>
      <c r="D80" s="13">
        <f>SUM('1.Bev-kiad.'!D81)</f>
        <v>58156</v>
      </c>
      <c r="E80" s="13">
        <f>(20156+38000+27632)</f>
        <v>85788</v>
      </c>
      <c r="F80" s="13">
        <f>(20156+38000+36842)</f>
        <v>94998</v>
      </c>
      <c r="G80" s="13">
        <f>(20156+38000+36842)</f>
        <v>94998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0" customFormat="1" ht="15" customHeight="1" x14ac:dyDescent="0.25">
      <c r="A81" s="14"/>
      <c r="B81" s="189" t="s">
        <v>380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0" customFormat="1" ht="15" customHeight="1" thickBot="1" x14ac:dyDescent="0.3">
      <c r="A82" s="22"/>
      <c r="B82" s="186" t="s">
        <v>381</v>
      </c>
      <c r="C82" s="171">
        <v>0</v>
      </c>
      <c r="D82" s="171">
        <v>0</v>
      </c>
      <c r="E82" s="171">
        <v>0</v>
      </c>
      <c r="F82" s="171">
        <v>0</v>
      </c>
      <c r="G82" s="171"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265"/>
      <c r="B83" s="216" t="s">
        <v>55</v>
      </c>
      <c r="C83" s="179">
        <v>2021214</v>
      </c>
      <c r="D83" s="179">
        <f>SUM(D64+D76)</f>
        <v>3149527</v>
      </c>
      <c r="E83" s="179">
        <f>SUM(E64+E76)</f>
        <v>2259983</v>
      </c>
      <c r="F83" s="179">
        <f>SUM(F64+F76)</f>
        <v>1932506</v>
      </c>
      <c r="G83" s="179">
        <f>SUM(G64+G76)</f>
        <v>1406998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7">
        <f>SUM(C63-C83)</f>
        <v>0</v>
      </c>
      <c r="D84" s="7">
        <f>SUM(D63-D83)</f>
        <v>0</v>
      </c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466</v>
      </c>
      <c r="C85" s="7">
        <f>SUM(C68+C75)</f>
        <v>210392</v>
      </c>
      <c r="D85" s="7">
        <f>SUM(D68+D75)</f>
        <v>908566</v>
      </c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7"/>
      <c r="D86" s="7">
        <f>SUM(D63-D83)</f>
        <v>0</v>
      </c>
      <c r="E86" s="7">
        <f>SUM(E63-E83)</f>
        <v>0</v>
      </c>
      <c r="F86" s="7">
        <f>SUM(F63-F83)</f>
        <v>0</v>
      </c>
      <c r="G86" s="7">
        <f>SUM(G63-G83)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7"/>
      <c r="E88" s="2"/>
      <c r="F88" s="2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29"/>
      <c r="D169" s="29"/>
      <c r="E169" s="29"/>
      <c r="F169" s="29"/>
      <c r="G169" s="2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29"/>
      <c r="D170" s="29"/>
      <c r="E170" s="29"/>
      <c r="F170" s="29"/>
      <c r="G170" s="2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29"/>
      <c r="D171" s="29"/>
      <c r="E171" s="29"/>
      <c r="F171" s="29"/>
      <c r="G171" s="2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29"/>
      <c r="D172" s="29"/>
      <c r="E172" s="29"/>
      <c r="F172" s="29"/>
      <c r="G172" s="2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29"/>
      <c r="D173" s="29"/>
      <c r="E173" s="29"/>
      <c r="F173" s="29"/>
      <c r="G173" s="2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29"/>
      <c r="D174" s="29"/>
      <c r="E174" s="29"/>
      <c r="F174" s="29"/>
      <c r="G174" s="2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29"/>
      <c r="D175" s="29"/>
      <c r="E175" s="29"/>
      <c r="F175" s="29"/>
      <c r="G175" s="2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29"/>
      <c r="D176" s="29"/>
      <c r="E176" s="29"/>
      <c r="F176" s="29"/>
      <c r="G176" s="2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29"/>
      <c r="D177" s="29"/>
      <c r="E177" s="29"/>
      <c r="F177" s="29"/>
      <c r="G177" s="2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29"/>
      <c r="D178" s="29"/>
      <c r="E178" s="29"/>
      <c r="F178" s="29"/>
      <c r="G178" s="2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29"/>
      <c r="D179" s="29"/>
      <c r="E179" s="29"/>
      <c r="F179" s="29"/>
      <c r="G179" s="2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29"/>
      <c r="D180" s="29"/>
      <c r="E180" s="29"/>
      <c r="F180" s="29"/>
      <c r="G180" s="2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29"/>
      <c r="D181" s="29"/>
      <c r="E181" s="29"/>
      <c r="F181" s="29"/>
      <c r="G181" s="2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29"/>
      <c r="D182" s="29"/>
      <c r="E182" s="29"/>
      <c r="F182" s="29"/>
      <c r="G182" s="2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29"/>
      <c r="D183" s="29"/>
      <c r="E183" s="29"/>
      <c r="F183" s="29"/>
      <c r="G183" s="2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29"/>
      <c r="D184" s="29"/>
      <c r="E184" s="29"/>
      <c r="F184" s="29"/>
      <c r="G184" s="2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29"/>
      <c r="D185" s="29"/>
      <c r="E185" s="29"/>
      <c r="F185" s="29"/>
      <c r="G185" s="2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29"/>
      <c r="D186" s="29"/>
      <c r="E186" s="29"/>
      <c r="F186" s="29"/>
      <c r="G186" s="2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29"/>
      <c r="D187" s="29"/>
      <c r="E187" s="29"/>
      <c r="F187" s="29"/>
      <c r="G187" s="2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29"/>
      <c r="D188" s="29"/>
      <c r="E188" s="29"/>
      <c r="F188" s="29"/>
      <c r="G188" s="2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29"/>
      <c r="D189" s="29"/>
      <c r="E189" s="29"/>
      <c r="F189" s="29"/>
      <c r="G189" s="2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29"/>
      <c r="D190" s="29"/>
      <c r="E190" s="29"/>
      <c r="F190" s="29"/>
      <c r="G190" s="2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29"/>
      <c r="D191" s="29"/>
      <c r="E191" s="29"/>
      <c r="F191" s="29"/>
      <c r="G191" s="2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29"/>
      <c r="D192" s="29"/>
      <c r="E192" s="29"/>
      <c r="F192" s="29"/>
      <c r="G192" s="2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29"/>
      <c r="D193" s="29"/>
      <c r="E193" s="29"/>
      <c r="F193" s="29"/>
      <c r="G193" s="2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29"/>
      <c r="D194" s="29"/>
      <c r="E194" s="29"/>
      <c r="F194" s="29"/>
      <c r="G194" s="2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29"/>
      <c r="D195" s="29"/>
      <c r="E195" s="29"/>
      <c r="F195" s="29"/>
      <c r="G195" s="2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29"/>
      <c r="D196" s="29"/>
      <c r="E196" s="29"/>
      <c r="F196" s="29"/>
      <c r="G196" s="2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29"/>
      <c r="D197" s="29"/>
      <c r="E197" s="29"/>
      <c r="F197" s="29"/>
      <c r="G197" s="2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29"/>
      <c r="D198" s="29"/>
      <c r="E198" s="29"/>
      <c r="F198" s="29"/>
      <c r="G198" s="2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29"/>
      <c r="D199" s="29"/>
      <c r="E199" s="29"/>
      <c r="F199" s="29"/>
      <c r="G199" s="2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29"/>
      <c r="D200" s="29"/>
      <c r="E200" s="29"/>
      <c r="F200" s="29"/>
      <c r="G200" s="2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29"/>
      <c r="D201" s="29"/>
      <c r="E201" s="29"/>
      <c r="F201" s="29"/>
      <c r="G201" s="2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29"/>
      <c r="D202" s="29"/>
      <c r="E202" s="29"/>
      <c r="F202" s="29"/>
      <c r="G202" s="2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29"/>
      <c r="D203" s="29"/>
      <c r="E203" s="29"/>
      <c r="F203" s="29"/>
      <c r="G203" s="2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29"/>
      <c r="D204" s="29"/>
      <c r="E204" s="29"/>
      <c r="F204" s="29"/>
      <c r="G204" s="2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29"/>
      <c r="D205" s="29"/>
      <c r="E205" s="29"/>
      <c r="F205" s="29"/>
      <c r="G205" s="2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29"/>
      <c r="D206" s="29"/>
      <c r="E206" s="29"/>
      <c r="F206" s="29"/>
      <c r="G206" s="2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29"/>
      <c r="D207" s="29"/>
      <c r="E207" s="29"/>
      <c r="F207" s="29"/>
      <c r="G207" s="2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29"/>
      <c r="D208" s="29"/>
      <c r="E208" s="29"/>
      <c r="F208" s="29"/>
      <c r="G208" s="2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29"/>
      <c r="D209" s="29"/>
      <c r="E209" s="29"/>
      <c r="F209" s="29"/>
      <c r="G209" s="2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29"/>
      <c r="D210" s="29"/>
      <c r="E210" s="29"/>
      <c r="F210" s="29"/>
      <c r="G210" s="2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29"/>
      <c r="D211" s="29"/>
      <c r="E211" s="29"/>
      <c r="F211" s="29"/>
      <c r="G211" s="2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29"/>
      <c r="D212" s="29"/>
      <c r="E212" s="29"/>
      <c r="F212" s="29"/>
      <c r="G212" s="2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29"/>
      <c r="D213" s="29"/>
      <c r="E213" s="29"/>
      <c r="F213" s="29"/>
      <c r="G213" s="2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29"/>
      <c r="D214" s="29"/>
      <c r="E214" s="29"/>
      <c r="F214" s="29"/>
      <c r="G214" s="2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29"/>
      <c r="D215" s="29"/>
      <c r="E215" s="29"/>
      <c r="F215" s="29"/>
      <c r="G215" s="2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29"/>
      <c r="D216" s="29"/>
      <c r="E216" s="29"/>
      <c r="F216" s="29"/>
      <c r="G216" s="2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29"/>
      <c r="D217" s="29"/>
      <c r="E217" s="29"/>
      <c r="F217" s="29"/>
      <c r="G217" s="2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29"/>
      <c r="D218" s="29"/>
      <c r="E218" s="29"/>
      <c r="F218" s="29"/>
      <c r="G218" s="2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29"/>
      <c r="D219" s="29"/>
      <c r="E219" s="29"/>
      <c r="F219" s="29"/>
      <c r="G219" s="2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29"/>
      <c r="D220" s="29"/>
      <c r="E220" s="29"/>
      <c r="F220" s="29"/>
      <c r="G220" s="2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29"/>
      <c r="D221" s="29"/>
      <c r="E221" s="29"/>
      <c r="F221" s="29"/>
      <c r="G221" s="2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29"/>
      <c r="D222" s="29"/>
      <c r="E222" s="29"/>
      <c r="F222" s="29"/>
      <c r="G222" s="2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29"/>
      <c r="D223" s="29"/>
      <c r="E223" s="29"/>
      <c r="F223" s="29"/>
      <c r="G223" s="2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29"/>
      <c r="D224" s="29"/>
      <c r="E224" s="29"/>
      <c r="F224" s="29"/>
      <c r="G224" s="2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29"/>
      <c r="D225" s="29"/>
      <c r="E225" s="29"/>
      <c r="F225" s="29"/>
      <c r="G225" s="2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29"/>
      <c r="D226" s="29"/>
      <c r="E226" s="29"/>
      <c r="F226" s="29"/>
      <c r="G226" s="2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29"/>
      <c r="D227" s="29"/>
      <c r="E227" s="29"/>
      <c r="F227" s="29"/>
      <c r="G227" s="2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29"/>
      <c r="D228" s="29"/>
      <c r="E228" s="29"/>
      <c r="F228" s="29"/>
      <c r="G228" s="2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29"/>
      <c r="D229" s="29"/>
      <c r="E229" s="29"/>
      <c r="F229" s="29"/>
      <c r="G229" s="2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29"/>
      <c r="D230" s="29"/>
      <c r="E230" s="29"/>
      <c r="F230" s="29"/>
      <c r="G230" s="2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29"/>
      <c r="D231" s="29"/>
      <c r="E231" s="29"/>
      <c r="F231" s="29"/>
      <c r="G231" s="2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29"/>
      <c r="D232" s="29"/>
      <c r="E232" s="29"/>
      <c r="F232" s="29"/>
      <c r="G232" s="2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29"/>
      <c r="D233" s="29"/>
      <c r="E233" s="29"/>
      <c r="F233" s="29"/>
      <c r="G233" s="2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29"/>
      <c r="D234" s="29"/>
      <c r="E234" s="29"/>
      <c r="F234" s="29"/>
      <c r="G234" s="2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29"/>
      <c r="D235" s="29"/>
      <c r="E235" s="29"/>
      <c r="F235" s="29"/>
      <c r="G235" s="2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29"/>
      <c r="D236" s="29"/>
      <c r="E236" s="29"/>
      <c r="F236" s="29"/>
      <c r="G236" s="2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29"/>
      <c r="D237" s="29"/>
      <c r="E237" s="29"/>
      <c r="F237" s="29"/>
      <c r="G237" s="2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29"/>
      <c r="D238" s="29"/>
      <c r="E238" s="29"/>
      <c r="F238" s="29"/>
      <c r="G238" s="2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29"/>
      <c r="D239" s="29"/>
      <c r="E239" s="29"/>
      <c r="F239" s="29"/>
      <c r="G239" s="2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29"/>
      <c r="D240" s="29"/>
      <c r="E240" s="29"/>
      <c r="F240" s="29"/>
      <c r="G240" s="2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29"/>
      <c r="D241" s="29"/>
      <c r="E241" s="29"/>
      <c r="F241" s="29"/>
      <c r="G241" s="2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29"/>
      <c r="D242" s="29"/>
      <c r="E242" s="29"/>
      <c r="F242" s="29"/>
      <c r="G242" s="2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29"/>
      <c r="D243" s="29"/>
      <c r="E243" s="29"/>
      <c r="F243" s="29"/>
      <c r="G243" s="2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29"/>
      <c r="D244" s="29"/>
      <c r="E244" s="29"/>
      <c r="F244" s="29"/>
      <c r="G244" s="2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29"/>
      <c r="D245" s="29"/>
      <c r="E245" s="29"/>
      <c r="F245" s="29"/>
      <c r="G245" s="2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29"/>
      <c r="D246" s="29"/>
      <c r="E246" s="29"/>
      <c r="F246" s="29"/>
      <c r="G246" s="2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29"/>
      <c r="D247" s="29"/>
      <c r="E247" s="29"/>
      <c r="F247" s="29"/>
      <c r="G247" s="2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29"/>
      <c r="D248" s="29"/>
      <c r="E248" s="29"/>
      <c r="F248" s="29"/>
      <c r="G248" s="2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29"/>
      <c r="D249" s="29"/>
      <c r="E249" s="29"/>
      <c r="F249" s="29"/>
      <c r="G249" s="2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29"/>
      <c r="D250" s="29"/>
      <c r="E250" s="29"/>
      <c r="F250" s="29"/>
      <c r="G250" s="2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29"/>
      <c r="D251" s="29"/>
      <c r="E251" s="29"/>
      <c r="F251" s="29"/>
      <c r="G251" s="2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29"/>
      <c r="D252" s="29"/>
      <c r="E252" s="29"/>
      <c r="F252" s="29"/>
      <c r="G252" s="2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29"/>
      <c r="D253" s="29"/>
      <c r="E253" s="29"/>
      <c r="F253" s="29"/>
      <c r="G253" s="2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29"/>
      <c r="D254" s="29"/>
      <c r="E254" s="29"/>
      <c r="F254" s="29"/>
      <c r="G254" s="2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29"/>
      <c r="D255" s="29"/>
      <c r="E255" s="29"/>
      <c r="F255" s="29"/>
      <c r="G255" s="2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29"/>
      <c r="D256" s="29"/>
      <c r="E256" s="29"/>
      <c r="F256" s="29"/>
      <c r="G256" s="2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29"/>
      <c r="D257" s="29"/>
      <c r="E257" s="29"/>
      <c r="F257" s="29"/>
      <c r="G257" s="2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29"/>
      <c r="D258" s="29"/>
      <c r="E258" s="29"/>
      <c r="F258" s="29"/>
      <c r="G258" s="2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29"/>
      <c r="D259" s="29"/>
      <c r="E259" s="29"/>
      <c r="F259" s="29"/>
      <c r="G259" s="2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29"/>
      <c r="D260" s="29"/>
      <c r="E260" s="29"/>
      <c r="F260" s="29"/>
      <c r="G260" s="2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29"/>
      <c r="D261" s="29"/>
      <c r="E261" s="29"/>
      <c r="F261" s="29"/>
      <c r="G261" s="2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29"/>
      <c r="D262" s="29"/>
      <c r="E262" s="29"/>
      <c r="F262" s="29"/>
      <c r="G262" s="2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29"/>
      <c r="D263" s="29"/>
      <c r="E263" s="29"/>
      <c r="F263" s="29"/>
      <c r="G263" s="2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29"/>
      <c r="D264" s="29"/>
      <c r="E264" s="29"/>
      <c r="F264" s="29"/>
      <c r="G264" s="2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29"/>
      <c r="D265" s="29"/>
      <c r="E265" s="29"/>
      <c r="F265" s="29"/>
      <c r="G265" s="2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29"/>
      <c r="D266" s="29"/>
      <c r="E266" s="29"/>
      <c r="F266" s="29"/>
      <c r="G266" s="2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29"/>
      <c r="D267" s="29"/>
      <c r="E267" s="29"/>
      <c r="F267" s="29"/>
      <c r="G267" s="2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29"/>
      <c r="D268" s="29"/>
      <c r="E268" s="29"/>
      <c r="F268" s="29"/>
      <c r="G268" s="2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29"/>
      <c r="D269" s="29"/>
      <c r="E269" s="29"/>
      <c r="F269" s="29"/>
      <c r="G269" s="2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29"/>
      <c r="D270" s="29"/>
      <c r="E270" s="29"/>
      <c r="F270" s="29"/>
      <c r="G270" s="2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29"/>
      <c r="D271" s="29"/>
      <c r="E271" s="29"/>
      <c r="F271" s="29"/>
      <c r="G271" s="2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29"/>
      <c r="D272" s="29"/>
      <c r="E272" s="29"/>
      <c r="F272" s="29"/>
      <c r="G272" s="2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29"/>
      <c r="D273" s="29"/>
      <c r="E273" s="29"/>
      <c r="F273" s="29"/>
      <c r="G273" s="2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29"/>
      <c r="D274" s="29"/>
      <c r="E274" s="29"/>
      <c r="F274" s="29"/>
      <c r="G274" s="2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29"/>
      <c r="D275" s="29"/>
      <c r="E275" s="29"/>
      <c r="F275" s="29"/>
      <c r="G275" s="2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29"/>
      <c r="D276" s="29"/>
      <c r="E276" s="29"/>
      <c r="F276" s="29"/>
      <c r="G276" s="2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29"/>
      <c r="D277" s="29"/>
      <c r="E277" s="29"/>
      <c r="F277" s="29"/>
      <c r="G277" s="2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29"/>
      <c r="D278" s="29"/>
      <c r="E278" s="29"/>
      <c r="F278" s="29"/>
      <c r="G278" s="2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29"/>
      <c r="D279" s="29"/>
      <c r="E279" s="29"/>
      <c r="F279" s="29"/>
      <c r="G279" s="2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29"/>
      <c r="D280" s="29"/>
      <c r="E280" s="29"/>
      <c r="F280" s="29"/>
      <c r="G280" s="2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29"/>
      <c r="D281" s="29"/>
      <c r="E281" s="29"/>
      <c r="F281" s="29"/>
      <c r="G281" s="2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29"/>
      <c r="D282" s="29"/>
      <c r="E282" s="29"/>
      <c r="F282" s="29"/>
      <c r="G282" s="2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29"/>
      <c r="D283" s="29"/>
      <c r="E283" s="29"/>
      <c r="F283" s="29"/>
      <c r="G283" s="2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29"/>
      <c r="D284" s="29"/>
      <c r="E284" s="29"/>
      <c r="F284" s="29"/>
      <c r="G284" s="2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29"/>
      <c r="D285" s="29"/>
      <c r="E285" s="29"/>
      <c r="F285" s="29"/>
      <c r="G285" s="2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29"/>
      <c r="D286" s="29"/>
      <c r="E286" s="29"/>
      <c r="F286" s="29"/>
      <c r="G286" s="2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29"/>
      <c r="D287" s="29"/>
      <c r="E287" s="29"/>
      <c r="F287" s="29"/>
      <c r="G287" s="2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29"/>
      <c r="D288" s="29"/>
      <c r="E288" s="29"/>
      <c r="F288" s="29"/>
      <c r="G288" s="2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29"/>
      <c r="D289" s="29"/>
      <c r="E289" s="29"/>
      <c r="F289" s="29"/>
      <c r="G289" s="2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29"/>
      <c r="D290" s="29"/>
      <c r="E290" s="29"/>
      <c r="F290" s="29"/>
      <c r="G290" s="2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29"/>
      <c r="D291" s="29"/>
      <c r="E291" s="29"/>
      <c r="F291" s="29"/>
      <c r="G291" s="2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29"/>
      <c r="D292" s="29"/>
      <c r="E292" s="29"/>
      <c r="F292" s="29"/>
      <c r="G292" s="2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29"/>
      <c r="D293" s="29"/>
      <c r="E293" s="29"/>
      <c r="F293" s="29"/>
      <c r="G293" s="2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29"/>
      <c r="D294" s="29"/>
      <c r="E294" s="29"/>
      <c r="F294" s="29"/>
      <c r="G294" s="2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29"/>
      <c r="D295" s="29"/>
      <c r="E295" s="29"/>
      <c r="F295" s="29"/>
      <c r="G295" s="2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29"/>
      <c r="D296" s="29"/>
      <c r="E296" s="29"/>
      <c r="F296" s="29"/>
      <c r="G296" s="2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29"/>
      <c r="D297" s="29"/>
      <c r="E297" s="29"/>
      <c r="F297" s="29"/>
      <c r="G297" s="2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29"/>
      <c r="D298" s="29"/>
      <c r="E298" s="29"/>
      <c r="F298" s="29"/>
      <c r="G298" s="2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29"/>
      <c r="D299" s="29"/>
      <c r="E299" s="29"/>
      <c r="F299" s="29"/>
      <c r="G299" s="2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29"/>
      <c r="D300" s="29"/>
      <c r="E300" s="29"/>
      <c r="F300" s="29"/>
      <c r="G300" s="2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29"/>
      <c r="D301" s="29"/>
      <c r="E301" s="29"/>
      <c r="F301" s="29"/>
      <c r="G301" s="2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29"/>
      <c r="D302" s="29"/>
      <c r="E302" s="29"/>
      <c r="F302" s="29"/>
      <c r="G302" s="2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29"/>
      <c r="D303" s="29"/>
      <c r="E303" s="29"/>
      <c r="F303" s="29"/>
      <c r="G303" s="2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29"/>
      <c r="D304" s="29"/>
      <c r="E304" s="29"/>
      <c r="F304" s="29"/>
      <c r="G304" s="2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29"/>
      <c r="D305" s="29"/>
      <c r="E305" s="29"/>
      <c r="F305" s="29"/>
      <c r="G305" s="2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29"/>
      <c r="D306" s="29"/>
      <c r="E306" s="29"/>
      <c r="F306" s="29"/>
      <c r="G306" s="2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29"/>
      <c r="D307" s="29"/>
      <c r="E307" s="29"/>
      <c r="F307" s="29"/>
      <c r="G307" s="2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29"/>
      <c r="D308" s="29"/>
      <c r="E308" s="29"/>
      <c r="F308" s="29"/>
      <c r="G308" s="2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29"/>
      <c r="D309" s="29"/>
      <c r="E309" s="29"/>
      <c r="F309" s="29"/>
      <c r="G309" s="2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29"/>
      <c r="D310" s="29"/>
      <c r="E310" s="29"/>
      <c r="F310" s="29"/>
      <c r="G310" s="2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29"/>
      <c r="D311" s="29"/>
      <c r="E311" s="29"/>
      <c r="F311" s="29"/>
      <c r="G311" s="2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29"/>
      <c r="D312" s="29"/>
      <c r="E312" s="29"/>
      <c r="F312" s="29"/>
      <c r="G312" s="2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29"/>
      <c r="D313" s="29"/>
      <c r="E313" s="29"/>
      <c r="F313" s="29"/>
      <c r="G313" s="2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29"/>
      <c r="D314" s="29"/>
      <c r="E314" s="29"/>
      <c r="F314" s="29"/>
      <c r="G314" s="2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29"/>
      <c r="D315" s="29"/>
      <c r="E315" s="29"/>
      <c r="F315" s="29"/>
      <c r="G315" s="2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29"/>
      <c r="D316" s="29"/>
      <c r="E316" s="29"/>
      <c r="F316" s="29"/>
      <c r="G316" s="2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29"/>
      <c r="D317" s="29"/>
      <c r="E317" s="29"/>
      <c r="F317" s="29"/>
      <c r="G317" s="2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29"/>
      <c r="D318" s="29"/>
      <c r="E318" s="29"/>
      <c r="F318" s="29"/>
      <c r="G318" s="2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29"/>
      <c r="D319" s="29"/>
      <c r="E319" s="29"/>
      <c r="F319" s="29"/>
      <c r="G319" s="2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29"/>
      <c r="D320" s="29"/>
      <c r="E320" s="29"/>
      <c r="F320" s="29"/>
      <c r="G320" s="2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29"/>
      <c r="D321" s="29"/>
      <c r="E321" s="29"/>
      <c r="F321" s="29"/>
      <c r="G321" s="2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29"/>
      <c r="D322" s="29"/>
      <c r="E322" s="29"/>
      <c r="F322" s="29"/>
      <c r="G322" s="2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29"/>
      <c r="D323" s="29"/>
      <c r="E323" s="29"/>
      <c r="F323" s="29"/>
      <c r="G323" s="2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29"/>
      <c r="D324" s="29"/>
      <c r="E324" s="29"/>
      <c r="F324" s="29"/>
      <c r="G324" s="2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29"/>
      <c r="D325" s="29"/>
      <c r="E325" s="29"/>
      <c r="F325" s="29"/>
      <c r="G325" s="2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29"/>
      <c r="D326" s="29"/>
      <c r="E326" s="29"/>
      <c r="F326" s="29"/>
      <c r="G326" s="2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29"/>
      <c r="D327" s="29"/>
      <c r="E327" s="29"/>
      <c r="F327" s="29"/>
      <c r="G327" s="2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29"/>
      <c r="D328" s="29"/>
      <c r="E328" s="29"/>
      <c r="F328" s="29"/>
      <c r="G328" s="2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29"/>
      <c r="D329" s="29"/>
      <c r="E329" s="29"/>
      <c r="F329" s="29"/>
      <c r="G329" s="2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29"/>
      <c r="D330" s="29"/>
      <c r="E330" s="29"/>
      <c r="F330" s="29"/>
      <c r="G330" s="2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29"/>
      <c r="D331" s="29"/>
      <c r="E331" s="29"/>
      <c r="F331" s="29"/>
      <c r="G331" s="2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29"/>
      <c r="D332" s="29"/>
      <c r="E332" s="29"/>
      <c r="F332" s="29"/>
      <c r="G332" s="2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29"/>
      <c r="D333" s="29"/>
      <c r="E333" s="29"/>
      <c r="F333" s="29"/>
      <c r="G333" s="2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29"/>
      <c r="D334" s="29"/>
      <c r="E334" s="29"/>
      <c r="F334" s="29"/>
      <c r="G334" s="2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29"/>
      <c r="D335" s="29"/>
      <c r="E335" s="29"/>
      <c r="F335" s="29"/>
      <c r="G335" s="2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29"/>
      <c r="D336" s="29"/>
      <c r="E336" s="29"/>
      <c r="F336" s="29"/>
      <c r="G336" s="2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29"/>
      <c r="D337" s="29"/>
      <c r="E337" s="29"/>
      <c r="F337" s="29"/>
      <c r="G337" s="2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29"/>
      <c r="D338" s="29"/>
      <c r="E338" s="29"/>
      <c r="F338" s="29"/>
      <c r="G338" s="2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29"/>
      <c r="D339" s="29"/>
      <c r="E339" s="29"/>
      <c r="F339" s="29"/>
      <c r="G339" s="2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29"/>
      <c r="D340" s="29"/>
      <c r="E340" s="29"/>
      <c r="F340" s="29"/>
      <c r="G340" s="2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29"/>
      <c r="D341" s="29"/>
      <c r="E341" s="29"/>
      <c r="F341" s="29"/>
      <c r="G341" s="2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29"/>
      <c r="D342" s="29"/>
      <c r="E342" s="29"/>
      <c r="F342" s="29"/>
      <c r="G342" s="2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29"/>
      <c r="D343" s="29"/>
      <c r="E343" s="29"/>
      <c r="F343" s="29"/>
      <c r="G343" s="2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29"/>
      <c r="D344" s="29"/>
      <c r="E344" s="29"/>
      <c r="F344" s="29"/>
      <c r="G344" s="2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29"/>
      <c r="D345" s="29"/>
      <c r="E345" s="29"/>
      <c r="F345" s="29"/>
      <c r="G345" s="2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29"/>
      <c r="D346" s="29"/>
      <c r="E346" s="29"/>
      <c r="F346" s="29"/>
      <c r="G346" s="2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29"/>
      <c r="D347" s="29"/>
      <c r="E347" s="29"/>
      <c r="F347" s="29"/>
      <c r="G347" s="2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29"/>
      <c r="D348" s="29"/>
      <c r="E348" s="29"/>
      <c r="F348" s="29"/>
      <c r="G348" s="2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29"/>
      <c r="D349" s="29"/>
      <c r="E349" s="29"/>
      <c r="F349" s="29"/>
      <c r="G349" s="2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29"/>
      <c r="D350" s="29"/>
      <c r="E350" s="29"/>
      <c r="F350" s="29"/>
      <c r="G350" s="2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29"/>
      <c r="D351" s="29"/>
      <c r="E351" s="29"/>
      <c r="F351" s="29"/>
      <c r="G351" s="2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29"/>
      <c r="D352" s="29"/>
      <c r="E352" s="29"/>
      <c r="F352" s="29"/>
      <c r="G352" s="2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29"/>
      <c r="D353" s="29"/>
      <c r="E353" s="29"/>
      <c r="F353" s="29"/>
      <c r="G353" s="2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29"/>
      <c r="D354" s="29"/>
      <c r="E354" s="29"/>
      <c r="F354" s="29"/>
      <c r="G354" s="2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29"/>
      <c r="D355" s="29"/>
      <c r="E355" s="29"/>
      <c r="F355" s="29"/>
      <c r="G355" s="2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29"/>
      <c r="D356" s="29"/>
      <c r="E356" s="29"/>
      <c r="F356" s="29"/>
      <c r="G356" s="2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29"/>
      <c r="D357" s="29"/>
      <c r="E357" s="29"/>
      <c r="F357" s="29"/>
      <c r="G357" s="2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29"/>
      <c r="D358" s="29"/>
      <c r="E358" s="29"/>
      <c r="F358" s="29"/>
      <c r="G358" s="2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29"/>
      <c r="D359" s="29"/>
      <c r="E359" s="29"/>
      <c r="F359" s="29"/>
      <c r="G359" s="2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29"/>
      <c r="D360" s="29"/>
      <c r="E360" s="29"/>
      <c r="F360" s="29"/>
      <c r="G360" s="2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29"/>
      <c r="D361" s="29"/>
      <c r="E361" s="29"/>
      <c r="F361" s="29"/>
      <c r="G361" s="2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29"/>
      <c r="D362" s="29"/>
      <c r="E362" s="29"/>
      <c r="F362" s="29"/>
      <c r="G362" s="2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29"/>
      <c r="D363" s="29"/>
      <c r="E363" s="29"/>
      <c r="F363" s="29"/>
      <c r="G363" s="2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29"/>
      <c r="D364" s="29"/>
      <c r="E364" s="29"/>
      <c r="F364" s="29"/>
      <c r="G364" s="2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29"/>
      <c r="D365" s="29"/>
      <c r="E365" s="29"/>
      <c r="F365" s="29"/>
      <c r="G365" s="2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29"/>
      <c r="D366" s="29"/>
      <c r="E366" s="29"/>
      <c r="F366" s="29"/>
      <c r="G366" s="2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29"/>
      <c r="D367" s="29"/>
      <c r="E367" s="29"/>
      <c r="F367" s="29"/>
      <c r="G367" s="2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29"/>
      <c r="D368" s="29"/>
      <c r="E368" s="29"/>
      <c r="F368" s="29"/>
      <c r="G368" s="2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29"/>
      <c r="D369" s="29"/>
      <c r="E369" s="29"/>
      <c r="F369" s="29"/>
      <c r="G369" s="2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29"/>
      <c r="D370" s="29"/>
      <c r="E370" s="29"/>
      <c r="F370" s="29"/>
      <c r="G370" s="2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29"/>
      <c r="D371" s="29"/>
      <c r="E371" s="29"/>
      <c r="F371" s="29"/>
      <c r="G371" s="2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29"/>
      <c r="D372" s="29"/>
      <c r="E372" s="29"/>
      <c r="F372" s="29"/>
      <c r="G372" s="2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29"/>
      <c r="D373" s="29"/>
      <c r="E373" s="29"/>
      <c r="F373" s="29"/>
      <c r="G373" s="2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29"/>
      <c r="D374" s="29"/>
      <c r="E374" s="29"/>
      <c r="F374" s="29"/>
      <c r="G374" s="2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29"/>
      <c r="D375" s="29"/>
      <c r="E375" s="29"/>
      <c r="F375" s="29"/>
      <c r="G375" s="2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29"/>
      <c r="D376" s="29"/>
      <c r="E376" s="29"/>
      <c r="F376" s="29"/>
      <c r="G376" s="2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29"/>
      <c r="D377" s="29"/>
      <c r="E377" s="29"/>
      <c r="F377" s="29"/>
      <c r="G377" s="2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29"/>
      <c r="D378" s="29"/>
      <c r="E378" s="29"/>
      <c r="F378" s="29"/>
      <c r="G378" s="2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29"/>
      <c r="D379" s="29"/>
      <c r="E379" s="29"/>
      <c r="F379" s="29"/>
      <c r="G379" s="2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29"/>
      <c r="D380" s="29"/>
      <c r="E380" s="29"/>
      <c r="F380" s="29"/>
      <c r="G380" s="2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29"/>
      <c r="D381" s="29"/>
      <c r="E381" s="29"/>
      <c r="F381" s="29"/>
      <c r="G381" s="2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29"/>
      <c r="D382" s="29"/>
      <c r="E382" s="29"/>
      <c r="F382" s="29"/>
      <c r="G382" s="2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29"/>
      <c r="D383" s="29"/>
      <c r="E383" s="29"/>
      <c r="F383" s="29"/>
      <c r="G383" s="2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29"/>
      <c r="D384" s="29"/>
      <c r="E384" s="29"/>
      <c r="F384" s="29"/>
      <c r="G384" s="2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29"/>
      <c r="D385" s="29"/>
      <c r="E385" s="29"/>
      <c r="F385" s="29"/>
      <c r="G385" s="2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29"/>
      <c r="D386" s="29"/>
      <c r="E386" s="29"/>
      <c r="F386" s="29"/>
      <c r="G386" s="2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29"/>
      <c r="D387" s="29"/>
      <c r="E387" s="29"/>
      <c r="F387" s="29"/>
      <c r="G387" s="2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29"/>
      <c r="D388" s="29"/>
      <c r="E388" s="29"/>
      <c r="F388" s="29"/>
      <c r="G388" s="2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29"/>
      <c r="D389" s="29"/>
      <c r="E389" s="29"/>
      <c r="F389" s="29"/>
      <c r="G389" s="2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29"/>
      <c r="D390" s="29"/>
      <c r="E390" s="29"/>
      <c r="F390" s="29"/>
      <c r="G390" s="2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29"/>
      <c r="D391" s="29"/>
      <c r="E391" s="29"/>
      <c r="F391" s="29"/>
      <c r="G391" s="2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29"/>
      <c r="D392" s="29"/>
      <c r="E392" s="29"/>
      <c r="F392" s="29"/>
      <c r="G392" s="2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29"/>
      <c r="D393" s="29"/>
      <c r="E393" s="29"/>
      <c r="F393" s="29"/>
      <c r="G393" s="2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29"/>
      <c r="D394" s="29"/>
      <c r="E394" s="29"/>
      <c r="F394" s="29"/>
      <c r="G394" s="2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29"/>
      <c r="D395" s="29"/>
      <c r="E395" s="29"/>
      <c r="F395" s="29"/>
      <c r="G395" s="2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29"/>
      <c r="D396" s="29"/>
      <c r="E396" s="29"/>
      <c r="F396" s="29"/>
      <c r="G396" s="2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29"/>
      <c r="D397" s="29"/>
      <c r="E397" s="29"/>
      <c r="F397" s="29"/>
      <c r="G397" s="2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29"/>
      <c r="D398" s="29"/>
      <c r="E398" s="29"/>
      <c r="F398" s="29"/>
      <c r="G398" s="2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29"/>
      <c r="D399" s="29"/>
      <c r="E399" s="29"/>
      <c r="F399" s="29"/>
      <c r="G399" s="2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29"/>
      <c r="D400" s="29"/>
      <c r="E400" s="29"/>
      <c r="F400" s="29"/>
      <c r="G400" s="2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29"/>
      <c r="D401" s="29"/>
      <c r="E401" s="29"/>
      <c r="F401" s="29"/>
      <c r="G401" s="2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29"/>
      <c r="D402" s="29"/>
      <c r="E402" s="29"/>
      <c r="F402" s="29"/>
      <c r="G402" s="2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29"/>
      <c r="D403" s="29"/>
      <c r="E403" s="29"/>
      <c r="F403" s="29"/>
      <c r="G403" s="2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29"/>
      <c r="D404" s="29"/>
      <c r="E404" s="29"/>
      <c r="F404" s="29"/>
      <c r="G404" s="2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29"/>
      <c r="D405" s="29"/>
      <c r="E405" s="29"/>
      <c r="F405" s="29"/>
      <c r="G405" s="2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29"/>
      <c r="D406" s="29"/>
      <c r="E406" s="29"/>
      <c r="F406" s="29"/>
      <c r="G406" s="2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29"/>
      <c r="D407" s="29"/>
      <c r="E407" s="29"/>
      <c r="F407" s="29"/>
      <c r="G407" s="2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29"/>
      <c r="D408" s="29"/>
      <c r="E408" s="29"/>
      <c r="F408" s="29"/>
      <c r="G408" s="2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29"/>
      <c r="D409" s="29"/>
      <c r="E409" s="29"/>
      <c r="F409" s="29"/>
      <c r="G409" s="2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29"/>
      <c r="D410" s="29"/>
      <c r="E410" s="29"/>
      <c r="F410" s="29"/>
      <c r="G410" s="2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29"/>
      <c r="D411" s="29"/>
      <c r="E411" s="29"/>
      <c r="F411" s="29"/>
      <c r="G411" s="2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29"/>
      <c r="D412" s="29"/>
      <c r="E412" s="29"/>
      <c r="F412" s="29"/>
      <c r="G412" s="2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29"/>
      <c r="D413" s="29"/>
      <c r="E413" s="29"/>
      <c r="F413" s="29"/>
      <c r="G413" s="2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29"/>
      <c r="D414" s="29"/>
      <c r="E414" s="29"/>
      <c r="F414" s="29"/>
      <c r="G414" s="2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29"/>
      <c r="D415" s="29"/>
      <c r="E415" s="29"/>
      <c r="F415" s="29"/>
      <c r="G415" s="2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29"/>
      <c r="D416" s="29"/>
      <c r="E416" s="29"/>
      <c r="F416" s="29"/>
      <c r="G416" s="2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29"/>
      <c r="D417" s="29"/>
      <c r="E417" s="29"/>
      <c r="F417" s="29"/>
      <c r="G417" s="2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29"/>
      <c r="D418" s="29"/>
      <c r="E418" s="29"/>
      <c r="F418" s="29"/>
      <c r="G418" s="2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29"/>
      <c r="D419" s="29"/>
      <c r="E419" s="29"/>
      <c r="F419" s="29"/>
      <c r="G419" s="2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29"/>
      <c r="D420" s="29"/>
      <c r="E420" s="29"/>
      <c r="F420" s="29"/>
      <c r="G420" s="2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29"/>
      <c r="D421" s="29"/>
      <c r="E421" s="29"/>
      <c r="F421" s="29"/>
      <c r="G421" s="2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29"/>
      <c r="D422" s="29"/>
      <c r="E422" s="29"/>
      <c r="F422" s="29"/>
      <c r="G422" s="2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29"/>
      <c r="D423" s="29"/>
      <c r="E423" s="29"/>
      <c r="F423" s="29"/>
      <c r="G423" s="2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29"/>
      <c r="D424" s="29"/>
      <c r="E424" s="29"/>
      <c r="F424" s="29"/>
      <c r="G424" s="2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29"/>
      <c r="D425" s="29"/>
      <c r="E425" s="29"/>
      <c r="F425" s="29"/>
      <c r="G425" s="2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29"/>
      <c r="D426" s="29"/>
      <c r="E426" s="29"/>
      <c r="F426" s="29"/>
      <c r="G426" s="2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29"/>
      <c r="D427" s="29"/>
      <c r="E427" s="29"/>
      <c r="F427" s="29"/>
      <c r="G427" s="2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29"/>
      <c r="D428" s="29"/>
      <c r="E428" s="29"/>
      <c r="F428" s="29"/>
      <c r="G428" s="2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29"/>
      <c r="D429" s="29"/>
      <c r="E429" s="29"/>
      <c r="F429" s="29"/>
      <c r="G429" s="2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29"/>
      <c r="D430" s="29"/>
      <c r="E430" s="29"/>
      <c r="F430" s="29"/>
      <c r="G430" s="2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29"/>
      <c r="D431" s="29"/>
      <c r="E431" s="29"/>
      <c r="F431" s="29"/>
      <c r="G431" s="2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29"/>
      <c r="D432" s="29"/>
      <c r="E432" s="29"/>
      <c r="F432" s="29"/>
      <c r="G432" s="2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29"/>
      <c r="D433" s="29"/>
      <c r="E433" s="29"/>
      <c r="F433" s="29"/>
      <c r="G433" s="2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29"/>
      <c r="D434" s="29"/>
      <c r="E434" s="29"/>
      <c r="F434" s="29"/>
      <c r="G434" s="2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29"/>
      <c r="D435" s="29"/>
      <c r="E435" s="29"/>
      <c r="F435" s="29"/>
      <c r="G435" s="2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29"/>
      <c r="D436" s="29"/>
      <c r="E436" s="29"/>
      <c r="F436" s="29"/>
      <c r="G436" s="2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29"/>
      <c r="D437" s="29"/>
      <c r="E437" s="29"/>
      <c r="F437" s="29"/>
      <c r="G437" s="2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29"/>
      <c r="D438" s="29"/>
      <c r="E438" s="29"/>
      <c r="F438" s="29"/>
      <c r="G438" s="2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29"/>
      <c r="D439" s="29"/>
      <c r="E439" s="29"/>
      <c r="F439" s="29"/>
      <c r="G439" s="2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29"/>
      <c r="D440" s="29"/>
      <c r="E440" s="29"/>
      <c r="F440" s="29"/>
      <c r="G440" s="2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29"/>
      <c r="D441" s="29"/>
      <c r="E441" s="29"/>
      <c r="F441" s="29"/>
      <c r="G441" s="2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29"/>
      <c r="D442" s="29"/>
      <c r="E442" s="29"/>
      <c r="F442" s="29"/>
      <c r="G442" s="2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29"/>
      <c r="D443" s="29"/>
      <c r="E443" s="29"/>
      <c r="F443" s="29"/>
      <c r="G443" s="2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29"/>
      <c r="D444" s="29"/>
      <c r="E444" s="29"/>
      <c r="F444" s="29"/>
      <c r="G444" s="2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29"/>
      <c r="D445" s="29"/>
      <c r="E445" s="29"/>
      <c r="F445" s="29"/>
      <c r="G445" s="2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29"/>
      <c r="D446" s="29"/>
      <c r="E446" s="29"/>
      <c r="F446" s="29"/>
      <c r="G446" s="2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29"/>
      <c r="D447" s="29"/>
      <c r="E447" s="29"/>
      <c r="F447" s="29"/>
      <c r="G447" s="2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29"/>
      <c r="D448" s="29"/>
      <c r="E448" s="29"/>
      <c r="F448" s="29"/>
      <c r="G448" s="2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29"/>
      <c r="D449" s="29"/>
      <c r="E449" s="29"/>
      <c r="F449" s="29"/>
      <c r="G449" s="2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29"/>
      <c r="D450" s="29"/>
      <c r="E450" s="29"/>
      <c r="F450" s="29"/>
      <c r="G450" s="2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29"/>
      <c r="D451" s="29"/>
      <c r="E451" s="29"/>
      <c r="F451" s="29"/>
      <c r="G451" s="2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29"/>
      <c r="D452" s="29"/>
      <c r="E452" s="29"/>
      <c r="F452" s="29"/>
      <c r="G452" s="2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29"/>
      <c r="D453" s="29"/>
      <c r="E453" s="29"/>
      <c r="F453" s="29"/>
      <c r="G453" s="2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29"/>
      <c r="D454" s="29"/>
      <c r="E454" s="29"/>
      <c r="F454" s="29"/>
      <c r="G454" s="2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29"/>
      <c r="D455" s="29"/>
      <c r="E455" s="29"/>
      <c r="F455" s="29"/>
      <c r="G455" s="2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29"/>
      <c r="D456" s="29"/>
      <c r="E456" s="29"/>
      <c r="F456" s="29"/>
      <c r="G456" s="2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29"/>
      <c r="D457" s="29"/>
      <c r="E457" s="29"/>
      <c r="F457" s="29"/>
      <c r="G457" s="2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29"/>
      <c r="D458" s="29"/>
      <c r="E458" s="29"/>
      <c r="F458" s="29"/>
      <c r="G458" s="2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29"/>
      <c r="D459" s="29"/>
      <c r="E459" s="29"/>
      <c r="F459" s="29"/>
      <c r="G459" s="2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29"/>
      <c r="D460" s="29"/>
      <c r="E460" s="29"/>
      <c r="F460" s="29"/>
      <c r="G460" s="2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29"/>
      <c r="D461" s="29"/>
      <c r="E461" s="29"/>
      <c r="F461" s="29"/>
      <c r="G461" s="2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29"/>
      <c r="D462" s="29"/>
      <c r="E462" s="29"/>
      <c r="F462" s="29"/>
      <c r="G462" s="2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29"/>
      <c r="D463" s="29"/>
      <c r="E463" s="29"/>
      <c r="F463" s="29"/>
      <c r="G463" s="2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29"/>
      <c r="D464" s="29"/>
      <c r="E464" s="29"/>
      <c r="F464" s="29"/>
      <c r="G464" s="2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29"/>
      <c r="D465" s="29"/>
      <c r="E465" s="29"/>
      <c r="F465" s="29"/>
      <c r="G465" s="2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29"/>
      <c r="D466" s="29"/>
      <c r="E466" s="29"/>
      <c r="F466" s="29"/>
      <c r="G466" s="2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29"/>
      <c r="D467" s="29"/>
      <c r="E467" s="29"/>
      <c r="F467" s="29"/>
      <c r="G467" s="2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29"/>
      <c r="D468" s="29"/>
      <c r="E468" s="29"/>
      <c r="F468" s="29"/>
      <c r="G468" s="2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29"/>
      <c r="D469" s="29"/>
      <c r="E469" s="29"/>
      <c r="F469" s="29"/>
      <c r="G469" s="2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29"/>
      <c r="D470" s="29"/>
      <c r="E470" s="29"/>
      <c r="F470" s="29"/>
      <c r="G470" s="2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29"/>
      <c r="D471" s="29"/>
      <c r="E471" s="29"/>
      <c r="F471" s="29"/>
      <c r="G471" s="2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29"/>
      <c r="D472" s="29"/>
      <c r="E472" s="29"/>
      <c r="F472" s="29"/>
      <c r="G472" s="2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29"/>
      <c r="D473" s="29"/>
      <c r="E473" s="29"/>
      <c r="F473" s="29"/>
      <c r="G473" s="2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29"/>
      <c r="D474" s="29"/>
      <c r="E474" s="29"/>
      <c r="F474" s="29"/>
      <c r="G474" s="2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29"/>
      <c r="D475" s="29"/>
      <c r="E475" s="29"/>
      <c r="F475" s="29"/>
      <c r="G475" s="2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29"/>
      <c r="D476" s="29"/>
      <c r="E476" s="29"/>
      <c r="F476" s="29"/>
      <c r="G476" s="2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29"/>
      <c r="D477" s="29"/>
      <c r="E477" s="29"/>
      <c r="F477" s="29"/>
      <c r="G477" s="2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29"/>
      <c r="D478" s="29"/>
      <c r="E478" s="29"/>
      <c r="F478" s="29"/>
      <c r="G478" s="2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29"/>
      <c r="D479" s="29"/>
      <c r="E479" s="29"/>
      <c r="F479" s="29"/>
      <c r="G479" s="2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29"/>
      <c r="D480" s="29"/>
      <c r="E480" s="29"/>
      <c r="F480" s="29"/>
      <c r="G480" s="2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29"/>
      <c r="D481" s="29"/>
      <c r="E481" s="29"/>
      <c r="F481" s="29"/>
      <c r="G481" s="2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29"/>
      <c r="D482" s="29"/>
      <c r="E482" s="29"/>
      <c r="F482" s="29"/>
      <c r="G482" s="2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29"/>
      <c r="D483" s="29"/>
      <c r="E483" s="29"/>
      <c r="F483" s="29"/>
      <c r="G483" s="2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29"/>
      <c r="D484" s="29"/>
      <c r="E484" s="29"/>
      <c r="F484" s="29"/>
      <c r="G484" s="2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29"/>
      <c r="D485" s="29"/>
      <c r="E485" s="29"/>
      <c r="F485" s="29"/>
      <c r="G485" s="2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29"/>
      <c r="D486" s="29"/>
      <c r="E486" s="29"/>
      <c r="F486" s="29"/>
      <c r="G486" s="2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29"/>
      <c r="D487" s="29"/>
      <c r="E487" s="29"/>
      <c r="F487" s="29"/>
      <c r="G487" s="2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29"/>
      <c r="D488" s="29"/>
      <c r="E488" s="29"/>
      <c r="F488" s="29"/>
      <c r="G488" s="2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29"/>
      <c r="D489" s="29"/>
      <c r="E489" s="29"/>
      <c r="F489" s="29"/>
      <c r="G489" s="2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29"/>
      <c r="D490" s="29"/>
      <c r="E490" s="29"/>
      <c r="F490" s="29"/>
      <c r="G490" s="2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29"/>
      <c r="D491" s="29"/>
      <c r="E491" s="29"/>
      <c r="F491" s="29"/>
      <c r="G491" s="2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29"/>
      <c r="D492" s="29"/>
      <c r="E492" s="29"/>
      <c r="F492" s="29"/>
      <c r="G492" s="2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29"/>
      <c r="D493" s="29"/>
      <c r="E493" s="29"/>
      <c r="F493" s="29"/>
      <c r="G493" s="2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29"/>
      <c r="D494" s="29"/>
      <c r="E494" s="29"/>
      <c r="F494" s="29"/>
      <c r="G494" s="2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29"/>
      <c r="D495" s="29"/>
      <c r="E495" s="29"/>
      <c r="F495" s="29"/>
      <c r="G495" s="2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29"/>
      <c r="D496" s="29"/>
      <c r="E496" s="29"/>
      <c r="F496" s="29"/>
      <c r="G496" s="2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29"/>
      <c r="D497" s="29"/>
      <c r="E497" s="29"/>
      <c r="F497" s="29"/>
      <c r="G497" s="2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29"/>
      <c r="D498" s="29"/>
      <c r="E498" s="29"/>
      <c r="F498" s="29"/>
      <c r="G498" s="2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29"/>
      <c r="D499" s="29"/>
      <c r="E499" s="29"/>
      <c r="F499" s="29"/>
      <c r="G499" s="2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29"/>
      <c r="D500" s="29"/>
      <c r="E500" s="29"/>
      <c r="F500" s="29"/>
      <c r="G500" s="2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29"/>
      <c r="D501" s="29"/>
      <c r="E501" s="29"/>
      <c r="F501" s="29"/>
      <c r="G501" s="2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29"/>
      <c r="D502" s="29"/>
      <c r="E502" s="29"/>
      <c r="F502" s="29"/>
      <c r="G502" s="2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29"/>
      <c r="D503" s="29"/>
      <c r="E503" s="29"/>
      <c r="F503" s="29"/>
      <c r="G503" s="2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29"/>
      <c r="D504" s="29"/>
      <c r="E504" s="29"/>
      <c r="F504" s="29"/>
      <c r="G504" s="2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29"/>
      <c r="D505" s="29"/>
      <c r="E505" s="29"/>
      <c r="F505" s="29"/>
      <c r="G505" s="2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29"/>
      <c r="D506" s="29"/>
      <c r="E506" s="29"/>
      <c r="F506" s="29"/>
      <c r="G506" s="2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29"/>
      <c r="D507" s="29"/>
      <c r="E507" s="29"/>
      <c r="F507" s="29"/>
      <c r="G507" s="2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29"/>
      <c r="D508" s="29"/>
      <c r="E508" s="29"/>
      <c r="F508" s="29"/>
      <c r="G508" s="2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29"/>
      <c r="D509" s="29"/>
      <c r="E509" s="29"/>
      <c r="F509" s="29"/>
      <c r="G509" s="2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29"/>
      <c r="D510" s="29"/>
      <c r="E510" s="29"/>
      <c r="F510" s="29"/>
      <c r="G510" s="2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29"/>
      <c r="D511" s="29"/>
      <c r="E511" s="29"/>
      <c r="F511" s="29"/>
      <c r="G511" s="2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29"/>
      <c r="D512" s="29"/>
      <c r="E512" s="29"/>
      <c r="F512" s="29"/>
      <c r="G512" s="2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29"/>
      <c r="D513" s="29"/>
      <c r="E513" s="29"/>
      <c r="F513" s="29"/>
      <c r="G513" s="2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29"/>
      <c r="D514" s="29"/>
      <c r="E514" s="29"/>
      <c r="F514" s="29"/>
      <c r="G514" s="2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29"/>
      <c r="D515" s="29"/>
      <c r="E515" s="29"/>
      <c r="F515" s="29"/>
      <c r="G515" s="2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29"/>
      <c r="D516" s="29"/>
      <c r="E516" s="29"/>
      <c r="F516" s="29"/>
      <c r="G516" s="2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29"/>
      <c r="D517" s="29"/>
      <c r="E517" s="29"/>
      <c r="F517" s="29"/>
      <c r="G517" s="2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29"/>
      <c r="D518" s="29"/>
      <c r="E518" s="29"/>
      <c r="F518" s="29"/>
      <c r="G518" s="2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29"/>
      <c r="D519" s="29"/>
      <c r="E519" s="29"/>
      <c r="F519" s="29"/>
      <c r="G519" s="2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29"/>
      <c r="D520" s="29"/>
      <c r="E520" s="29"/>
      <c r="F520" s="29"/>
      <c r="G520" s="2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29"/>
      <c r="D521" s="29"/>
      <c r="E521" s="29"/>
      <c r="F521" s="29"/>
      <c r="G521" s="2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29"/>
      <c r="D522" s="29"/>
      <c r="E522" s="29"/>
      <c r="F522" s="29"/>
      <c r="G522" s="2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29"/>
      <c r="D523" s="29"/>
      <c r="E523" s="29"/>
      <c r="F523" s="29"/>
      <c r="G523" s="2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29"/>
      <c r="D524" s="29"/>
      <c r="E524" s="29"/>
      <c r="F524" s="29"/>
      <c r="G524" s="2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29"/>
      <c r="D525" s="29"/>
      <c r="E525" s="29"/>
      <c r="F525" s="29"/>
      <c r="G525" s="2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29"/>
      <c r="D526" s="29"/>
      <c r="E526" s="29"/>
      <c r="F526" s="29"/>
      <c r="G526" s="2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29"/>
      <c r="D527" s="29"/>
      <c r="E527" s="29"/>
      <c r="F527" s="29"/>
      <c r="G527" s="2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29"/>
      <c r="D528" s="29"/>
      <c r="E528" s="29"/>
      <c r="F528" s="29"/>
      <c r="G528" s="2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29"/>
      <c r="D529" s="29"/>
      <c r="E529" s="29"/>
      <c r="F529" s="29"/>
      <c r="G529" s="2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29"/>
      <c r="D530" s="29"/>
      <c r="E530" s="29"/>
      <c r="F530" s="29"/>
      <c r="G530" s="2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29"/>
      <c r="D531" s="29"/>
      <c r="E531" s="29"/>
      <c r="F531" s="29"/>
      <c r="G531" s="2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29"/>
      <c r="D532" s="29"/>
      <c r="E532" s="29"/>
      <c r="F532" s="29"/>
      <c r="G532" s="2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29"/>
      <c r="D533" s="29"/>
      <c r="E533" s="29"/>
      <c r="F533" s="29"/>
      <c r="G533" s="2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29"/>
      <c r="D534" s="29"/>
      <c r="E534" s="29"/>
      <c r="F534" s="29"/>
      <c r="G534" s="2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29"/>
      <c r="D535" s="29"/>
      <c r="E535" s="29"/>
      <c r="F535" s="29"/>
      <c r="G535" s="2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29"/>
      <c r="D536" s="29"/>
      <c r="E536" s="29"/>
      <c r="F536" s="29"/>
      <c r="G536" s="2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29"/>
      <c r="D537" s="29"/>
      <c r="E537" s="29"/>
      <c r="F537" s="29"/>
      <c r="G537" s="2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29"/>
      <c r="D538" s="29"/>
      <c r="E538" s="29"/>
      <c r="F538" s="29"/>
      <c r="G538" s="2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29"/>
      <c r="D539" s="29"/>
      <c r="E539" s="29"/>
      <c r="F539" s="29"/>
      <c r="G539" s="2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29"/>
      <c r="D540" s="29"/>
      <c r="E540" s="29"/>
      <c r="F540" s="29"/>
      <c r="G540" s="2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29"/>
      <c r="D541" s="29"/>
      <c r="E541" s="29"/>
      <c r="F541" s="29"/>
      <c r="G541" s="2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29"/>
      <c r="D542" s="29"/>
      <c r="E542" s="29"/>
      <c r="F542" s="29"/>
      <c r="G542" s="2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29"/>
      <c r="D543" s="29"/>
      <c r="E543" s="29"/>
      <c r="F543" s="29"/>
      <c r="G543" s="2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29"/>
      <c r="D544" s="29"/>
      <c r="E544" s="29"/>
      <c r="F544" s="29"/>
      <c r="G544" s="2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29"/>
      <c r="D545" s="29"/>
      <c r="E545" s="29"/>
      <c r="F545" s="29"/>
      <c r="G545" s="2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29"/>
      <c r="D546" s="29"/>
      <c r="E546" s="29"/>
      <c r="F546" s="29"/>
      <c r="G546" s="2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29"/>
      <c r="D547" s="29"/>
      <c r="E547" s="29"/>
      <c r="F547" s="29"/>
      <c r="G547" s="2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29"/>
      <c r="D548" s="29"/>
      <c r="E548" s="29"/>
      <c r="F548" s="29"/>
      <c r="G548" s="2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29"/>
      <c r="D549" s="29"/>
      <c r="E549" s="29"/>
      <c r="F549" s="29"/>
      <c r="G549" s="2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29"/>
      <c r="D550" s="29"/>
      <c r="E550" s="29"/>
      <c r="F550" s="29"/>
      <c r="G550" s="2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29"/>
      <c r="D551" s="29"/>
      <c r="E551" s="29"/>
      <c r="F551" s="29"/>
      <c r="G551" s="2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29"/>
      <c r="D552" s="29"/>
      <c r="E552" s="29"/>
      <c r="F552" s="29"/>
      <c r="G552" s="2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29"/>
      <c r="D553" s="29"/>
      <c r="E553" s="29"/>
      <c r="F553" s="29"/>
      <c r="G553" s="2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29"/>
      <c r="D554" s="29"/>
      <c r="E554" s="29"/>
      <c r="F554" s="29"/>
      <c r="G554" s="2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29"/>
      <c r="D555" s="29"/>
      <c r="E555" s="29"/>
      <c r="F555" s="29"/>
      <c r="G555" s="2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29"/>
      <c r="D556" s="29"/>
      <c r="E556" s="29"/>
      <c r="F556" s="29"/>
      <c r="G556" s="2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29"/>
      <c r="D557" s="29"/>
      <c r="E557" s="29"/>
      <c r="F557" s="29"/>
      <c r="G557" s="2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29"/>
      <c r="D558" s="29"/>
      <c r="E558" s="29"/>
      <c r="F558" s="29"/>
      <c r="G558" s="2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29"/>
      <c r="D559" s="29"/>
      <c r="E559" s="29"/>
      <c r="F559" s="29"/>
      <c r="G559" s="2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29"/>
      <c r="D560" s="29"/>
      <c r="E560" s="29"/>
      <c r="F560" s="29"/>
      <c r="G560" s="2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29"/>
      <c r="D561" s="29"/>
      <c r="E561" s="29"/>
      <c r="F561" s="29"/>
      <c r="G561" s="2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29"/>
      <c r="D562" s="29"/>
      <c r="E562" s="29"/>
      <c r="F562" s="29"/>
      <c r="G562" s="2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29"/>
      <c r="D563" s="29"/>
      <c r="E563" s="29"/>
      <c r="F563" s="29"/>
      <c r="G563" s="2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29"/>
      <c r="D564" s="29"/>
      <c r="E564" s="29"/>
      <c r="F564" s="29"/>
      <c r="G564" s="2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29"/>
      <c r="D565" s="29"/>
      <c r="E565" s="29"/>
      <c r="F565" s="29"/>
      <c r="G565" s="2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29"/>
      <c r="D566" s="29"/>
      <c r="E566" s="29"/>
      <c r="F566" s="29"/>
      <c r="G566" s="2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29"/>
      <c r="D567" s="29"/>
      <c r="E567" s="29"/>
      <c r="F567" s="29"/>
      <c r="G567" s="2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29"/>
      <c r="D568" s="29"/>
      <c r="E568" s="29"/>
      <c r="F568" s="29"/>
      <c r="G568" s="2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29"/>
      <c r="D569" s="29"/>
      <c r="E569" s="29"/>
      <c r="F569" s="29"/>
      <c r="G569" s="2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29"/>
      <c r="D570" s="29"/>
      <c r="E570" s="29"/>
      <c r="F570" s="29"/>
      <c r="G570" s="2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29"/>
      <c r="D571" s="29"/>
      <c r="E571" s="29"/>
      <c r="F571" s="29"/>
      <c r="G571" s="2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29"/>
      <c r="D572" s="29"/>
      <c r="E572" s="29"/>
      <c r="F572" s="29"/>
      <c r="G572" s="2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29"/>
      <c r="D573" s="29"/>
      <c r="E573" s="29"/>
      <c r="F573" s="29"/>
      <c r="G573" s="2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29"/>
      <c r="D574" s="29"/>
      <c r="E574" s="29"/>
      <c r="F574" s="29"/>
      <c r="G574" s="2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29"/>
      <c r="D575" s="29"/>
      <c r="E575" s="29"/>
      <c r="F575" s="29"/>
      <c r="G575" s="2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29"/>
      <c r="D576" s="29"/>
      <c r="E576" s="29"/>
      <c r="F576" s="29"/>
      <c r="G576" s="2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29"/>
      <c r="D577" s="29"/>
      <c r="E577" s="29"/>
      <c r="F577" s="29"/>
      <c r="G577" s="2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29"/>
      <c r="D578" s="29"/>
      <c r="E578" s="29"/>
      <c r="F578" s="29"/>
      <c r="G578" s="2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29"/>
      <c r="D579" s="29"/>
      <c r="E579" s="29"/>
      <c r="F579" s="29"/>
      <c r="G579" s="2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29"/>
      <c r="D580" s="29"/>
      <c r="E580" s="29"/>
      <c r="F580" s="29"/>
      <c r="G580" s="2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29"/>
      <c r="D581" s="29"/>
      <c r="E581" s="29"/>
      <c r="F581" s="29"/>
      <c r="G581" s="2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29"/>
      <c r="D582" s="29"/>
      <c r="E582" s="29"/>
      <c r="F582" s="29"/>
      <c r="G582" s="2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29"/>
      <c r="D583" s="29"/>
      <c r="E583" s="29"/>
      <c r="F583" s="29"/>
      <c r="G583" s="2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29"/>
      <c r="D584" s="29"/>
      <c r="E584" s="29"/>
      <c r="F584" s="29"/>
      <c r="G584" s="2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29"/>
      <c r="D585" s="29"/>
      <c r="E585" s="29"/>
      <c r="F585" s="29"/>
      <c r="G585" s="2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29"/>
      <c r="D586" s="29"/>
      <c r="E586" s="29"/>
      <c r="F586" s="29"/>
      <c r="G586" s="2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29"/>
      <c r="D587" s="29"/>
      <c r="E587" s="29"/>
      <c r="F587" s="29"/>
      <c r="G587" s="2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29"/>
      <c r="D588" s="29"/>
      <c r="E588" s="29"/>
      <c r="F588" s="29"/>
      <c r="G588" s="2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29"/>
      <c r="D589" s="29"/>
      <c r="E589" s="29"/>
      <c r="F589" s="29"/>
      <c r="G589" s="2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29"/>
      <c r="D590" s="29"/>
      <c r="E590" s="29"/>
      <c r="F590" s="29"/>
      <c r="G590" s="2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29"/>
      <c r="D591" s="29"/>
      <c r="E591" s="29"/>
      <c r="F591" s="29"/>
      <c r="G591" s="2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29"/>
      <c r="D592" s="29"/>
      <c r="E592" s="29"/>
      <c r="F592" s="29"/>
      <c r="G592" s="2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29"/>
      <c r="D593" s="29"/>
      <c r="E593" s="29"/>
      <c r="F593" s="29"/>
      <c r="G593" s="2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29"/>
      <c r="D594" s="29"/>
      <c r="E594" s="29"/>
      <c r="F594" s="29"/>
      <c r="G594" s="2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29"/>
      <c r="D595" s="29"/>
      <c r="E595" s="29"/>
      <c r="F595" s="29"/>
      <c r="G595" s="2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29"/>
      <c r="D596" s="29"/>
      <c r="E596" s="29"/>
      <c r="F596" s="29"/>
      <c r="G596" s="2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29"/>
      <c r="D597" s="29"/>
      <c r="E597" s="29"/>
      <c r="F597" s="29"/>
      <c r="G597" s="2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29"/>
      <c r="D598" s="29"/>
      <c r="E598" s="29"/>
      <c r="F598" s="29"/>
      <c r="G598" s="2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29"/>
      <c r="D599" s="29"/>
      <c r="E599" s="29"/>
      <c r="F599" s="29"/>
      <c r="G599" s="2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29"/>
      <c r="D600" s="29"/>
      <c r="E600" s="29"/>
      <c r="F600" s="29"/>
      <c r="G600" s="2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29"/>
      <c r="D601" s="29"/>
      <c r="E601" s="29"/>
      <c r="F601" s="29"/>
      <c r="G601" s="2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29"/>
      <c r="D602" s="29"/>
      <c r="E602" s="29"/>
      <c r="F602" s="29"/>
      <c r="G602" s="2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29"/>
      <c r="D603" s="29"/>
      <c r="E603" s="29"/>
      <c r="F603" s="29"/>
      <c r="G603" s="2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29"/>
      <c r="D604" s="29"/>
      <c r="E604" s="29"/>
      <c r="F604" s="29"/>
      <c r="G604" s="2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29"/>
      <c r="D605" s="29"/>
      <c r="E605" s="29"/>
      <c r="F605" s="29"/>
      <c r="G605" s="2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29"/>
      <c r="D606" s="29"/>
      <c r="E606" s="29"/>
      <c r="F606" s="29"/>
      <c r="G606" s="2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29"/>
      <c r="D607" s="29"/>
      <c r="E607" s="29"/>
      <c r="F607" s="29"/>
      <c r="G607" s="2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29"/>
      <c r="D608" s="29"/>
      <c r="E608" s="29"/>
      <c r="F608" s="29"/>
      <c r="G608" s="2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29"/>
      <c r="D609" s="29"/>
      <c r="E609" s="29"/>
      <c r="F609" s="29"/>
      <c r="G609" s="2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29"/>
      <c r="D610" s="29"/>
      <c r="E610" s="29"/>
      <c r="F610" s="29"/>
      <c r="G610" s="2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29"/>
      <c r="D611" s="29"/>
      <c r="E611" s="29"/>
      <c r="F611" s="29"/>
      <c r="G611" s="2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29"/>
      <c r="D612" s="29"/>
      <c r="E612" s="29"/>
      <c r="F612" s="29"/>
      <c r="G612" s="2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29"/>
      <c r="D613" s="29"/>
      <c r="E613" s="29"/>
      <c r="F613" s="29"/>
      <c r="G613" s="2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29"/>
      <c r="D614" s="29"/>
      <c r="E614" s="29"/>
      <c r="F614" s="29"/>
      <c r="G614" s="2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29"/>
      <c r="D615" s="29"/>
      <c r="E615" s="29"/>
      <c r="F615" s="29"/>
      <c r="G615" s="2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29"/>
      <c r="D616" s="29"/>
      <c r="E616" s="29"/>
      <c r="F616" s="29"/>
      <c r="G616" s="2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29"/>
      <c r="D617" s="29"/>
      <c r="E617" s="29"/>
      <c r="F617" s="29"/>
      <c r="G617" s="2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29"/>
      <c r="D618" s="29"/>
      <c r="E618" s="29"/>
      <c r="F618" s="29"/>
      <c r="G618" s="2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29"/>
      <c r="D619" s="29"/>
      <c r="E619" s="29"/>
      <c r="F619" s="29"/>
      <c r="G619" s="2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29"/>
      <c r="D620" s="29"/>
      <c r="E620" s="29"/>
      <c r="F620" s="29"/>
      <c r="G620" s="2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29"/>
      <c r="D621" s="29"/>
      <c r="E621" s="29"/>
      <c r="F621" s="29"/>
      <c r="G621" s="2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29"/>
      <c r="D622" s="29"/>
      <c r="E622" s="29"/>
      <c r="F622" s="29"/>
      <c r="G622" s="2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29"/>
      <c r="D623" s="29"/>
      <c r="E623" s="29"/>
      <c r="F623" s="29"/>
      <c r="G623" s="2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29"/>
      <c r="D624" s="29"/>
      <c r="E624" s="29"/>
      <c r="F624" s="29"/>
      <c r="G624" s="2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29"/>
      <c r="D625" s="29"/>
      <c r="E625" s="29"/>
      <c r="F625" s="29"/>
      <c r="G625" s="2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29"/>
      <c r="D626" s="29"/>
      <c r="E626" s="29"/>
      <c r="F626" s="29"/>
      <c r="G626" s="2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29"/>
      <c r="D627" s="29"/>
      <c r="E627" s="29"/>
      <c r="F627" s="29"/>
      <c r="G627" s="2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29"/>
      <c r="D628" s="29"/>
      <c r="E628" s="29"/>
      <c r="F628" s="29"/>
      <c r="G628" s="2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29"/>
      <c r="D629" s="29"/>
      <c r="E629" s="29"/>
      <c r="F629" s="29"/>
      <c r="G629" s="2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29"/>
      <c r="D630" s="29"/>
      <c r="E630" s="29"/>
      <c r="F630" s="29"/>
      <c r="G630" s="2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29"/>
      <c r="D631" s="29"/>
      <c r="E631" s="29"/>
      <c r="F631" s="29"/>
      <c r="G631" s="2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29"/>
      <c r="D632" s="29"/>
      <c r="E632" s="29"/>
      <c r="F632" s="29"/>
      <c r="G632" s="2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29"/>
      <c r="D633" s="29"/>
      <c r="E633" s="29"/>
      <c r="F633" s="29"/>
      <c r="G633" s="2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29"/>
      <c r="D634" s="29"/>
      <c r="E634" s="29"/>
      <c r="F634" s="29"/>
      <c r="G634" s="2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29"/>
      <c r="D635" s="29"/>
      <c r="E635" s="29"/>
      <c r="F635" s="29"/>
      <c r="G635" s="2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29"/>
      <c r="D636" s="29"/>
      <c r="E636" s="29"/>
      <c r="F636" s="29"/>
      <c r="G636" s="2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29"/>
      <c r="D637" s="29"/>
      <c r="E637" s="29"/>
      <c r="F637" s="29"/>
      <c r="G637" s="2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29"/>
      <c r="D638" s="29"/>
      <c r="E638" s="29"/>
      <c r="F638" s="29"/>
      <c r="G638" s="2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29"/>
      <c r="D639" s="29"/>
      <c r="E639" s="29"/>
      <c r="F639" s="29"/>
      <c r="G639" s="2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29"/>
      <c r="D640" s="29"/>
      <c r="E640" s="29"/>
      <c r="F640" s="29"/>
      <c r="G640" s="2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29"/>
      <c r="D641" s="29"/>
      <c r="E641" s="29"/>
      <c r="F641" s="29"/>
      <c r="G641" s="2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honeticPr fontId="13" type="noConversion"/>
  <pageMargins left="0.26" right="0.16" top="0.15748031496062992" bottom="0.15748031496062992" header="0.15748031496062992" footer="0.15748031496062992"/>
  <pageSetup paperSize="9"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5"/>
  <sheetViews>
    <sheetView zoomScaleNormal="100" workbookViewId="0">
      <selection activeCell="O3" sqref="O3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96" customWidth="1"/>
    <col min="11" max="11" width="10.5703125" style="96" customWidth="1"/>
    <col min="12" max="12" width="10.85546875" style="96" customWidth="1"/>
    <col min="13" max="13" width="10.7109375" style="96" customWidth="1"/>
    <col min="14" max="14" width="12.28515625" style="96" customWidth="1"/>
    <col min="15" max="15" width="11" style="96" customWidth="1"/>
    <col min="16" max="16" width="12.7109375" customWidth="1"/>
    <col min="17" max="17" width="12.7109375" hidden="1" customWidth="1"/>
    <col min="18" max="18" width="12.7109375" customWidth="1"/>
    <col min="19" max="19" width="10.28515625" customWidth="1"/>
  </cols>
  <sheetData>
    <row r="1" spans="1:17" x14ac:dyDescent="0.2">
      <c r="A1" s="54"/>
      <c r="B1" s="54"/>
      <c r="C1" s="54"/>
      <c r="D1" s="54"/>
      <c r="E1" s="54"/>
      <c r="F1" s="54"/>
      <c r="G1" s="54"/>
      <c r="H1" s="54"/>
      <c r="I1" s="54"/>
      <c r="J1" s="139"/>
      <c r="K1" s="139"/>
      <c r="L1" s="139"/>
      <c r="M1" s="139"/>
      <c r="N1" s="139"/>
      <c r="O1" s="85" t="s">
        <v>1374</v>
      </c>
    </row>
    <row r="2" spans="1:17" x14ac:dyDescent="0.2">
      <c r="A2" s="54"/>
      <c r="B2" s="54"/>
      <c r="C2" s="54"/>
      <c r="D2" s="54"/>
      <c r="E2" s="54"/>
      <c r="F2" s="54"/>
      <c r="G2" s="54"/>
      <c r="H2" s="54"/>
      <c r="I2" s="54"/>
      <c r="J2" s="139"/>
      <c r="K2" s="139"/>
      <c r="L2" s="139"/>
      <c r="M2" s="139"/>
      <c r="N2" s="139"/>
      <c r="O2" s="660" t="s">
        <v>1368</v>
      </c>
    </row>
    <row r="3" spans="1:17" x14ac:dyDescent="0.2">
      <c r="A3" s="54"/>
      <c r="B3" s="54"/>
      <c r="C3" s="54"/>
      <c r="D3" s="54"/>
      <c r="E3" s="54"/>
      <c r="F3" s="54"/>
      <c r="G3" s="54"/>
      <c r="H3" s="54"/>
      <c r="I3" s="54"/>
      <c r="J3" s="139"/>
      <c r="K3" s="139"/>
      <c r="L3" s="139"/>
      <c r="M3" s="139"/>
      <c r="N3" s="139"/>
      <c r="O3" s="181" t="s">
        <v>1365</v>
      </c>
    </row>
    <row r="4" spans="1:17" ht="16.5" customHeight="1" x14ac:dyDescent="0.2">
      <c r="A4" s="821" t="s">
        <v>115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</row>
    <row r="5" spans="1:17" ht="30.75" customHeight="1" x14ac:dyDescent="0.2">
      <c r="A5" s="869" t="s">
        <v>1223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140"/>
    </row>
    <row r="6" spans="1:17" ht="12" customHeight="1" x14ac:dyDescent="0.2">
      <c r="A6" s="828"/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</row>
    <row r="7" spans="1:17" ht="12.95" customHeight="1" thickBot="1" x14ac:dyDescent="0.25">
      <c r="A7" s="3"/>
      <c r="B7" s="3"/>
      <c r="C7" s="3"/>
      <c r="D7" s="3"/>
      <c r="E7" s="3"/>
      <c r="F7" s="3"/>
      <c r="G7" s="3"/>
      <c r="H7" s="3"/>
      <c r="I7" s="3"/>
      <c r="J7" s="87"/>
      <c r="K7" s="87"/>
      <c r="L7" s="87"/>
      <c r="M7" s="87"/>
      <c r="N7" s="87"/>
      <c r="O7" s="85" t="s">
        <v>0</v>
      </c>
    </row>
    <row r="8" spans="1:17" ht="43.5" customHeight="1" x14ac:dyDescent="0.2">
      <c r="A8" s="881" t="s">
        <v>105</v>
      </c>
      <c r="B8" s="884" t="s">
        <v>106</v>
      </c>
      <c r="C8" s="884" t="s">
        <v>107</v>
      </c>
      <c r="D8" s="873" t="s">
        <v>114</v>
      </c>
      <c r="E8" s="884" t="s">
        <v>108</v>
      </c>
      <c r="F8" s="433"/>
      <c r="G8" s="873" t="s">
        <v>1062</v>
      </c>
      <c r="H8" s="887" t="s">
        <v>109</v>
      </c>
      <c r="I8" s="888"/>
      <c r="J8" s="888"/>
      <c r="K8" s="889"/>
      <c r="L8" s="873" t="s">
        <v>867</v>
      </c>
      <c r="M8" s="876" t="s">
        <v>1299</v>
      </c>
      <c r="N8" s="876" t="s">
        <v>1302</v>
      </c>
      <c r="O8" s="870" t="s">
        <v>382</v>
      </c>
    </row>
    <row r="9" spans="1:17" ht="51" customHeight="1" x14ac:dyDescent="0.2">
      <c r="A9" s="882"/>
      <c r="B9" s="885"/>
      <c r="C9" s="885"/>
      <c r="D9" s="874"/>
      <c r="E9" s="885"/>
      <c r="F9" s="178" t="s">
        <v>365</v>
      </c>
      <c r="G9" s="874"/>
      <c r="H9" s="879" t="s">
        <v>111</v>
      </c>
      <c r="I9" s="880"/>
      <c r="J9" s="885" t="s">
        <v>110</v>
      </c>
      <c r="K9" s="885" t="s">
        <v>366</v>
      </c>
      <c r="L9" s="874"/>
      <c r="M9" s="877"/>
      <c r="N9" s="877"/>
      <c r="O9" s="871"/>
    </row>
    <row r="10" spans="1:17" ht="41.25" customHeight="1" thickBot="1" x14ac:dyDescent="0.25">
      <c r="A10" s="883"/>
      <c r="B10" s="886"/>
      <c r="C10" s="886"/>
      <c r="D10" s="875"/>
      <c r="E10" s="886"/>
      <c r="F10" s="434"/>
      <c r="G10" s="875"/>
      <c r="H10" s="435" t="s">
        <v>112</v>
      </c>
      <c r="I10" s="435" t="s">
        <v>113</v>
      </c>
      <c r="J10" s="886"/>
      <c r="K10" s="886"/>
      <c r="L10" s="875"/>
      <c r="M10" s="878"/>
      <c r="N10" s="878"/>
      <c r="O10" s="872"/>
    </row>
    <row r="11" spans="1:17" ht="25.5" x14ac:dyDescent="0.2">
      <c r="A11" s="430" t="s">
        <v>480</v>
      </c>
      <c r="B11" s="436" t="s">
        <v>481</v>
      </c>
      <c r="C11" s="80">
        <v>950695</v>
      </c>
      <c r="D11" s="144" t="s">
        <v>482</v>
      </c>
      <c r="E11" s="80">
        <v>950695</v>
      </c>
      <c r="F11" s="80">
        <v>0</v>
      </c>
      <c r="G11" s="80">
        <v>935695</v>
      </c>
      <c r="H11" s="80">
        <v>935695</v>
      </c>
      <c r="I11" s="12">
        <v>0</v>
      </c>
      <c r="J11" s="80">
        <v>0</v>
      </c>
      <c r="K11" s="80">
        <v>935695</v>
      </c>
      <c r="L11" s="80">
        <v>0</v>
      </c>
      <c r="M11" s="80">
        <f>364933+7632-1776+60704-185244</f>
        <v>246249</v>
      </c>
      <c r="N11" s="753">
        <f>1776+185244</f>
        <v>187020</v>
      </c>
      <c r="O11" s="751">
        <v>0.2</v>
      </c>
      <c r="Q11" s="80">
        <f>364933+7632-1776</f>
        <v>370789</v>
      </c>
    </row>
    <row r="12" spans="1:17" ht="25.5" x14ac:dyDescent="0.2">
      <c r="A12" s="20" t="s">
        <v>885</v>
      </c>
      <c r="B12" s="436" t="s">
        <v>1305</v>
      </c>
      <c r="C12" s="80">
        <v>230000</v>
      </c>
      <c r="D12" s="144" t="s">
        <v>482</v>
      </c>
      <c r="E12" s="80">
        <v>230000</v>
      </c>
      <c r="F12" s="80">
        <v>0</v>
      </c>
      <c r="G12" s="80">
        <v>221049</v>
      </c>
      <c r="H12" s="80">
        <v>221049</v>
      </c>
      <c r="I12" s="12">
        <v>0</v>
      </c>
      <c r="J12" s="80">
        <v>0</v>
      </c>
      <c r="K12" s="80">
        <v>221049</v>
      </c>
      <c r="L12" s="80">
        <v>0</v>
      </c>
      <c r="M12" s="80">
        <f>'3.felh'!D47</f>
        <v>2128</v>
      </c>
      <c r="N12" s="577" t="s">
        <v>66</v>
      </c>
      <c r="O12" s="752" t="s">
        <v>66</v>
      </c>
    </row>
    <row r="13" spans="1:17" ht="38.25" x14ac:dyDescent="0.2">
      <c r="A13" s="20" t="s">
        <v>1145</v>
      </c>
      <c r="B13" s="436" t="s">
        <v>1306</v>
      </c>
      <c r="C13" s="80">
        <v>238522</v>
      </c>
      <c r="D13" s="144" t="s">
        <v>482</v>
      </c>
      <c r="E13" s="80">
        <v>238522</v>
      </c>
      <c r="F13" s="80">
        <v>0</v>
      </c>
      <c r="G13" s="80">
        <v>227589</v>
      </c>
      <c r="H13" s="80">
        <v>227589</v>
      </c>
      <c r="I13" s="12">
        <v>0</v>
      </c>
      <c r="J13" s="80">
        <v>0</v>
      </c>
      <c r="K13" s="80">
        <v>227589</v>
      </c>
      <c r="L13" s="80">
        <v>0</v>
      </c>
      <c r="M13" s="80">
        <f>'3.felh'!D71+'8.Önk.'!O114+'8.Önk.'!O115+'8.Önk.'!O116+'8.Önk.'!O117+1</f>
        <v>227589</v>
      </c>
      <c r="N13" s="577" t="s">
        <v>66</v>
      </c>
      <c r="O13" s="752" t="s">
        <v>66</v>
      </c>
    </row>
    <row r="14" spans="1:17" ht="36.75" thickBot="1" x14ac:dyDescent="0.25">
      <c r="A14" s="20" t="s">
        <v>1300</v>
      </c>
      <c r="B14" s="436" t="s">
        <v>1301</v>
      </c>
      <c r="C14" s="80">
        <v>708662</v>
      </c>
      <c r="D14" s="144" t="s">
        <v>482</v>
      </c>
      <c r="E14" s="80">
        <v>708662</v>
      </c>
      <c r="F14" s="80">
        <v>0</v>
      </c>
      <c r="G14" s="80">
        <v>708662</v>
      </c>
      <c r="H14" s="80">
        <v>708662</v>
      </c>
      <c r="I14" s="12">
        <v>0</v>
      </c>
      <c r="J14" s="80">
        <v>0</v>
      </c>
      <c r="K14" s="80">
        <f>186525+708662</f>
        <v>895187</v>
      </c>
      <c r="L14" s="80">
        <v>0</v>
      </c>
      <c r="M14" s="80">
        <f>2940+344+16750+4523+13200+3564</f>
        <v>41321</v>
      </c>
      <c r="N14" s="577">
        <f>4523+3564</f>
        <v>8087</v>
      </c>
      <c r="O14" s="751">
        <v>1.0999999999999999E-2</v>
      </c>
    </row>
    <row r="15" spans="1:17" ht="19.5" customHeight="1" thickBot="1" x14ac:dyDescent="0.25">
      <c r="A15" s="141" t="s">
        <v>70</v>
      </c>
      <c r="B15" s="142"/>
      <c r="C15" s="143">
        <f>SUM(C11:C14)</f>
        <v>2127879</v>
      </c>
      <c r="D15" s="142"/>
      <c r="E15" s="143">
        <f>SUM(E11:E14)</f>
        <v>2127879</v>
      </c>
      <c r="F15" s="143">
        <f>SUM(F11:F14)</f>
        <v>0</v>
      </c>
      <c r="G15" s="183">
        <f>SUM(E15:F15)</f>
        <v>2127879</v>
      </c>
      <c r="H15" s="143">
        <f>SUM(H11:H14)</f>
        <v>2092995</v>
      </c>
      <c r="I15" s="143">
        <f>SUM(I11:I14)</f>
        <v>0</v>
      </c>
      <c r="J15" s="143">
        <f>SUM(J11:J14)</f>
        <v>0</v>
      </c>
      <c r="K15" s="143">
        <f>SUM(K11:K14)</f>
        <v>2279520</v>
      </c>
      <c r="L15" s="143"/>
      <c r="M15" s="183">
        <f>SUM(M11:M14)</f>
        <v>517287</v>
      </c>
      <c r="N15" s="183">
        <f>SUM(N11:N14)</f>
        <v>195107</v>
      </c>
      <c r="O15" s="749">
        <v>0.18779999999999999</v>
      </c>
    </row>
    <row r="16" spans="1:17" ht="12.95" hidden="1" customHeight="1" x14ac:dyDescent="0.2">
      <c r="J16"/>
      <c r="K16" s="37">
        <f>SUM(H15:J15)</f>
        <v>2092995</v>
      </c>
      <c r="L16" s="76"/>
      <c r="M16"/>
      <c r="N16"/>
      <c r="O16"/>
    </row>
    <row r="17" spans="2:15" ht="13.5" customHeight="1" x14ac:dyDescent="0.2">
      <c r="B17" s="76"/>
      <c r="C17" s="76"/>
      <c r="D17" s="76"/>
      <c r="E17" s="76"/>
      <c r="F17" s="76"/>
      <c r="G17" s="76"/>
      <c r="H17" s="76"/>
      <c r="I17" s="76"/>
      <c r="J17" s="95"/>
      <c r="K17" s="95"/>
      <c r="L17" s="95"/>
      <c r="M17" s="95"/>
      <c r="N17" s="95"/>
      <c r="O17" s="95"/>
    </row>
    <row r="18" spans="2:15" x14ac:dyDescent="0.2">
      <c r="B18" s="76"/>
      <c r="C18" s="76"/>
      <c r="D18" s="76"/>
      <c r="E18" s="76"/>
      <c r="F18" s="76"/>
      <c r="G18" s="76"/>
      <c r="H18" s="76"/>
      <c r="I18" s="76"/>
      <c r="J18" s="95"/>
      <c r="K18" s="95"/>
      <c r="L18" s="95"/>
      <c r="M18" s="95"/>
      <c r="N18" s="95"/>
      <c r="O18" s="95"/>
    </row>
    <row r="19" spans="2:15" x14ac:dyDescent="0.2">
      <c r="B19" s="76"/>
      <c r="C19" s="76"/>
      <c r="D19" s="76"/>
      <c r="E19" s="76"/>
      <c r="F19" s="76"/>
      <c r="G19" s="76"/>
      <c r="H19" s="76"/>
      <c r="I19" s="76"/>
      <c r="J19" s="95"/>
      <c r="K19" s="95"/>
      <c r="L19" s="95"/>
      <c r="M19" s="95"/>
      <c r="N19" s="95"/>
      <c r="O19" s="95"/>
    </row>
    <row r="20" spans="2:15" ht="38.25" customHeight="1" x14ac:dyDescent="0.2">
      <c r="B20" s="76"/>
      <c r="C20" s="76"/>
      <c r="D20" s="76"/>
      <c r="E20" s="76"/>
      <c r="F20" s="76"/>
      <c r="G20" s="76"/>
      <c r="H20" s="76"/>
      <c r="I20" s="76"/>
      <c r="J20" s="95"/>
      <c r="K20" s="95"/>
      <c r="L20" s="95"/>
      <c r="M20" s="95"/>
      <c r="N20" s="95"/>
      <c r="O20" s="95"/>
    </row>
    <row r="21" spans="2:15" ht="19.5" customHeight="1" x14ac:dyDescent="0.2">
      <c r="B21" s="76"/>
      <c r="C21" s="76"/>
      <c r="D21" s="76"/>
      <c r="E21" s="76"/>
      <c r="F21" s="76"/>
      <c r="G21" s="76"/>
      <c r="H21" s="76"/>
      <c r="I21" s="76"/>
      <c r="J21" s="95"/>
      <c r="K21" s="95"/>
      <c r="L21" s="95"/>
      <c r="M21" s="95"/>
      <c r="N21" s="95"/>
      <c r="O21" s="95"/>
    </row>
    <row r="22" spans="2:15" ht="12.95" customHeight="1" x14ac:dyDescent="0.2">
      <c r="B22" s="76"/>
      <c r="C22" s="76"/>
      <c r="D22" s="76"/>
      <c r="E22" s="76"/>
      <c r="F22" s="76"/>
      <c r="G22" s="76"/>
      <c r="H22" s="76"/>
      <c r="I22" s="76"/>
      <c r="J22" s="95"/>
      <c r="K22" s="95"/>
      <c r="L22" s="95"/>
      <c r="M22" s="95"/>
      <c r="N22" s="95"/>
      <c r="O22" s="95"/>
    </row>
    <row r="23" spans="2:15" ht="12.95" customHeight="1" x14ac:dyDescent="0.2">
      <c r="B23" s="76"/>
      <c r="C23" s="76"/>
      <c r="D23" s="76"/>
      <c r="E23" s="76"/>
      <c r="F23" s="76"/>
      <c r="G23" s="76"/>
      <c r="H23" s="76"/>
      <c r="I23" s="76"/>
      <c r="J23" s="95"/>
      <c r="K23" s="95"/>
      <c r="L23" s="95"/>
      <c r="M23" s="95"/>
      <c r="N23" s="95"/>
      <c r="O23" s="95"/>
    </row>
    <row r="24" spans="2:15" ht="12.95" customHeight="1" x14ac:dyDescent="0.2">
      <c r="B24" s="76"/>
      <c r="C24" s="76"/>
      <c r="D24" s="76"/>
      <c r="E24" s="76"/>
      <c r="F24" s="76"/>
      <c r="G24" s="76"/>
      <c r="H24" s="76"/>
      <c r="I24" s="76"/>
      <c r="J24" s="95"/>
      <c r="K24" s="95"/>
      <c r="L24" s="95"/>
      <c r="M24" s="95"/>
      <c r="N24" s="95"/>
      <c r="O24" s="95"/>
    </row>
    <row r="25" spans="2:15" ht="12.95" customHeight="1" x14ac:dyDescent="0.2">
      <c r="B25" s="76"/>
      <c r="C25" s="76"/>
      <c r="D25" s="76"/>
      <c r="E25" s="76"/>
      <c r="F25" s="76"/>
      <c r="G25" s="76"/>
      <c r="H25" s="76"/>
      <c r="I25" s="76"/>
      <c r="J25" s="95"/>
      <c r="K25" s="95"/>
      <c r="L25" s="95"/>
      <c r="M25" s="95"/>
      <c r="N25" s="95"/>
      <c r="O25" s="95"/>
    </row>
    <row r="26" spans="2:15" ht="12.95" customHeight="1" x14ac:dyDescent="0.2">
      <c r="B26" s="76"/>
      <c r="C26" s="76"/>
      <c r="D26" s="76"/>
      <c r="E26" s="76"/>
      <c r="F26" s="76"/>
      <c r="G26" s="76"/>
      <c r="H26" s="76"/>
      <c r="I26" s="76"/>
      <c r="J26" s="95"/>
      <c r="K26" s="95"/>
      <c r="L26" s="95"/>
      <c r="M26" s="95"/>
      <c r="N26" s="95"/>
      <c r="O26" s="95"/>
    </row>
    <row r="27" spans="2:15" ht="12.95" customHeight="1" x14ac:dyDescent="0.2">
      <c r="B27" s="76"/>
      <c r="C27" s="76"/>
      <c r="D27" s="76"/>
      <c r="E27" s="76"/>
      <c r="F27" s="76"/>
      <c r="G27" s="76"/>
      <c r="H27" s="76"/>
      <c r="I27" s="76"/>
      <c r="J27" s="95"/>
      <c r="K27" s="95"/>
      <c r="L27" s="95"/>
      <c r="M27" s="95"/>
      <c r="N27" s="95"/>
      <c r="O27" s="95"/>
    </row>
    <row r="28" spans="2:15" ht="12.95" customHeight="1" x14ac:dyDescent="0.2">
      <c r="B28" s="76"/>
      <c r="C28" s="76"/>
      <c r="D28" s="76"/>
      <c r="E28" s="76"/>
      <c r="F28" s="76"/>
      <c r="G28" s="76"/>
      <c r="H28" s="76"/>
      <c r="I28" s="76"/>
      <c r="J28" s="95"/>
      <c r="K28" s="95"/>
      <c r="L28" s="95"/>
      <c r="M28" s="95"/>
      <c r="N28" s="95"/>
      <c r="O28" s="95"/>
    </row>
    <row r="29" spans="2:15" ht="12.95" customHeight="1" x14ac:dyDescent="0.2">
      <c r="B29" s="76"/>
      <c r="C29" s="76"/>
      <c r="D29" s="76"/>
      <c r="E29" s="76"/>
      <c r="F29" s="76"/>
      <c r="G29" s="76"/>
      <c r="H29" s="76"/>
      <c r="I29" s="76"/>
      <c r="J29" s="95"/>
      <c r="K29" s="95"/>
      <c r="L29" s="95"/>
      <c r="M29" s="95"/>
      <c r="N29" s="95"/>
      <c r="O29" s="95"/>
    </row>
    <row r="30" spans="2:15" ht="12.95" customHeight="1" x14ac:dyDescent="0.2">
      <c r="B30" s="76"/>
      <c r="C30" s="76"/>
      <c r="D30" s="76"/>
      <c r="E30" s="76"/>
      <c r="F30" s="76"/>
      <c r="G30" s="76"/>
      <c r="H30" s="76"/>
      <c r="I30" s="76"/>
      <c r="J30" s="95"/>
      <c r="K30" s="95"/>
      <c r="L30" s="95"/>
      <c r="M30" s="95"/>
      <c r="N30" s="95"/>
      <c r="O30" s="95"/>
    </row>
    <row r="31" spans="2:15" ht="12.95" customHeight="1" x14ac:dyDescent="0.2">
      <c r="B31" s="76"/>
      <c r="C31" s="76"/>
      <c r="D31" s="76"/>
      <c r="E31" s="76"/>
      <c r="F31" s="76"/>
      <c r="G31" s="76"/>
      <c r="H31" s="76"/>
      <c r="I31" s="76"/>
      <c r="J31" s="95"/>
      <c r="K31" s="95"/>
      <c r="L31" s="95"/>
      <c r="M31" s="95"/>
      <c r="N31" s="95"/>
      <c r="O31" s="95"/>
    </row>
    <row r="32" spans="2:15" ht="12.95" customHeight="1" x14ac:dyDescent="0.2">
      <c r="B32" s="76"/>
      <c r="C32" s="76"/>
      <c r="D32" s="76"/>
      <c r="E32" s="76"/>
      <c r="F32" s="76"/>
      <c r="G32" s="76"/>
      <c r="H32" s="76"/>
      <c r="I32" s="76"/>
      <c r="J32" s="95"/>
      <c r="K32" s="95"/>
      <c r="L32" s="95"/>
      <c r="M32" s="95"/>
      <c r="N32" s="95"/>
      <c r="O32" s="95"/>
    </row>
    <row r="33" spans="2:15" ht="12.95" customHeight="1" x14ac:dyDescent="0.2">
      <c r="B33" s="76"/>
      <c r="C33" s="76"/>
      <c r="D33" s="76"/>
      <c r="E33" s="76"/>
      <c r="F33" s="76"/>
      <c r="G33" s="76"/>
      <c r="H33" s="76"/>
      <c r="I33" s="76"/>
      <c r="J33" s="95"/>
      <c r="K33" s="95"/>
      <c r="L33" s="95"/>
      <c r="M33" s="95"/>
      <c r="N33" s="95"/>
      <c r="O33" s="95"/>
    </row>
    <row r="34" spans="2:15" ht="12.95" customHeight="1" x14ac:dyDescent="0.2">
      <c r="B34" s="76"/>
      <c r="C34" s="76"/>
      <c r="D34" s="76"/>
      <c r="E34" s="76"/>
      <c r="F34" s="76"/>
      <c r="G34" s="76"/>
      <c r="H34" s="76"/>
      <c r="I34" s="76"/>
      <c r="J34" s="95"/>
      <c r="K34" s="95"/>
      <c r="L34" s="95"/>
      <c r="M34" s="95"/>
      <c r="N34" s="95"/>
      <c r="O34" s="95"/>
    </row>
    <row r="35" spans="2:15" ht="12.95" customHeight="1" x14ac:dyDescent="0.2">
      <c r="B35" s="76"/>
      <c r="C35" s="76"/>
      <c r="D35" s="76"/>
      <c r="E35" s="76"/>
      <c r="F35" s="76"/>
      <c r="G35" s="76"/>
      <c r="H35" s="76"/>
      <c r="I35" s="76"/>
      <c r="J35" s="95"/>
      <c r="K35" s="95"/>
      <c r="L35" s="95"/>
      <c r="M35" s="95"/>
      <c r="N35" s="95"/>
      <c r="O35" s="95"/>
    </row>
    <row r="36" spans="2:15" ht="12.95" customHeight="1" x14ac:dyDescent="0.2">
      <c r="B36" s="76"/>
      <c r="C36" s="76"/>
      <c r="D36" s="76"/>
      <c r="E36" s="76"/>
      <c r="F36" s="76"/>
      <c r="G36" s="76"/>
      <c r="H36" s="76"/>
      <c r="I36" s="76"/>
      <c r="J36" s="95"/>
      <c r="K36" s="95"/>
      <c r="L36" s="95"/>
      <c r="M36" s="95"/>
      <c r="N36" s="95"/>
      <c r="O36" s="95"/>
    </row>
    <row r="37" spans="2:15" ht="12.95" customHeight="1" x14ac:dyDescent="0.2">
      <c r="B37" s="76"/>
      <c r="C37" s="76"/>
      <c r="D37" s="76"/>
      <c r="E37" s="76"/>
      <c r="F37" s="76"/>
      <c r="G37" s="76"/>
      <c r="H37" s="76"/>
      <c r="I37" s="76"/>
      <c r="J37" s="95"/>
      <c r="K37" s="95"/>
      <c r="L37" s="95"/>
      <c r="M37" s="95"/>
      <c r="N37" s="95"/>
      <c r="O37" s="95"/>
    </row>
    <row r="38" spans="2:15" ht="12.95" customHeight="1" x14ac:dyDescent="0.2">
      <c r="B38" s="76"/>
      <c r="C38" s="76"/>
      <c r="D38" s="76"/>
      <c r="E38" s="76"/>
      <c r="F38" s="76"/>
      <c r="G38" s="76"/>
      <c r="H38" s="76"/>
      <c r="I38" s="76"/>
      <c r="J38" s="95"/>
      <c r="K38" s="95"/>
      <c r="L38" s="95"/>
      <c r="M38" s="95"/>
      <c r="N38" s="95"/>
      <c r="O38" s="95"/>
    </row>
    <row r="39" spans="2:15" ht="12.95" customHeight="1" x14ac:dyDescent="0.2">
      <c r="B39" s="76"/>
      <c r="C39" s="76"/>
      <c r="D39" s="76"/>
      <c r="E39" s="76"/>
      <c r="F39" s="76"/>
      <c r="G39" s="76"/>
      <c r="H39" s="76"/>
      <c r="I39" s="76"/>
      <c r="J39" s="95"/>
      <c r="K39" s="95"/>
      <c r="L39" s="95"/>
      <c r="M39" s="95"/>
      <c r="N39" s="95"/>
      <c r="O39" s="95"/>
    </row>
    <row r="40" spans="2:15" ht="12.95" customHeight="1" x14ac:dyDescent="0.2">
      <c r="B40" s="76"/>
      <c r="C40" s="76"/>
      <c r="D40" s="76"/>
      <c r="E40" s="76"/>
      <c r="F40" s="76"/>
      <c r="G40" s="76"/>
      <c r="H40" s="76"/>
      <c r="I40" s="76"/>
      <c r="J40" s="95"/>
      <c r="K40" s="95"/>
      <c r="L40" s="95"/>
      <c r="M40" s="95"/>
      <c r="N40" s="95"/>
      <c r="O40" s="95"/>
    </row>
    <row r="41" spans="2:15" ht="12.95" customHeight="1" x14ac:dyDescent="0.2">
      <c r="B41" s="76"/>
      <c r="C41" s="76"/>
      <c r="D41" s="76"/>
      <c r="E41" s="76"/>
      <c r="F41" s="76"/>
      <c r="G41" s="76"/>
      <c r="H41" s="76"/>
      <c r="I41" s="76"/>
      <c r="J41" s="95"/>
      <c r="K41" s="95"/>
      <c r="L41" s="95"/>
      <c r="M41" s="95"/>
      <c r="N41" s="95"/>
      <c r="O41" s="95"/>
    </row>
    <row r="42" spans="2:15" ht="12.95" customHeight="1" x14ac:dyDescent="0.2">
      <c r="B42" s="76"/>
      <c r="C42" s="76"/>
      <c r="D42" s="76"/>
      <c r="E42" s="76"/>
      <c r="F42" s="76"/>
      <c r="G42" s="76"/>
      <c r="H42" s="76"/>
      <c r="I42" s="76"/>
      <c r="J42" s="95"/>
      <c r="K42" s="95"/>
      <c r="L42" s="95"/>
      <c r="M42" s="95"/>
      <c r="N42" s="95"/>
      <c r="O42" s="95"/>
    </row>
    <row r="43" spans="2:15" ht="12.95" customHeight="1" x14ac:dyDescent="0.2">
      <c r="B43" s="76"/>
      <c r="C43" s="76"/>
      <c r="D43" s="76"/>
      <c r="E43" s="76"/>
      <c r="F43" s="76"/>
      <c r="G43" s="76"/>
      <c r="H43" s="76"/>
      <c r="I43" s="76"/>
      <c r="J43" s="95"/>
      <c r="K43" s="95"/>
      <c r="L43" s="95"/>
      <c r="M43" s="95"/>
      <c r="N43" s="95"/>
      <c r="O43" s="95"/>
    </row>
    <row r="44" spans="2:15" ht="12.95" customHeight="1" x14ac:dyDescent="0.2">
      <c r="B44" s="76"/>
      <c r="C44" s="76"/>
      <c r="D44" s="76"/>
      <c r="E44" s="76"/>
      <c r="F44" s="76"/>
      <c r="G44" s="76"/>
      <c r="H44" s="76"/>
      <c r="I44" s="76"/>
      <c r="J44" s="95"/>
      <c r="K44" s="95"/>
      <c r="L44" s="95"/>
      <c r="M44" s="95"/>
      <c r="N44" s="95"/>
      <c r="O44" s="95"/>
    </row>
    <row r="45" spans="2:15" ht="12.95" customHeight="1" x14ac:dyDescent="0.2">
      <c r="B45" s="76"/>
      <c r="C45" s="76"/>
      <c r="D45" s="76"/>
      <c r="E45" s="76"/>
      <c r="F45" s="76"/>
      <c r="G45" s="76"/>
      <c r="H45" s="76"/>
      <c r="I45" s="76"/>
      <c r="J45" s="95"/>
      <c r="K45" s="95"/>
      <c r="L45" s="95"/>
      <c r="M45" s="95"/>
      <c r="N45" s="95"/>
      <c r="O45" s="95"/>
    </row>
    <row r="46" spans="2:15" ht="12.95" customHeight="1" x14ac:dyDescent="0.2">
      <c r="B46" s="76"/>
      <c r="C46" s="76"/>
      <c r="D46" s="76"/>
      <c r="E46" s="76"/>
      <c r="F46" s="76"/>
      <c r="G46" s="76"/>
      <c r="H46" s="76"/>
      <c r="I46" s="76"/>
      <c r="J46" s="95"/>
      <c r="K46" s="95"/>
      <c r="L46" s="95"/>
      <c r="M46" s="95"/>
      <c r="N46" s="95"/>
      <c r="O46" s="95"/>
    </row>
    <row r="47" spans="2:15" ht="12.95" customHeight="1" x14ac:dyDescent="0.2">
      <c r="B47" s="76"/>
      <c r="C47" s="76"/>
      <c r="D47" s="76"/>
      <c r="E47" s="76"/>
      <c r="F47" s="76"/>
      <c r="G47" s="76"/>
      <c r="H47" s="76"/>
      <c r="I47" s="76"/>
      <c r="J47" s="95"/>
      <c r="K47" s="95"/>
      <c r="L47" s="95"/>
      <c r="M47" s="95"/>
      <c r="N47" s="95"/>
      <c r="O47" s="95"/>
    </row>
    <row r="48" spans="2:15" ht="12.95" customHeight="1" x14ac:dyDescent="0.2">
      <c r="B48" s="76"/>
      <c r="C48" s="76"/>
      <c r="D48" s="76"/>
      <c r="E48" s="76"/>
      <c r="F48" s="76"/>
      <c r="G48" s="76"/>
      <c r="H48" s="76"/>
      <c r="I48" s="76"/>
      <c r="J48" s="95"/>
      <c r="K48" s="95"/>
      <c r="L48" s="95"/>
      <c r="M48" s="95"/>
      <c r="N48" s="95"/>
      <c r="O48" s="95"/>
    </row>
    <row r="49" spans="2:15" ht="12.95" customHeight="1" x14ac:dyDescent="0.2">
      <c r="B49" s="76"/>
      <c r="C49" s="76"/>
      <c r="D49" s="76"/>
      <c r="E49" s="76"/>
      <c r="F49" s="76"/>
      <c r="G49" s="76"/>
      <c r="H49" s="76"/>
      <c r="I49" s="76"/>
      <c r="J49" s="95"/>
      <c r="K49" s="95"/>
      <c r="L49" s="95"/>
      <c r="M49" s="95"/>
      <c r="N49" s="95"/>
      <c r="O49" s="95"/>
    </row>
    <row r="50" spans="2:15" ht="12.95" customHeight="1" x14ac:dyDescent="0.2">
      <c r="B50" s="76"/>
      <c r="C50" s="76"/>
      <c r="D50" s="76"/>
      <c r="E50" s="76"/>
      <c r="F50" s="76"/>
      <c r="G50" s="76"/>
      <c r="H50" s="76"/>
      <c r="I50" s="76"/>
      <c r="J50" s="95"/>
      <c r="K50" s="95"/>
      <c r="L50" s="95"/>
      <c r="M50" s="95"/>
      <c r="N50" s="95"/>
      <c r="O50" s="95"/>
    </row>
    <row r="51" spans="2:15" ht="12.95" customHeight="1" x14ac:dyDescent="0.2">
      <c r="B51" s="76"/>
      <c r="C51" s="76"/>
      <c r="D51" s="76"/>
      <c r="E51" s="76"/>
      <c r="F51" s="76"/>
      <c r="G51" s="76"/>
      <c r="H51" s="76"/>
      <c r="I51" s="76"/>
      <c r="J51" s="95"/>
      <c r="K51" s="95"/>
      <c r="L51" s="95"/>
      <c r="M51" s="95"/>
      <c r="N51" s="95"/>
      <c r="O51" s="95"/>
    </row>
    <row r="52" spans="2:15" ht="12.95" customHeight="1" x14ac:dyDescent="0.2">
      <c r="B52" s="76"/>
      <c r="C52" s="76"/>
      <c r="D52" s="76"/>
      <c r="E52" s="76"/>
      <c r="F52" s="76"/>
      <c r="G52" s="76"/>
      <c r="H52" s="76"/>
      <c r="I52" s="76"/>
      <c r="J52" s="95"/>
      <c r="K52" s="95"/>
      <c r="L52" s="95"/>
      <c r="M52" s="95"/>
      <c r="N52" s="95"/>
      <c r="O52" s="95"/>
    </row>
    <row r="53" spans="2:15" ht="12.95" customHeight="1" x14ac:dyDescent="0.2">
      <c r="B53" s="76"/>
      <c r="C53" s="76"/>
      <c r="D53" s="76"/>
      <c r="E53" s="76"/>
      <c r="F53" s="76"/>
      <c r="G53" s="76"/>
      <c r="H53" s="76"/>
      <c r="I53" s="76"/>
      <c r="J53" s="95"/>
      <c r="K53" s="95"/>
      <c r="L53" s="95"/>
      <c r="M53" s="95"/>
      <c r="N53" s="95"/>
      <c r="O53" s="95"/>
    </row>
    <row r="54" spans="2:15" ht="12.95" customHeight="1" x14ac:dyDescent="0.2">
      <c r="B54" s="76"/>
      <c r="C54" s="76"/>
      <c r="D54" s="76"/>
      <c r="E54" s="76"/>
      <c r="F54" s="76"/>
      <c r="G54" s="76"/>
      <c r="H54" s="76"/>
      <c r="I54" s="76"/>
      <c r="J54" s="95"/>
      <c r="K54" s="95"/>
      <c r="L54" s="95"/>
      <c r="M54" s="95"/>
      <c r="N54" s="95"/>
      <c r="O54" s="95"/>
    </row>
    <row r="55" spans="2:15" ht="12.95" customHeight="1" x14ac:dyDescent="0.2">
      <c r="B55" s="76"/>
      <c r="C55" s="76"/>
      <c r="D55" s="76"/>
      <c r="E55" s="76"/>
      <c r="F55" s="76"/>
      <c r="G55" s="76"/>
      <c r="H55" s="76"/>
      <c r="I55" s="76"/>
      <c r="J55" s="95"/>
      <c r="K55" s="95"/>
      <c r="L55" s="95"/>
      <c r="M55" s="95"/>
      <c r="N55" s="95"/>
      <c r="O55" s="95"/>
    </row>
    <row r="56" spans="2:15" ht="12.95" customHeight="1" x14ac:dyDescent="0.2">
      <c r="B56" s="76"/>
      <c r="C56" s="76"/>
      <c r="D56" s="76"/>
      <c r="E56" s="76"/>
      <c r="F56" s="76"/>
      <c r="G56" s="76"/>
      <c r="H56" s="76"/>
      <c r="I56" s="76"/>
      <c r="J56" s="95"/>
      <c r="K56" s="95"/>
      <c r="L56" s="95"/>
      <c r="M56" s="95"/>
      <c r="N56" s="95"/>
      <c r="O56" s="95"/>
    </row>
    <row r="57" spans="2:15" x14ac:dyDescent="0.2">
      <c r="B57" s="76"/>
      <c r="C57" s="76"/>
      <c r="D57" s="76"/>
      <c r="E57" s="76"/>
      <c r="F57" s="76"/>
      <c r="G57" s="76"/>
      <c r="H57" s="76"/>
      <c r="I57" s="76"/>
      <c r="J57" s="95"/>
      <c r="K57" s="95"/>
      <c r="L57" s="95"/>
      <c r="M57" s="95"/>
      <c r="N57" s="95"/>
      <c r="O57" s="95"/>
    </row>
    <row r="58" spans="2:15" x14ac:dyDescent="0.2">
      <c r="B58" s="76"/>
      <c r="C58" s="76"/>
      <c r="D58" s="76"/>
      <c r="E58" s="76"/>
      <c r="F58" s="76"/>
      <c r="G58" s="76"/>
      <c r="H58" s="76"/>
      <c r="I58" s="76"/>
      <c r="J58" s="95"/>
      <c r="K58" s="95"/>
      <c r="L58" s="95"/>
      <c r="M58" s="95"/>
      <c r="N58" s="95"/>
      <c r="O58" s="95"/>
    </row>
    <row r="59" spans="2:15" x14ac:dyDescent="0.2">
      <c r="B59" s="76"/>
      <c r="C59" s="76"/>
      <c r="D59" s="76"/>
      <c r="E59" s="76"/>
      <c r="F59" s="76"/>
      <c r="G59" s="76"/>
      <c r="H59" s="76"/>
      <c r="I59" s="76"/>
      <c r="J59" s="95"/>
      <c r="K59" s="95"/>
      <c r="L59" s="95"/>
      <c r="M59" s="95"/>
      <c r="N59" s="95"/>
      <c r="O59" s="95"/>
    </row>
    <row r="60" spans="2:15" x14ac:dyDescent="0.2">
      <c r="B60" s="76"/>
      <c r="C60" s="76"/>
      <c r="D60" s="76"/>
      <c r="E60" s="76"/>
      <c r="F60" s="76"/>
      <c r="G60" s="76"/>
      <c r="H60" s="76"/>
      <c r="I60" s="76"/>
      <c r="J60" s="95"/>
      <c r="K60" s="95"/>
      <c r="L60" s="95"/>
      <c r="M60" s="95"/>
      <c r="N60" s="95"/>
      <c r="O60" s="95"/>
    </row>
    <row r="61" spans="2:15" x14ac:dyDescent="0.2">
      <c r="B61" s="76"/>
      <c r="C61" s="76"/>
      <c r="D61" s="76"/>
      <c r="E61" s="76"/>
      <c r="F61" s="76"/>
      <c r="G61" s="76"/>
      <c r="H61" s="76"/>
      <c r="I61" s="76"/>
      <c r="J61" s="95"/>
      <c r="K61" s="95"/>
      <c r="L61" s="95"/>
      <c r="M61" s="95"/>
      <c r="N61" s="95"/>
      <c r="O61" s="95"/>
    </row>
    <row r="62" spans="2:15" x14ac:dyDescent="0.2">
      <c r="B62" s="76"/>
      <c r="C62" s="76"/>
      <c r="D62" s="76"/>
      <c r="E62" s="76"/>
      <c r="F62" s="76"/>
      <c r="G62" s="76"/>
      <c r="H62" s="76"/>
      <c r="I62" s="76"/>
      <c r="J62" s="95"/>
      <c r="K62" s="95"/>
      <c r="L62" s="95"/>
      <c r="M62" s="95"/>
      <c r="N62" s="95"/>
      <c r="O62" s="95"/>
    </row>
    <row r="63" spans="2:15" x14ac:dyDescent="0.2">
      <c r="B63" s="76"/>
      <c r="C63" s="76"/>
      <c r="D63" s="76"/>
      <c r="E63" s="76"/>
      <c r="F63" s="76"/>
      <c r="G63" s="76"/>
      <c r="H63" s="76"/>
      <c r="I63" s="76"/>
      <c r="J63" s="95"/>
      <c r="K63" s="95"/>
      <c r="L63" s="95"/>
      <c r="M63" s="95"/>
      <c r="N63" s="95"/>
      <c r="O63" s="95"/>
    </row>
    <row r="64" spans="2:15" x14ac:dyDescent="0.2">
      <c r="B64" s="76"/>
      <c r="C64" s="76"/>
      <c r="D64" s="76"/>
      <c r="E64" s="76"/>
      <c r="F64" s="76"/>
      <c r="G64" s="76"/>
      <c r="H64" s="76"/>
      <c r="I64" s="76"/>
      <c r="J64" s="95"/>
      <c r="K64" s="95"/>
      <c r="L64" s="95"/>
      <c r="M64" s="95"/>
      <c r="N64" s="95"/>
      <c r="O64" s="95"/>
    </row>
    <row r="65" spans="2:15" x14ac:dyDescent="0.2">
      <c r="B65" s="76"/>
      <c r="C65" s="76"/>
      <c r="D65" s="76"/>
      <c r="E65" s="76"/>
      <c r="F65" s="76"/>
      <c r="G65" s="76"/>
      <c r="H65" s="76"/>
      <c r="I65" s="76"/>
      <c r="J65" s="95"/>
      <c r="K65" s="95"/>
      <c r="L65" s="95"/>
      <c r="M65" s="95"/>
      <c r="N65" s="95"/>
      <c r="O65" s="95"/>
    </row>
    <row r="66" spans="2:15" x14ac:dyDescent="0.2">
      <c r="B66" s="76"/>
      <c r="C66" s="76"/>
      <c r="D66" s="76"/>
      <c r="E66" s="76"/>
      <c r="F66" s="76"/>
      <c r="G66" s="76"/>
      <c r="H66" s="76"/>
      <c r="I66" s="76"/>
      <c r="J66" s="95"/>
      <c r="K66" s="95"/>
      <c r="L66" s="95"/>
      <c r="M66" s="95"/>
      <c r="N66" s="95"/>
      <c r="O66" s="95"/>
    </row>
    <row r="67" spans="2:15" x14ac:dyDescent="0.2">
      <c r="B67" s="76"/>
      <c r="C67" s="76"/>
      <c r="D67" s="76"/>
      <c r="E67" s="76"/>
      <c r="F67" s="76"/>
      <c r="G67" s="76"/>
      <c r="H67" s="76"/>
      <c r="I67" s="76"/>
      <c r="J67" s="95"/>
      <c r="K67" s="95"/>
      <c r="L67" s="95"/>
      <c r="M67" s="95"/>
      <c r="N67" s="95"/>
      <c r="O67" s="95"/>
    </row>
    <row r="68" spans="2:15" x14ac:dyDescent="0.2">
      <c r="B68" s="76"/>
      <c r="C68" s="76"/>
      <c r="D68" s="76"/>
      <c r="E68" s="76"/>
      <c r="F68" s="76"/>
      <c r="G68" s="76"/>
      <c r="H68" s="76"/>
      <c r="I68" s="76"/>
      <c r="J68" s="95"/>
      <c r="K68" s="95"/>
      <c r="L68" s="95"/>
      <c r="M68" s="95"/>
      <c r="N68" s="95"/>
      <c r="O68" s="95"/>
    </row>
    <row r="69" spans="2:15" x14ac:dyDescent="0.2">
      <c r="B69" s="76"/>
      <c r="C69" s="76"/>
      <c r="D69" s="76"/>
      <c r="E69" s="76"/>
      <c r="F69" s="76"/>
      <c r="G69" s="76"/>
      <c r="H69" s="76"/>
      <c r="I69" s="76"/>
      <c r="J69" s="95"/>
      <c r="K69" s="95"/>
      <c r="L69" s="95"/>
      <c r="M69" s="95"/>
      <c r="N69" s="95"/>
      <c r="O69" s="95"/>
    </row>
    <row r="70" spans="2:15" x14ac:dyDescent="0.2">
      <c r="B70" s="76"/>
      <c r="C70" s="76"/>
      <c r="D70" s="76"/>
      <c r="E70" s="76"/>
      <c r="F70" s="76"/>
      <c r="G70" s="76"/>
      <c r="H70" s="76"/>
      <c r="I70" s="76"/>
      <c r="J70" s="95"/>
      <c r="K70" s="95"/>
      <c r="L70" s="95"/>
      <c r="M70" s="95"/>
      <c r="N70" s="95"/>
      <c r="O70" s="95"/>
    </row>
    <row r="71" spans="2:15" x14ac:dyDescent="0.2">
      <c r="B71" s="76"/>
      <c r="C71" s="76"/>
      <c r="D71" s="76"/>
      <c r="E71" s="76"/>
      <c r="F71" s="76"/>
      <c r="G71" s="76"/>
      <c r="H71" s="76"/>
      <c r="I71" s="76"/>
      <c r="J71" s="95"/>
      <c r="K71" s="95"/>
      <c r="L71" s="95"/>
      <c r="M71" s="95"/>
      <c r="N71" s="95"/>
      <c r="O71" s="95"/>
    </row>
    <row r="72" spans="2:15" x14ac:dyDescent="0.2">
      <c r="B72" s="76"/>
      <c r="C72" s="76"/>
      <c r="D72" s="76"/>
      <c r="E72" s="76"/>
      <c r="F72" s="76"/>
      <c r="G72" s="76"/>
      <c r="H72" s="76"/>
      <c r="I72" s="76"/>
      <c r="J72" s="95"/>
      <c r="K72" s="95"/>
      <c r="L72" s="95"/>
      <c r="M72" s="95"/>
      <c r="N72" s="95"/>
      <c r="O72" s="95"/>
    </row>
    <row r="73" spans="2:15" x14ac:dyDescent="0.2">
      <c r="B73" s="76"/>
      <c r="C73" s="76"/>
      <c r="D73" s="76"/>
      <c r="E73" s="76"/>
      <c r="F73" s="76"/>
      <c r="G73" s="76"/>
      <c r="H73" s="76"/>
      <c r="I73" s="76"/>
      <c r="J73" s="95"/>
      <c r="K73" s="95"/>
      <c r="L73" s="95"/>
      <c r="M73" s="95"/>
      <c r="N73" s="95"/>
      <c r="O73" s="95"/>
    </row>
    <row r="74" spans="2:15" x14ac:dyDescent="0.2">
      <c r="B74" s="76"/>
      <c r="C74" s="76"/>
      <c r="D74" s="76"/>
      <c r="E74" s="76"/>
      <c r="F74" s="76"/>
      <c r="G74" s="76"/>
      <c r="H74" s="76"/>
      <c r="I74" s="76"/>
      <c r="J74" s="95"/>
      <c r="K74" s="95"/>
      <c r="L74" s="95"/>
      <c r="M74" s="95"/>
      <c r="N74" s="95"/>
      <c r="O74" s="95"/>
    </row>
    <row r="75" spans="2:15" x14ac:dyDescent="0.2">
      <c r="I75" s="76"/>
    </row>
  </sheetData>
  <mergeCells count="17">
    <mergeCell ref="K9:K10"/>
    <mergeCell ref="A4:O4"/>
    <mergeCell ref="A6:O6"/>
    <mergeCell ref="A5:O5"/>
    <mergeCell ref="O8:O10"/>
    <mergeCell ref="L8:L10"/>
    <mergeCell ref="N8:N10"/>
    <mergeCell ref="H9:I9"/>
    <mergeCell ref="A8:A10"/>
    <mergeCell ref="B8:B10"/>
    <mergeCell ref="C8:C10"/>
    <mergeCell ref="D8:D10"/>
    <mergeCell ref="M8:M10"/>
    <mergeCell ref="G8:G10"/>
    <mergeCell ref="E8:E10"/>
    <mergeCell ref="J9:J10"/>
    <mergeCell ref="H8:K8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zoomScaleNormal="100" workbookViewId="0">
      <selection activeCell="B30" sqref="B30"/>
    </sheetView>
  </sheetViews>
  <sheetFormatPr defaultRowHeight="15" x14ac:dyDescent="0.25"/>
  <cols>
    <col min="1" max="1" width="6.140625" style="747" customWidth="1"/>
    <col min="2" max="2" width="61.7109375" style="636" customWidth="1"/>
    <col min="3" max="3" width="12.7109375" style="636" customWidth="1"/>
    <col min="4" max="4" width="13.28515625" style="636" customWidth="1"/>
    <col min="5" max="5" width="12.5703125" style="636" customWidth="1"/>
    <col min="6" max="6" width="6.28515625" style="747" customWidth="1"/>
    <col min="7" max="7" width="49.140625" style="636" customWidth="1"/>
    <col min="8" max="8" width="13.42578125" style="636" customWidth="1"/>
    <col min="9" max="9" width="13.140625" style="636" customWidth="1"/>
    <col min="10" max="10" width="13" style="636" customWidth="1"/>
    <col min="11" max="16384" width="9.140625" style="636"/>
  </cols>
  <sheetData>
    <row r="1" spans="1:10" x14ac:dyDescent="0.25">
      <c r="A1" s="742"/>
      <c r="B1" s="635"/>
      <c r="C1" s="635"/>
      <c r="D1" s="635"/>
      <c r="E1" s="635"/>
      <c r="F1" s="742"/>
      <c r="G1" s="635"/>
      <c r="H1" s="635"/>
      <c r="I1" s="635"/>
      <c r="J1" s="85" t="s">
        <v>1066</v>
      </c>
    </row>
    <row r="2" spans="1:10" x14ac:dyDescent="0.25">
      <c r="A2" s="742"/>
      <c r="B2" s="635"/>
      <c r="C2" s="635"/>
      <c r="D2" s="635"/>
      <c r="E2" s="635"/>
      <c r="F2" s="742"/>
      <c r="G2" s="635"/>
      <c r="H2" s="635"/>
      <c r="I2" s="635"/>
      <c r="J2" s="181" t="s">
        <v>1375</v>
      </c>
    </row>
    <row r="3" spans="1:10" x14ac:dyDescent="0.25">
      <c r="A3" s="742"/>
      <c r="B3" s="635"/>
      <c r="C3" s="635"/>
      <c r="D3" s="635"/>
      <c r="E3" s="635"/>
      <c r="F3" s="742"/>
      <c r="G3" s="635"/>
      <c r="H3" s="635"/>
      <c r="I3" s="635"/>
    </row>
    <row r="4" spans="1:10" ht="39" customHeight="1" x14ac:dyDescent="0.25">
      <c r="A4" s="742"/>
      <c r="B4" s="890" t="s">
        <v>1309</v>
      </c>
      <c r="C4" s="891"/>
      <c r="D4" s="891"/>
      <c r="E4" s="891"/>
      <c r="F4" s="891"/>
      <c r="G4" s="891"/>
      <c r="H4" s="891"/>
      <c r="I4" s="891"/>
      <c r="J4" s="637"/>
    </row>
    <row r="5" spans="1:10" x14ac:dyDescent="0.25">
      <c r="A5" s="742"/>
      <c r="B5" s="638"/>
      <c r="C5" s="638"/>
      <c r="D5" s="637"/>
      <c r="E5" s="637"/>
      <c r="F5" s="743"/>
      <c r="G5" s="639"/>
      <c r="H5" s="639"/>
      <c r="I5" s="639"/>
      <c r="J5" s="637" t="s">
        <v>0</v>
      </c>
    </row>
    <row r="6" spans="1:10" ht="41.25" customHeight="1" x14ac:dyDescent="0.25">
      <c r="A6" s="744"/>
      <c r="B6" s="741" t="s">
        <v>1067</v>
      </c>
      <c r="C6" s="741" t="s">
        <v>883</v>
      </c>
      <c r="D6" s="741" t="s">
        <v>1303</v>
      </c>
      <c r="E6" s="741" t="s">
        <v>1304</v>
      </c>
      <c r="F6" s="744"/>
      <c r="G6" s="741" t="s">
        <v>1068</v>
      </c>
      <c r="H6" s="741" t="str">
        <f>C6</f>
        <v>2023. évi eredeti előirányzat</v>
      </c>
      <c r="I6" s="741" t="str">
        <f>D6</f>
        <v>2022. évi várható teljesítés</v>
      </c>
      <c r="J6" s="741" t="str">
        <f>E6</f>
        <v>2021. évi
 teljesítés</v>
      </c>
    </row>
    <row r="7" spans="1:10" x14ac:dyDescent="0.25">
      <c r="A7" s="745"/>
      <c r="B7" s="640" t="s">
        <v>1069</v>
      </c>
      <c r="C7" s="641">
        <f>SUM(C8+C14)</f>
        <v>1296950</v>
      </c>
      <c r="D7" s="641">
        <f t="shared" ref="D7:E7" si="0">SUM(D8+D14)</f>
        <v>1838375</v>
      </c>
      <c r="E7" s="641">
        <f t="shared" si="0"/>
        <v>1062363</v>
      </c>
      <c r="F7" s="745"/>
      <c r="G7" s="640" t="s">
        <v>1070</v>
      </c>
      <c r="H7" s="641">
        <f>SUM(H8+H14)</f>
        <v>1943218</v>
      </c>
      <c r="I7" s="641">
        <f>SUM(I8+I14)</f>
        <v>2197456</v>
      </c>
      <c r="J7" s="641">
        <f>SUM(J8+J14)</f>
        <v>1247451</v>
      </c>
    </row>
    <row r="8" spans="1:10" x14ac:dyDescent="0.25">
      <c r="A8" s="745"/>
      <c r="B8" s="642" t="s">
        <v>1071</v>
      </c>
      <c r="C8" s="643">
        <f>SUM(C9:C12)</f>
        <v>1275250</v>
      </c>
      <c r="D8" s="643">
        <f t="shared" ref="D8:E8" si="1">SUM(D9:D12)</f>
        <v>1160932</v>
      </c>
      <c r="E8" s="643">
        <f t="shared" si="1"/>
        <v>967067</v>
      </c>
      <c r="F8" s="745"/>
      <c r="G8" s="642" t="s">
        <v>1072</v>
      </c>
      <c r="H8" s="643">
        <f>SUM(H9:H13)</f>
        <v>1412678</v>
      </c>
      <c r="I8" s="643">
        <f>SUM(I9:I13)</f>
        <v>1102309</v>
      </c>
      <c r="J8" s="643">
        <f>SUM(J9:J13)</f>
        <v>856712</v>
      </c>
    </row>
    <row r="9" spans="1:10" x14ac:dyDescent="0.25">
      <c r="A9" s="745" t="s">
        <v>120</v>
      </c>
      <c r="B9" s="645" t="s">
        <v>1073</v>
      </c>
      <c r="C9" s="646">
        <f>'1.Bev-kiad.'!C9</f>
        <v>607198</v>
      </c>
      <c r="D9" s="646">
        <v>596478</v>
      </c>
      <c r="E9" s="646">
        <v>507122</v>
      </c>
      <c r="F9" s="746" t="s">
        <v>216</v>
      </c>
      <c r="G9" s="645" t="s">
        <v>1074</v>
      </c>
      <c r="H9" s="646">
        <f>'2.működés'!C114</f>
        <v>259913</v>
      </c>
      <c r="I9" s="646">
        <v>247950</v>
      </c>
      <c r="J9" s="646">
        <v>218807</v>
      </c>
    </row>
    <row r="10" spans="1:10" ht="25.5" x14ac:dyDescent="0.25">
      <c r="A10" s="745" t="s">
        <v>140</v>
      </c>
      <c r="B10" s="645" t="s">
        <v>1075</v>
      </c>
      <c r="C10" s="646">
        <f>'1.Bev-kiad.'!C22</f>
        <v>468980</v>
      </c>
      <c r="D10" s="646">
        <v>395071</v>
      </c>
      <c r="E10" s="646">
        <v>348204</v>
      </c>
      <c r="F10" s="746" t="s">
        <v>217</v>
      </c>
      <c r="G10" s="647" t="s">
        <v>1076</v>
      </c>
      <c r="H10" s="648">
        <f>'2.működés'!C117</f>
        <v>34055</v>
      </c>
      <c r="I10" s="648">
        <v>33332</v>
      </c>
      <c r="J10" s="648">
        <v>33368</v>
      </c>
    </row>
    <row r="11" spans="1:10" x14ac:dyDescent="0.25">
      <c r="A11" s="745" t="s">
        <v>151</v>
      </c>
      <c r="B11" s="645" t="s">
        <v>1077</v>
      </c>
      <c r="C11" s="646">
        <f>'1.Bev-kiad.'!C29</f>
        <v>159072</v>
      </c>
      <c r="D11" s="646">
        <v>145200</v>
      </c>
      <c r="E11" s="646">
        <v>71384</v>
      </c>
      <c r="F11" s="746" t="s">
        <v>218</v>
      </c>
      <c r="G11" s="647" t="s">
        <v>1078</v>
      </c>
      <c r="H11" s="648">
        <f>'2.működés'!C120</f>
        <v>480535</v>
      </c>
      <c r="I11" s="648">
        <v>372323</v>
      </c>
      <c r="J11" s="648">
        <v>214039</v>
      </c>
    </row>
    <row r="12" spans="1:10" x14ac:dyDescent="0.25">
      <c r="A12" s="745" t="s">
        <v>189</v>
      </c>
      <c r="B12" s="645" t="s">
        <v>1079</v>
      </c>
      <c r="C12" s="646">
        <f>'1.Bev-kiad.'!C46</f>
        <v>40000</v>
      </c>
      <c r="D12" s="646">
        <v>24183</v>
      </c>
      <c r="E12" s="646">
        <v>40357</v>
      </c>
      <c r="F12" s="746" t="s">
        <v>219</v>
      </c>
      <c r="G12" s="647" t="s">
        <v>1080</v>
      </c>
      <c r="H12" s="648">
        <f>'2.működés'!C123</f>
        <v>11500</v>
      </c>
      <c r="I12" s="648">
        <v>11392</v>
      </c>
      <c r="J12" s="648">
        <v>10004</v>
      </c>
    </row>
    <row r="13" spans="1:10" x14ac:dyDescent="0.25">
      <c r="A13" s="745"/>
      <c r="B13" s="645"/>
      <c r="C13" s="649"/>
      <c r="D13" s="649"/>
      <c r="E13" s="649"/>
      <c r="F13" s="746" t="s">
        <v>220</v>
      </c>
      <c r="G13" s="647" t="s">
        <v>1081</v>
      </c>
      <c r="H13" s="648">
        <f>'2.működés'!C124</f>
        <v>626675</v>
      </c>
      <c r="I13" s="648">
        <v>437312</v>
      </c>
      <c r="J13" s="648">
        <v>380494</v>
      </c>
    </row>
    <row r="14" spans="1:10" x14ac:dyDescent="0.25">
      <c r="A14" s="745"/>
      <c r="B14" s="642" t="s">
        <v>1082</v>
      </c>
      <c r="C14" s="643">
        <f>SUM(C15:C17)</f>
        <v>21700</v>
      </c>
      <c r="D14" s="643">
        <f t="shared" ref="D14:E14" si="2">SUM(D15:D17)</f>
        <v>677443</v>
      </c>
      <c r="E14" s="643">
        <f t="shared" si="2"/>
        <v>95296</v>
      </c>
      <c r="F14" s="746"/>
      <c r="G14" s="642" t="s">
        <v>1083</v>
      </c>
      <c r="H14" s="643">
        <f>SUM(H15:H17)</f>
        <v>530540</v>
      </c>
      <c r="I14" s="643">
        <f>SUM(I15:I17)</f>
        <v>1095147</v>
      </c>
      <c r="J14" s="643">
        <f>SUM(J15:J17)</f>
        <v>390739</v>
      </c>
    </row>
    <row r="15" spans="1:10" x14ac:dyDescent="0.25">
      <c r="A15" s="745" t="s">
        <v>131</v>
      </c>
      <c r="B15" s="645" t="s">
        <v>1084</v>
      </c>
      <c r="C15" s="646">
        <f>'1.Bev-kiad.'!C16</f>
        <v>10900</v>
      </c>
      <c r="D15" s="646">
        <v>642498</v>
      </c>
      <c r="E15" s="646">
        <v>38365</v>
      </c>
      <c r="F15" s="746" t="s">
        <v>252</v>
      </c>
      <c r="G15" s="645" t="s">
        <v>64</v>
      </c>
      <c r="H15" s="646">
        <f>'3.felh'!C44</f>
        <v>5648</v>
      </c>
      <c r="I15" s="646">
        <v>443009</v>
      </c>
      <c r="J15" s="646">
        <v>133864</v>
      </c>
    </row>
    <row r="16" spans="1:10" x14ac:dyDescent="0.25">
      <c r="A16" s="745" t="s">
        <v>178</v>
      </c>
      <c r="B16" s="645" t="s">
        <v>1085</v>
      </c>
      <c r="C16" s="646">
        <f>'1.Bev-kiad.'!C40</f>
        <v>500</v>
      </c>
      <c r="D16" s="646">
        <v>24651</v>
      </c>
      <c r="E16" s="646">
        <v>46637</v>
      </c>
      <c r="F16" s="746" t="s">
        <v>355</v>
      </c>
      <c r="G16" s="645" t="s">
        <v>65</v>
      </c>
      <c r="H16" s="646">
        <f>'3.felh'!C66</f>
        <v>444892</v>
      </c>
      <c r="I16" s="646">
        <v>651776</v>
      </c>
      <c r="J16" s="646">
        <v>251855</v>
      </c>
    </row>
    <row r="17" spans="1:10" x14ac:dyDescent="0.25">
      <c r="A17" s="745" t="s">
        <v>190</v>
      </c>
      <c r="B17" s="645" t="s">
        <v>1086</v>
      </c>
      <c r="C17" s="646">
        <f>'1.Bev-kiad.'!C50</f>
        <v>10300</v>
      </c>
      <c r="D17" s="646">
        <v>10294</v>
      </c>
      <c r="E17" s="646">
        <v>10294</v>
      </c>
      <c r="F17" s="746" t="s">
        <v>354</v>
      </c>
      <c r="G17" s="645" t="s">
        <v>1087</v>
      </c>
      <c r="H17" s="646">
        <f>'3.felh'!C82</f>
        <v>80000</v>
      </c>
      <c r="I17" s="646">
        <v>362</v>
      </c>
      <c r="J17" s="646">
        <v>5020</v>
      </c>
    </row>
    <row r="18" spans="1:10" x14ac:dyDescent="0.25">
      <c r="A18" s="745" t="s">
        <v>771</v>
      </c>
      <c r="B18" s="650" t="s">
        <v>1088</v>
      </c>
      <c r="C18" s="643">
        <f>SUM(C24+C19)</f>
        <v>724264</v>
      </c>
      <c r="D18" s="643">
        <f t="shared" ref="D18:E18" si="3">SUM(D24+D19)</f>
        <v>1157416</v>
      </c>
      <c r="E18" s="643">
        <f t="shared" si="3"/>
        <v>1015816</v>
      </c>
      <c r="F18" s="746" t="s">
        <v>206</v>
      </c>
      <c r="G18" s="650" t="s">
        <v>1089</v>
      </c>
      <c r="H18" s="643">
        <f>SUM(H19)</f>
        <v>77996</v>
      </c>
      <c r="I18" s="643">
        <f>SUM(I19)</f>
        <v>74071</v>
      </c>
      <c r="J18" s="643">
        <f>SUM(J19)</f>
        <v>35152</v>
      </c>
    </row>
    <row r="19" spans="1:10" x14ac:dyDescent="0.25">
      <c r="A19" s="745"/>
      <c r="B19" s="642" t="s">
        <v>1090</v>
      </c>
      <c r="C19" s="643">
        <f>SUM(C20)</f>
        <v>724264</v>
      </c>
      <c r="D19" s="643">
        <f>SUM(D20+D23)</f>
        <v>815416</v>
      </c>
      <c r="E19" s="643">
        <f>SUM(E20)+E23</f>
        <v>1015816</v>
      </c>
      <c r="F19" s="746"/>
      <c r="G19" s="642" t="s">
        <v>1091</v>
      </c>
      <c r="H19" s="643">
        <f>SUM(H20:H21)</f>
        <v>77996</v>
      </c>
      <c r="I19" s="643">
        <f>SUM(I20:I21)</f>
        <v>74071</v>
      </c>
      <c r="J19" s="643">
        <f>SUM(J20:J21)</f>
        <v>35152</v>
      </c>
    </row>
    <row r="20" spans="1:10" x14ac:dyDescent="0.25">
      <c r="A20" s="745"/>
      <c r="B20" s="645" t="s">
        <v>1092</v>
      </c>
      <c r="C20" s="646">
        <f>SUM(C21:C22)</f>
        <v>724264</v>
      </c>
      <c r="D20" s="646">
        <f t="shared" ref="D20" si="4">SUM(D21:D22)</f>
        <v>795576</v>
      </c>
      <c r="E20" s="646">
        <f>SUM(E21:E22)</f>
        <v>999900</v>
      </c>
      <c r="F20" s="746" t="s">
        <v>385</v>
      </c>
      <c r="G20" s="651" t="s">
        <v>389</v>
      </c>
      <c r="H20" s="652">
        <f>'2.működés'!C130</f>
        <v>19840</v>
      </c>
      <c r="I20" s="652">
        <v>15915</v>
      </c>
      <c r="J20" s="652">
        <v>14996</v>
      </c>
    </row>
    <row r="21" spans="1:10" x14ac:dyDescent="0.25">
      <c r="A21" s="745"/>
      <c r="B21" s="653" t="s">
        <v>423</v>
      </c>
      <c r="C21" s="646">
        <f>'1.Bev-kiad.'!C57</f>
        <v>205553</v>
      </c>
      <c r="D21" s="646">
        <v>220868</v>
      </c>
      <c r="E21" s="646">
        <v>270035</v>
      </c>
      <c r="F21" s="746"/>
      <c r="G21" s="654" t="s">
        <v>1093</v>
      </c>
      <c r="H21" s="646">
        <f>'3.felh'!C90</f>
        <v>58156</v>
      </c>
      <c r="I21" s="646">
        <v>58156</v>
      </c>
      <c r="J21" s="646">
        <v>20156</v>
      </c>
    </row>
    <row r="22" spans="1:10" x14ac:dyDescent="0.25">
      <c r="A22" s="745"/>
      <c r="B22" s="653" t="s">
        <v>1094</v>
      </c>
      <c r="C22" s="646">
        <f>'1.Bev-kiad.'!C58</f>
        <v>518711</v>
      </c>
      <c r="D22" s="646">
        <v>574708</v>
      </c>
      <c r="E22" s="646">
        <v>729865</v>
      </c>
      <c r="F22" s="746"/>
      <c r="G22" s="642" t="s">
        <v>1095</v>
      </c>
      <c r="H22" s="644">
        <v>0</v>
      </c>
      <c r="I22" s="643">
        <v>0</v>
      </c>
      <c r="J22" s="643">
        <v>0</v>
      </c>
    </row>
    <row r="23" spans="1:10" x14ac:dyDescent="0.25">
      <c r="A23" s="745"/>
      <c r="B23" s="649" t="s">
        <v>1096</v>
      </c>
      <c r="C23" s="655" t="s">
        <v>66</v>
      </c>
      <c r="D23" s="656">
        <v>19840</v>
      </c>
      <c r="E23" s="646">
        <v>15916</v>
      </c>
      <c r="F23" s="746"/>
      <c r="G23" s="642"/>
      <c r="H23" s="644"/>
      <c r="I23" s="643"/>
      <c r="J23" s="643"/>
    </row>
    <row r="24" spans="1:10" x14ac:dyDescent="0.25">
      <c r="A24" s="745"/>
      <c r="B24" s="642" t="s">
        <v>1097</v>
      </c>
      <c r="C24" s="643">
        <v>0</v>
      </c>
      <c r="D24" s="643">
        <v>342000</v>
      </c>
      <c r="E24" s="643">
        <v>0</v>
      </c>
      <c r="F24" s="746"/>
      <c r="G24" s="642"/>
      <c r="H24" s="644"/>
      <c r="I24" s="643"/>
      <c r="J24" s="643"/>
    </row>
    <row r="25" spans="1:10" x14ac:dyDescent="0.25">
      <c r="A25" s="745"/>
      <c r="B25" s="640" t="s">
        <v>373</v>
      </c>
      <c r="C25" s="641">
        <f>SUM(C7+C18)</f>
        <v>2021214</v>
      </c>
      <c r="D25" s="641">
        <f t="shared" ref="D25:E25" si="5">SUM(D7+D18)</f>
        <v>2995791</v>
      </c>
      <c r="E25" s="641">
        <f t="shared" si="5"/>
        <v>2078179</v>
      </c>
      <c r="F25" s="745"/>
      <c r="G25" s="640" t="s">
        <v>55</v>
      </c>
      <c r="H25" s="641">
        <f>SUM(H7+H18)</f>
        <v>2021214</v>
      </c>
      <c r="I25" s="641">
        <f>SUM(I7+I18)</f>
        <v>2271527</v>
      </c>
      <c r="J25" s="641">
        <f>SUM(J7+J18)</f>
        <v>1282603</v>
      </c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40"/>
  <sheetViews>
    <sheetView zoomScale="80" zoomScaleNormal="80" zoomScaleSheetLayoutView="84" workbookViewId="0">
      <selection activeCell="J6" sqref="J6"/>
    </sheetView>
  </sheetViews>
  <sheetFormatPr defaultRowHeight="12.75" x14ac:dyDescent="0.2"/>
  <cols>
    <col min="1" max="1" width="14.42578125" customWidth="1"/>
    <col min="2" max="2" width="12.140625" customWidth="1"/>
    <col min="3" max="3" width="9.42578125" customWidth="1"/>
    <col min="4" max="5" width="9.28515625" customWidth="1"/>
    <col min="6" max="6" width="8.5703125" customWidth="1"/>
    <col min="7" max="7" width="8.140625" customWidth="1"/>
    <col min="8" max="8" width="9.5703125" customWidth="1"/>
    <col min="9" max="9" width="14.140625" customWidth="1"/>
    <col min="10" max="10" width="8" customWidth="1"/>
    <col min="11" max="11" width="9.140625" hidden="1" customWidth="1"/>
    <col min="12" max="12" width="9.140625" customWidth="1"/>
    <col min="13" max="13" width="12.5703125" customWidth="1"/>
    <col min="14" max="14" width="9.28515625" bestFit="1" customWidth="1"/>
    <col min="15" max="15" width="10" customWidth="1"/>
    <col min="16" max="16" width="12.28515625" style="730" customWidth="1"/>
    <col min="17" max="17" width="11" customWidth="1"/>
    <col min="18" max="18" width="11.85546875" customWidth="1"/>
    <col min="19" max="19" width="8" style="76" customWidth="1"/>
    <col min="20" max="20" width="8.42578125" customWidth="1"/>
    <col min="21" max="21" width="10.140625" customWidth="1"/>
    <col min="257" max="257" width="14.42578125" customWidth="1"/>
    <col min="258" max="258" width="12.140625" customWidth="1"/>
    <col min="259" max="259" width="9.42578125" customWidth="1"/>
    <col min="260" max="261" width="9.28515625" customWidth="1"/>
    <col min="262" max="262" width="8.5703125" customWidth="1"/>
    <col min="263" max="263" width="8.140625" customWidth="1"/>
    <col min="264" max="264" width="9.5703125" customWidth="1"/>
    <col min="265" max="265" width="14.140625" customWidth="1"/>
    <col min="266" max="266" width="8" customWidth="1"/>
    <col min="267" max="267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8.42578125" customWidth="1"/>
    <col min="277" max="277" width="10.140625" customWidth="1"/>
    <col min="513" max="513" width="14.42578125" customWidth="1"/>
    <col min="514" max="514" width="12.140625" customWidth="1"/>
    <col min="515" max="515" width="9.42578125" customWidth="1"/>
    <col min="516" max="517" width="9.28515625" customWidth="1"/>
    <col min="518" max="518" width="8.5703125" customWidth="1"/>
    <col min="519" max="519" width="8.140625" customWidth="1"/>
    <col min="520" max="520" width="9.5703125" customWidth="1"/>
    <col min="521" max="521" width="14.140625" customWidth="1"/>
    <col min="522" max="522" width="8" customWidth="1"/>
    <col min="523" max="523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8.42578125" customWidth="1"/>
    <col min="533" max="533" width="10.140625" customWidth="1"/>
    <col min="769" max="769" width="14.42578125" customWidth="1"/>
    <col min="770" max="770" width="12.140625" customWidth="1"/>
    <col min="771" max="771" width="9.42578125" customWidth="1"/>
    <col min="772" max="773" width="9.28515625" customWidth="1"/>
    <col min="774" max="774" width="8.5703125" customWidth="1"/>
    <col min="775" max="775" width="8.140625" customWidth="1"/>
    <col min="776" max="776" width="9.5703125" customWidth="1"/>
    <col min="777" max="777" width="14.140625" customWidth="1"/>
    <col min="778" max="778" width="8" customWidth="1"/>
    <col min="779" max="779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8.42578125" customWidth="1"/>
    <col min="789" max="789" width="10.140625" customWidth="1"/>
    <col min="1025" max="1025" width="14.42578125" customWidth="1"/>
    <col min="1026" max="1026" width="12.140625" customWidth="1"/>
    <col min="1027" max="1027" width="9.42578125" customWidth="1"/>
    <col min="1028" max="1029" width="9.28515625" customWidth="1"/>
    <col min="1030" max="1030" width="8.5703125" customWidth="1"/>
    <col min="1031" max="1031" width="8.140625" customWidth="1"/>
    <col min="1032" max="1032" width="9.5703125" customWidth="1"/>
    <col min="1033" max="1033" width="14.140625" customWidth="1"/>
    <col min="1034" max="1034" width="8" customWidth="1"/>
    <col min="1035" max="1035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8.42578125" customWidth="1"/>
    <col min="1045" max="1045" width="10.140625" customWidth="1"/>
    <col min="1281" max="1281" width="14.42578125" customWidth="1"/>
    <col min="1282" max="1282" width="12.140625" customWidth="1"/>
    <col min="1283" max="1283" width="9.42578125" customWidth="1"/>
    <col min="1284" max="1285" width="9.28515625" customWidth="1"/>
    <col min="1286" max="1286" width="8.5703125" customWidth="1"/>
    <col min="1287" max="1287" width="8.140625" customWidth="1"/>
    <col min="1288" max="1288" width="9.5703125" customWidth="1"/>
    <col min="1289" max="1289" width="14.140625" customWidth="1"/>
    <col min="1290" max="1290" width="8" customWidth="1"/>
    <col min="1291" max="1291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8.42578125" customWidth="1"/>
    <col min="1301" max="1301" width="10.140625" customWidth="1"/>
    <col min="1537" max="1537" width="14.42578125" customWidth="1"/>
    <col min="1538" max="1538" width="12.140625" customWidth="1"/>
    <col min="1539" max="1539" width="9.42578125" customWidth="1"/>
    <col min="1540" max="1541" width="9.28515625" customWidth="1"/>
    <col min="1542" max="1542" width="8.5703125" customWidth="1"/>
    <col min="1543" max="1543" width="8.140625" customWidth="1"/>
    <col min="1544" max="1544" width="9.5703125" customWidth="1"/>
    <col min="1545" max="1545" width="14.140625" customWidth="1"/>
    <col min="1546" max="1546" width="8" customWidth="1"/>
    <col min="1547" max="1547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8.42578125" customWidth="1"/>
    <col min="1557" max="1557" width="10.140625" customWidth="1"/>
    <col min="1793" max="1793" width="14.42578125" customWidth="1"/>
    <col min="1794" max="1794" width="12.140625" customWidth="1"/>
    <col min="1795" max="1795" width="9.42578125" customWidth="1"/>
    <col min="1796" max="1797" width="9.28515625" customWidth="1"/>
    <col min="1798" max="1798" width="8.5703125" customWidth="1"/>
    <col min="1799" max="1799" width="8.140625" customWidth="1"/>
    <col min="1800" max="1800" width="9.5703125" customWidth="1"/>
    <col min="1801" max="1801" width="14.140625" customWidth="1"/>
    <col min="1802" max="1802" width="8" customWidth="1"/>
    <col min="1803" max="1803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8.42578125" customWidth="1"/>
    <col min="1813" max="1813" width="10.140625" customWidth="1"/>
    <col min="2049" max="2049" width="14.42578125" customWidth="1"/>
    <col min="2050" max="2050" width="12.140625" customWidth="1"/>
    <col min="2051" max="2051" width="9.42578125" customWidth="1"/>
    <col min="2052" max="2053" width="9.28515625" customWidth="1"/>
    <col min="2054" max="2054" width="8.5703125" customWidth="1"/>
    <col min="2055" max="2055" width="8.140625" customWidth="1"/>
    <col min="2056" max="2056" width="9.5703125" customWidth="1"/>
    <col min="2057" max="2057" width="14.140625" customWidth="1"/>
    <col min="2058" max="2058" width="8" customWidth="1"/>
    <col min="2059" max="2059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8.42578125" customWidth="1"/>
    <col min="2069" max="2069" width="10.140625" customWidth="1"/>
    <col min="2305" max="2305" width="14.42578125" customWidth="1"/>
    <col min="2306" max="2306" width="12.140625" customWidth="1"/>
    <col min="2307" max="2307" width="9.42578125" customWidth="1"/>
    <col min="2308" max="2309" width="9.28515625" customWidth="1"/>
    <col min="2310" max="2310" width="8.5703125" customWidth="1"/>
    <col min="2311" max="2311" width="8.140625" customWidth="1"/>
    <col min="2312" max="2312" width="9.5703125" customWidth="1"/>
    <col min="2313" max="2313" width="14.140625" customWidth="1"/>
    <col min="2314" max="2314" width="8" customWidth="1"/>
    <col min="2315" max="2315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8.42578125" customWidth="1"/>
    <col min="2325" max="2325" width="10.140625" customWidth="1"/>
    <col min="2561" max="2561" width="14.42578125" customWidth="1"/>
    <col min="2562" max="2562" width="12.140625" customWidth="1"/>
    <col min="2563" max="2563" width="9.42578125" customWidth="1"/>
    <col min="2564" max="2565" width="9.28515625" customWidth="1"/>
    <col min="2566" max="2566" width="8.5703125" customWidth="1"/>
    <col min="2567" max="2567" width="8.140625" customWidth="1"/>
    <col min="2568" max="2568" width="9.5703125" customWidth="1"/>
    <col min="2569" max="2569" width="14.140625" customWidth="1"/>
    <col min="2570" max="2570" width="8" customWidth="1"/>
    <col min="2571" max="2571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8.42578125" customWidth="1"/>
    <col min="2581" max="2581" width="10.140625" customWidth="1"/>
    <col min="2817" max="2817" width="14.42578125" customWidth="1"/>
    <col min="2818" max="2818" width="12.140625" customWidth="1"/>
    <col min="2819" max="2819" width="9.42578125" customWidth="1"/>
    <col min="2820" max="2821" width="9.28515625" customWidth="1"/>
    <col min="2822" max="2822" width="8.5703125" customWidth="1"/>
    <col min="2823" max="2823" width="8.140625" customWidth="1"/>
    <col min="2824" max="2824" width="9.5703125" customWidth="1"/>
    <col min="2825" max="2825" width="14.140625" customWidth="1"/>
    <col min="2826" max="2826" width="8" customWidth="1"/>
    <col min="2827" max="2827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8.42578125" customWidth="1"/>
    <col min="2837" max="2837" width="10.140625" customWidth="1"/>
    <col min="3073" max="3073" width="14.42578125" customWidth="1"/>
    <col min="3074" max="3074" width="12.140625" customWidth="1"/>
    <col min="3075" max="3075" width="9.42578125" customWidth="1"/>
    <col min="3076" max="3077" width="9.28515625" customWidth="1"/>
    <col min="3078" max="3078" width="8.5703125" customWidth="1"/>
    <col min="3079" max="3079" width="8.140625" customWidth="1"/>
    <col min="3080" max="3080" width="9.5703125" customWidth="1"/>
    <col min="3081" max="3081" width="14.140625" customWidth="1"/>
    <col min="3082" max="3082" width="8" customWidth="1"/>
    <col min="3083" max="3083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8.42578125" customWidth="1"/>
    <col min="3093" max="3093" width="10.140625" customWidth="1"/>
    <col min="3329" max="3329" width="14.42578125" customWidth="1"/>
    <col min="3330" max="3330" width="12.140625" customWidth="1"/>
    <col min="3331" max="3331" width="9.42578125" customWidth="1"/>
    <col min="3332" max="3333" width="9.28515625" customWidth="1"/>
    <col min="3334" max="3334" width="8.5703125" customWidth="1"/>
    <col min="3335" max="3335" width="8.140625" customWidth="1"/>
    <col min="3336" max="3336" width="9.5703125" customWidth="1"/>
    <col min="3337" max="3337" width="14.140625" customWidth="1"/>
    <col min="3338" max="3338" width="8" customWidth="1"/>
    <col min="3339" max="3339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8.42578125" customWidth="1"/>
    <col min="3349" max="3349" width="10.140625" customWidth="1"/>
    <col min="3585" max="3585" width="14.42578125" customWidth="1"/>
    <col min="3586" max="3586" width="12.140625" customWidth="1"/>
    <col min="3587" max="3587" width="9.42578125" customWidth="1"/>
    <col min="3588" max="3589" width="9.28515625" customWidth="1"/>
    <col min="3590" max="3590" width="8.5703125" customWidth="1"/>
    <col min="3591" max="3591" width="8.140625" customWidth="1"/>
    <col min="3592" max="3592" width="9.5703125" customWidth="1"/>
    <col min="3593" max="3593" width="14.140625" customWidth="1"/>
    <col min="3594" max="3594" width="8" customWidth="1"/>
    <col min="3595" max="3595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8.42578125" customWidth="1"/>
    <col min="3605" max="3605" width="10.140625" customWidth="1"/>
    <col min="3841" max="3841" width="14.42578125" customWidth="1"/>
    <col min="3842" max="3842" width="12.140625" customWidth="1"/>
    <col min="3843" max="3843" width="9.42578125" customWidth="1"/>
    <col min="3844" max="3845" width="9.28515625" customWidth="1"/>
    <col min="3846" max="3846" width="8.5703125" customWidth="1"/>
    <col min="3847" max="3847" width="8.140625" customWidth="1"/>
    <col min="3848" max="3848" width="9.5703125" customWidth="1"/>
    <col min="3849" max="3849" width="14.140625" customWidth="1"/>
    <col min="3850" max="3850" width="8" customWidth="1"/>
    <col min="3851" max="3851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8.42578125" customWidth="1"/>
    <col min="3861" max="3861" width="10.140625" customWidth="1"/>
    <col min="4097" max="4097" width="14.42578125" customWidth="1"/>
    <col min="4098" max="4098" width="12.140625" customWidth="1"/>
    <col min="4099" max="4099" width="9.42578125" customWidth="1"/>
    <col min="4100" max="4101" width="9.28515625" customWidth="1"/>
    <col min="4102" max="4102" width="8.5703125" customWidth="1"/>
    <col min="4103" max="4103" width="8.140625" customWidth="1"/>
    <col min="4104" max="4104" width="9.5703125" customWidth="1"/>
    <col min="4105" max="4105" width="14.140625" customWidth="1"/>
    <col min="4106" max="4106" width="8" customWidth="1"/>
    <col min="4107" max="4107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8.42578125" customWidth="1"/>
    <col min="4117" max="4117" width="10.140625" customWidth="1"/>
    <col min="4353" max="4353" width="14.42578125" customWidth="1"/>
    <col min="4354" max="4354" width="12.140625" customWidth="1"/>
    <col min="4355" max="4355" width="9.42578125" customWidth="1"/>
    <col min="4356" max="4357" width="9.28515625" customWidth="1"/>
    <col min="4358" max="4358" width="8.5703125" customWidth="1"/>
    <col min="4359" max="4359" width="8.140625" customWidth="1"/>
    <col min="4360" max="4360" width="9.5703125" customWidth="1"/>
    <col min="4361" max="4361" width="14.140625" customWidth="1"/>
    <col min="4362" max="4362" width="8" customWidth="1"/>
    <col min="4363" max="4363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8.42578125" customWidth="1"/>
    <col min="4373" max="4373" width="10.140625" customWidth="1"/>
    <col min="4609" max="4609" width="14.42578125" customWidth="1"/>
    <col min="4610" max="4610" width="12.140625" customWidth="1"/>
    <col min="4611" max="4611" width="9.42578125" customWidth="1"/>
    <col min="4612" max="4613" width="9.28515625" customWidth="1"/>
    <col min="4614" max="4614" width="8.5703125" customWidth="1"/>
    <col min="4615" max="4615" width="8.140625" customWidth="1"/>
    <col min="4616" max="4616" width="9.5703125" customWidth="1"/>
    <col min="4617" max="4617" width="14.140625" customWidth="1"/>
    <col min="4618" max="4618" width="8" customWidth="1"/>
    <col min="4619" max="4619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8.42578125" customWidth="1"/>
    <col min="4629" max="4629" width="10.140625" customWidth="1"/>
    <col min="4865" max="4865" width="14.42578125" customWidth="1"/>
    <col min="4866" max="4866" width="12.140625" customWidth="1"/>
    <col min="4867" max="4867" width="9.42578125" customWidth="1"/>
    <col min="4868" max="4869" width="9.28515625" customWidth="1"/>
    <col min="4870" max="4870" width="8.5703125" customWidth="1"/>
    <col min="4871" max="4871" width="8.140625" customWidth="1"/>
    <col min="4872" max="4872" width="9.5703125" customWidth="1"/>
    <col min="4873" max="4873" width="14.140625" customWidth="1"/>
    <col min="4874" max="4874" width="8" customWidth="1"/>
    <col min="4875" max="4875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8.42578125" customWidth="1"/>
    <col min="4885" max="4885" width="10.140625" customWidth="1"/>
    <col min="5121" max="5121" width="14.42578125" customWidth="1"/>
    <col min="5122" max="5122" width="12.140625" customWidth="1"/>
    <col min="5123" max="5123" width="9.42578125" customWidth="1"/>
    <col min="5124" max="5125" width="9.28515625" customWidth="1"/>
    <col min="5126" max="5126" width="8.5703125" customWidth="1"/>
    <col min="5127" max="5127" width="8.140625" customWidth="1"/>
    <col min="5128" max="5128" width="9.5703125" customWidth="1"/>
    <col min="5129" max="5129" width="14.140625" customWidth="1"/>
    <col min="5130" max="5130" width="8" customWidth="1"/>
    <col min="5131" max="5131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8.42578125" customWidth="1"/>
    <col min="5141" max="5141" width="10.140625" customWidth="1"/>
    <col min="5377" max="5377" width="14.42578125" customWidth="1"/>
    <col min="5378" max="5378" width="12.140625" customWidth="1"/>
    <col min="5379" max="5379" width="9.42578125" customWidth="1"/>
    <col min="5380" max="5381" width="9.28515625" customWidth="1"/>
    <col min="5382" max="5382" width="8.5703125" customWidth="1"/>
    <col min="5383" max="5383" width="8.140625" customWidth="1"/>
    <col min="5384" max="5384" width="9.5703125" customWidth="1"/>
    <col min="5385" max="5385" width="14.140625" customWidth="1"/>
    <col min="5386" max="5386" width="8" customWidth="1"/>
    <col min="5387" max="5387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8.42578125" customWidth="1"/>
    <col min="5397" max="5397" width="10.140625" customWidth="1"/>
    <col min="5633" max="5633" width="14.42578125" customWidth="1"/>
    <col min="5634" max="5634" width="12.140625" customWidth="1"/>
    <col min="5635" max="5635" width="9.42578125" customWidth="1"/>
    <col min="5636" max="5637" width="9.28515625" customWidth="1"/>
    <col min="5638" max="5638" width="8.5703125" customWidth="1"/>
    <col min="5639" max="5639" width="8.140625" customWidth="1"/>
    <col min="5640" max="5640" width="9.5703125" customWidth="1"/>
    <col min="5641" max="5641" width="14.140625" customWidth="1"/>
    <col min="5642" max="5642" width="8" customWidth="1"/>
    <col min="5643" max="5643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8.42578125" customWidth="1"/>
    <col min="5653" max="5653" width="10.140625" customWidth="1"/>
    <col min="5889" max="5889" width="14.42578125" customWidth="1"/>
    <col min="5890" max="5890" width="12.140625" customWidth="1"/>
    <col min="5891" max="5891" width="9.42578125" customWidth="1"/>
    <col min="5892" max="5893" width="9.28515625" customWidth="1"/>
    <col min="5894" max="5894" width="8.5703125" customWidth="1"/>
    <col min="5895" max="5895" width="8.140625" customWidth="1"/>
    <col min="5896" max="5896" width="9.5703125" customWidth="1"/>
    <col min="5897" max="5897" width="14.140625" customWidth="1"/>
    <col min="5898" max="5898" width="8" customWidth="1"/>
    <col min="5899" max="5899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8.42578125" customWidth="1"/>
    <col min="5909" max="5909" width="10.140625" customWidth="1"/>
    <col min="6145" max="6145" width="14.42578125" customWidth="1"/>
    <col min="6146" max="6146" width="12.140625" customWidth="1"/>
    <col min="6147" max="6147" width="9.42578125" customWidth="1"/>
    <col min="6148" max="6149" width="9.28515625" customWidth="1"/>
    <col min="6150" max="6150" width="8.5703125" customWidth="1"/>
    <col min="6151" max="6151" width="8.140625" customWidth="1"/>
    <col min="6152" max="6152" width="9.5703125" customWidth="1"/>
    <col min="6153" max="6153" width="14.140625" customWidth="1"/>
    <col min="6154" max="6154" width="8" customWidth="1"/>
    <col min="6155" max="6155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8.42578125" customWidth="1"/>
    <col min="6165" max="6165" width="10.140625" customWidth="1"/>
    <col min="6401" max="6401" width="14.42578125" customWidth="1"/>
    <col min="6402" max="6402" width="12.140625" customWidth="1"/>
    <col min="6403" max="6403" width="9.42578125" customWidth="1"/>
    <col min="6404" max="6405" width="9.28515625" customWidth="1"/>
    <col min="6406" max="6406" width="8.5703125" customWidth="1"/>
    <col min="6407" max="6407" width="8.140625" customWidth="1"/>
    <col min="6408" max="6408" width="9.5703125" customWidth="1"/>
    <col min="6409" max="6409" width="14.140625" customWidth="1"/>
    <col min="6410" max="6410" width="8" customWidth="1"/>
    <col min="6411" max="6411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8.42578125" customWidth="1"/>
    <col min="6421" max="6421" width="10.140625" customWidth="1"/>
    <col min="6657" max="6657" width="14.42578125" customWidth="1"/>
    <col min="6658" max="6658" width="12.140625" customWidth="1"/>
    <col min="6659" max="6659" width="9.42578125" customWidth="1"/>
    <col min="6660" max="6661" width="9.28515625" customWidth="1"/>
    <col min="6662" max="6662" width="8.5703125" customWidth="1"/>
    <col min="6663" max="6663" width="8.140625" customWidth="1"/>
    <col min="6664" max="6664" width="9.5703125" customWidth="1"/>
    <col min="6665" max="6665" width="14.140625" customWidth="1"/>
    <col min="6666" max="6666" width="8" customWidth="1"/>
    <col min="6667" max="6667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8.42578125" customWidth="1"/>
    <col min="6677" max="6677" width="10.140625" customWidth="1"/>
    <col min="6913" max="6913" width="14.42578125" customWidth="1"/>
    <col min="6914" max="6914" width="12.140625" customWidth="1"/>
    <col min="6915" max="6915" width="9.42578125" customWidth="1"/>
    <col min="6916" max="6917" width="9.28515625" customWidth="1"/>
    <col min="6918" max="6918" width="8.5703125" customWidth="1"/>
    <col min="6919" max="6919" width="8.140625" customWidth="1"/>
    <col min="6920" max="6920" width="9.5703125" customWidth="1"/>
    <col min="6921" max="6921" width="14.140625" customWidth="1"/>
    <col min="6922" max="6922" width="8" customWidth="1"/>
    <col min="6923" max="6923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8.42578125" customWidth="1"/>
    <col min="6933" max="6933" width="10.140625" customWidth="1"/>
    <col min="7169" max="7169" width="14.42578125" customWidth="1"/>
    <col min="7170" max="7170" width="12.140625" customWidth="1"/>
    <col min="7171" max="7171" width="9.42578125" customWidth="1"/>
    <col min="7172" max="7173" width="9.28515625" customWidth="1"/>
    <col min="7174" max="7174" width="8.5703125" customWidth="1"/>
    <col min="7175" max="7175" width="8.140625" customWidth="1"/>
    <col min="7176" max="7176" width="9.5703125" customWidth="1"/>
    <col min="7177" max="7177" width="14.140625" customWidth="1"/>
    <col min="7178" max="7178" width="8" customWidth="1"/>
    <col min="7179" max="7179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8.42578125" customWidth="1"/>
    <col min="7189" max="7189" width="10.140625" customWidth="1"/>
    <col min="7425" max="7425" width="14.42578125" customWidth="1"/>
    <col min="7426" max="7426" width="12.140625" customWidth="1"/>
    <col min="7427" max="7427" width="9.42578125" customWidth="1"/>
    <col min="7428" max="7429" width="9.28515625" customWidth="1"/>
    <col min="7430" max="7430" width="8.5703125" customWidth="1"/>
    <col min="7431" max="7431" width="8.140625" customWidth="1"/>
    <col min="7432" max="7432" width="9.5703125" customWidth="1"/>
    <col min="7433" max="7433" width="14.140625" customWidth="1"/>
    <col min="7434" max="7434" width="8" customWidth="1"/>
    <col min="7435" max="7435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8.42578125" customWidth="1"/>
    <col min="7445" max="7445" width="10.140625" customWidth="1"/>
    <col min="7681" max="7681" width="14.42578125" customWidth="1"/>
    <col min="7682" max="7682" width="12.140625" customWidth="1"/>
    <col min="7683" max="7683" width="9.42578125" customWidth="1"/>
    <col min="7684" max="7685" width="9.28515625" customWidth="1"/>
    <col min="7686" max="7686" width="8.5703125" customWidth="1"/>
    <col min="7687" max="7687" width="8.140625" customWidth="1"/>
    <col min="7688" max="7688" width="9.5703125" customWidth="1"/>
    <col min="7689" max="7689" width="14.140625" customWidth="1"/>
    <col min="7690" max="7690" width="8" customWidth="1"/>
    <col min="7691" max="7691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8.42578125" customWidth="1"/>
    <col min="7701" max="7701" width="10.140625" customWidth="1"/>
    <col min="7937" max="7937" width="14.42578125" customWidth="1"/>
    <col min="7938" max="7938" width="12.140625" customWidth="1"/>
    <col min="7939" max="7939" width="9.42578125" customWidth="1"/>
    <col min="7940" max="7941" width="9.28515625" customWidth="1"/>
    <col min="7942" max="7942" width="8.5703125" customWidth="1"/>
    <col min="7943" max="7943" width="8.140625" customWidth="1"/>
    <col min="7944" max="7944" width="9.5703125" customWidth="1"/>
    <col min="7945" max="7945" width="14.140625" customWidth="1"/>
    <col min="7946" max="7946" width="8" customWidth="1"/>
    <col min="7947" max="7947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8.42578125" customWidth="1"/>
    <col min="7957" max="7957" width="10.140625" customWidth="1"/>
    <col min="8193" max="8193" width="14.42578125" customWidth="1"/>
    <col min="8194" max="8194" width="12.140625" customWidth="1"/>
    <col min="8195" max="8195" width="9.42578125" customWidth="1"/>
    <col min="8196" max="8197" width="9.28515625" customWidth="1"/>
    <col min="8198" max="8198" width="8.5703125" customWidth="1"/>
    <col min="8199" max="8199" width="8.140625" customWidth="1"/>
    <col min="8200" max="8200" width="9.5703125" customWidth="1"/>
    <col min="8201" max="8201" width="14.140625" customWidth="1"/>
    <col min="8202" max="8202" width="8" customWidth="1"/>
    <col min="8203" max="8203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8.42578125" customWidth="1"/>
    <col min="8213" max="8213" width="10.140625" customWidth="1"/>
    <col min="8449" max="8449" width="14.42578125" customWidth="1"/>
    <col min="8450" max="8450" width="12.140625" customWidth="1"/>
    <col min="8451" max="8451" width="9.42578125" customWidth="1"/>
    <col min="8452" max="8453" width="9.28515625" customWidth="1"/>
    <col min="8454" max="8454" width="8.5703125" customWidth="1"/>
    <col min="8455" max="8455" width="8.140625" customWidth="1"/>
    <col min="8456" max="8456" width="9.5703125" customWidth="1"/>
    <col min="8457" max="8457" width="14.140625" customWidth="1"/>
    <col min="8458" max="8458" width="8" customWidth="1"/>
    <col min="8459" max="8459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8.42578125" customWidth="1"/>
    <col min="8469" max="8469" width="10.140625" customWidth="1"/>
    <col min="8705" max="8705" width="14.42578125" customWidth="1"/>
    <col min="8706" max="8706" width="12.140625" customWidth="1"/>
    <col min="8707" max="8707" width="9.42578125" customWidth="1"/>
    <col min="8708" max="8709" width="9.28515625" customWidth="1"/>
    <col min="8710" max="8710" width="8.5703125" customWidth="1"/>
    <col min="8711" max="8711" width="8.140625" customWidth="1"/>
    <col min="8712" max="8712" width="9.5703125" customWidth="1"/>
    <col min="8713" max="8713" width="14.140625" customWidth="1"/>
    <col min="8714" max="8714" width="8" customWidth="1"/>
    <col min="8715" max="8715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8.42578125" customWidth="1"/>
    <col min="8725" max="8725" width="10.140625" customWidth="1"/>
    <col min="8961" max="8961" width="14.42578125" customWidth="1"/>
    <col min="8962" max="8962" width="12.140625" customWidth="1"/>
    <col min="8963" max="8963" width="9.42578125" customWidth="1"/>
    <col min="8964" max="8965" width="9.28515625" customWidth="1"/>
    <col min="8966" max="8966" width="8.5703125" customWidth="1"/>
    <col min="8967" max="8967" width="8.140625" customWidth="1"/>
    <col min="8968" max="8968" width="9.5703125" customWidth="1"/>
    <col min="8969" max="8969" width="14.140625" customWidth="1"/>
    <col min="8970" max="8970" width="8" customWidth="1"/>
    <col min="8971" max="8971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8.42578125" customWidth="1"/>
    <col min="8981" max="8981" width="10.140625" customWidth="1"/>
    <col min="9217" max="9217" width="14.42578125" customWidth="1"/>
    <col min="9218" max="9218" width="12.140625" customWidth="1"/>
    <col min="9219" max="9219" width="9.42578125" customWidth="1"/>
    <col min="9220" max="9221" width="9.28515625" customWidth="1"/>
    <col min="9222" max="9222" width="8.5703125" customWidth="1"/>
    <col min="9223" max="9223" width="8.140625" customWidth="1"/>
    <col min="9224" max="9224" width="9.5703125" customWidth="1"/>
    <col min="9225" max="9225" width="14.140625" customWidth="1"/>
    <col min="9226" max="9226" width="8" customWidth="1"/>
    <col min="9227" max="9227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8.42578125" customWidth="1"/>
    <col min="9237" max="9237" width="10.140625" customWidth="1"/>
    <col min="9473" max="9473" width="14.42578125" customWidth="1"/>
    <col min="9474" max="9474" width="12.140625" customWidth="1"/>
    <col min="9475" max="9475" width="9.42578125" customWidth="1"/>
    <col min="9476" max="9477" width="9.28515625" customWidth="1"/>
    <col min="9478" max="9478" width="8.5703125" customWidth="1"/>
    <col min="9479" max="9479" width="8.140625" customWidth="1"/>
    <col min="9480" max="9480" width="9.5703125" customWidth="1"/>
    <col min="9481" max="9481" width="14.140625" customWidth="1"/>
    <col min="9482" max="9482" width="8" customWidth="1"/>
    <col min="9483" max="9483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8.42578125" customWidth="1"/>
    <col min="9493" max="9493" width="10.140625" customWidth="1"/>
    <col min="9729" max="9729" width="14.42578125" customWidth="1"/>
    <col min="9730" max="9730" width="12.140625" customWidth="1"/>
    <col min="9731" max="9731" width="9.42578125" customWidth="1"/>
    <col min="9732" max="9733" width="9.28515625" customWidth="1"/>
    <col min="9734" max="9734" width="8.5703125" customWidth="1"/>
    <col min="9735" max="9735" width="8.140625" customWidth="1"/>
    <col min="9736" max="9736" width="9.5703125" customWidth="1"/>
    <col min="9737" max="9737" width="14.140625" customWidth="1"/>
    <col min="9738" max="9738" width="8" customWidth="1"/>
    <col min="9739" max="9739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8.42578125" customWidth="1"/>
    <col min="9749" max="9749" width="10.140625" customWidth="1"/>
    <col min="9985" max="9985" width="14.42578125" customWidth="1"/>
    <col min="9986" max="9986" width="12.140625" customWidth="1"/>
    <col min="9987" max="9987" width="9.42578125" customWidth="1"/>
    <col min="9988" max="9989" width="9.28515625" customWidth="1"/>
    <col min="9990" max="9990" width="8.5703125" customWidth="1"/>
    <col min="9991" max="9991" width="8.140625" customWidth="1"/>
    <col min="9992" max="9992" width="9.5703125" customWidth="1"/>
    <col min="9993" max="9993" width="14.140625" customWidth="1"/>
    <col min="9994" max="9994" width="8" customWidth="1"/>
    <col min="9995" max="9995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8.42578125" customWidth="1"/>
    <col min="10005" max="10005" width="10.140625" customWidth="1"/>
    <col min="10241" max="10241" width="14.42578125" customWidth="1"/>
    <col min="10242" max="10242" width="12.140625" customWidth="1"/>
    <col min="10243" max="10243" width="9.42578125" customWidth="1"/>
    <col min="10244" max="10245" width="9.28515625" customWidth="1"/>
    <col min="10246" max="10246" width="8.5703125" customWidth="1"/>
    <col min="10247" max="10247" width="8.140625" customWidth="1"/>
    <col min="10248" max="10248" width="9.5703125" customWidth="1"/>
    <col min="10249" max="10249" width="14.140625" customWidth="1"/>
    <col min="10250" max="10250" width="8" customWidth="1"/>
    <col min="10251" max="10251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8.42578125" customWidth="1"/>
    <col min="10261" max="10261" width="10.140625" customWidth="1"/>
    <col min="10497" max="10497" width="14.42578125" customWidth="1"/>
    <col min="10498" max="10498" width="12.140625" customWidth="1"/>
    <col min="10499" max="10499" width="9.42578125" customWidth="1"/>
    <col min="10500" max="10501" width="9.28515625" customWidth="1"/>
    <col min="10502" max="10502" width="8.5703125" customWidth="1"/>
    <col min="10503" max="10503" width="8.140625" customWidth="1"/>
    <col min="10504" max="10504" width="9.5703125" customWidth="1"/>
    <col min="10505" max="10505" width="14.140625" customWidth="1"/>
    <col min="10506" max="10506" width="8" customWidth="1"/>
    <col min="10507" max="10507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8.42578125" customWidth="1"/>
    <col min="10517" max="10517" width="10.140625" customWidth="1"/>
    <col min="10753" max="10753" width="14.42578125" customWidth="1"/>
    <col min="10754" max="10754" width="12.140625" customWidth="1"/>
    <col min="10755" max="10755" width="9.42578125" customWidth="1"/>
    <col min="10756" max="10757" width="9.28515625" customWidth="1"/>
    <col min="10758" max="10758" width="8.5703125" customWidth="1"/>
    <col min="10759" max="10759" width="8.140625" customWidth="1"/>
    <col min="10760" max="10760" width="9.5703125" customWidth="1"/>
    <col min="10761" max="10761" width="14.140625" customWidth="1"/>
    <col min="10762" max="10762" width="8" customWidth="1"/>
    <col min="10763" max="10763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8.42578125" customWidth="1"/>
    <col min="10773" max="10773" width="10.140625" customWidth="1"/>
    <col min="11009" max="11009" width="14.42578125" customWidth="1"/>
    <col min="11010" max="11010" width="12.140625" customWidth="1"/>
    <col min="11011" max="11011" width="9.42578125" customWidth="1"/>
    <col min="11012" max="11013" width="9.28515625" customWidth="1"/>
    <col min="11014" max="11014" width="8.5703125" customWidth="1"/>
    <col min="11015" max="11015" width="8.140625" customWidth="1"/>
    <col min="11016" max="11016" width="9.5703125" customWidth="1"/>
    <col min="11017" max="11017" width="14.140625" customWidth="1"/>
    <col min="11018" max="11018" width="8" customWidth="1"/>
    <col min="11019" max="11019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8.42578125" customWidth="1"/>
    <col min="11029" max="11029" width="10.140625" customWidth="1"/>
    <col min="11265" max="11265" width="14.42578125" customWidth="1"/>
    <col min="11266" max="11266" width="12.140625" customWidth="1"/>
    <col min="11267" max="11267" width="9.42578125" customWidth="1"/>
    <col min="11268" max="11269" width="9.28515625" customWidth="1"/>
    <col min="11270" max="11270" width="8.5703125" customWidth="1"/>
    <col min="11271" max="11271" width="8.140625" customWidth="1"/>
    <col min="11272" max="11272" width="9.5703125" customWidth="1"/>
    <col min="11273" max="11273" width="14.140625" customWidth="1"/>
    <col min="11274" max="11274" width="8" customWidth="1"/>
    <col min="11275" max="11275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8.42578125" customWidth="1"/>
    <col min="11285" max="11285" width="10.140625" customWidth="1"/>
    <col min="11521" max="11521" width="14.42578125" customWidth="1"/>
    <col min="11522" max="11522" width="12.140625" customWidth="1"/>
    <col min="11523" max="11523" width="9.42578125" customWidth="1"/>
    <col min="11524" max="11525" width="9.28515625" customWidth="1"/>
    <col min="11526" max="11526" width="8.5703125" customWidth="1"/>
    <col min="11527" max="11527" width="8.140625" customWidth="1"/>
    <col min="11528" max="11528" width="9.5703125" customWidth="1"/>
    <col min="11529" max="11529" width="14.140625" customWidth="1"/>
    <col min="11530" max="11530" width="8" customWidth="1"/>
    <col min="11531" max="11531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8.42578125" customWidth="1"/>
    <col min="11541" max="11541" width="10.140625" customWidth="1"/>
    <col min="11777" max="11777" width="14.42578125" customWidth="1"/>
    <col min="11778" max="11778" width="12.140625" customWidth="1"/>
    <col min="11779" max="11779" width="9.42578125" customWidth="1"/>
    <col min="11780" max="11781" width="9.28515625" customWidth="1"/>
    <col min="11782" max="11782" width="8.5703125" customWidth="1"/>
    <col min="11783" max="11783" width="8.140625" customWidth="1"/>
    <col min="11784" max="11784" width="9.5703125" customWidth="1"/>
    <col min="11785" max="11785" width="14.140625" customWidth="1"/>
    <col min="11786" max="11786" width="8" customWidth="1"/>
    <col min="11787" max="11787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8.42578125" customWidth="1"/>
    <col min="11797" max="11797" width="10.140625" customWidth="1"/>
    <col min="12033" max="12033" width="14.42578125" customWidth="1"/>
    <col min="12034" max="12034" width="12.140625" customWidth="1"/>
    <col min="12035" max="12035" width="9.42578125" customWidth="1"/>
    <col min="12036" max="12037" width="9.28515625" customWidth="1"/>
    <col min="12038" max="12038" width="8.5703125" customWidth="1"/>
    <col min="12039" max="12039" width="8.140625" customWidth="1"/>
    <col min="12040" max="12040" width="9.5703125" customWidth="1"/>
    <col min="12041" max="12041" width="14.140625" customWidth="1"/>
    <col min="12042" max="12042" width="8" customWidth="1"/>
    <col min="12043" max="12043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8.42578125" customWidth="1"/>
    <col min="12053" max="12053" width="10.140625" customWidth="1"/>
    <col min="12289" max="12289" width="14.42578125" customWidth="1"/>
    <col min="12290" max="12290" width="12.140625" customWidth="1"/>
    <col min="12291" max="12291" width="9.42578125" customWidth="1"/>
    <col min="12292" max="12293" width="9.28515625" customWidth="1"/>
    <col min="12294" max="12294" width="8.5703125" customWidth="1"/>
    <col min="12295" max="12295" width="8.140625" customWidth="1"/>
    <col min="12296" max="12296" width="9.5703125" customWidth="1"/>
    <col min="12297" max="12297" width="14.140625" customWidth="1"/>
    <col min="12298" max="12298" width="8" customWidth="1"/>
    <col min="12299" max="12299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8.42578125" customWidth="1"/>
    <col min="12309" max="12309" width="10.140625" customWidth="1"/>
    <col min="12545" max="12545" width="14.42578125" customWidth="1"/>
    <col min="12546" max="12546" width="12.140625" customWidth="1"/>
    <col min="12547" max="12547" width="9.42578125" customWidth="1"/>
    <col min="12548" max="12549" width="9.28515625" customWidth="1"/>
    <col min="12550" max="12550" width="8.5703125" customWidth="1"/>
    <col min="12551" max="12551" width="8.140625" customWidth="1"/>
    <col min="12552" max="12552" width="9.5703125" customWidth="1"/>
    <col min="12553" max="12553" width="14.140625" customWidth="1"/>
    <col min="12554" max="12554" width="8" customWidth="1"/>
    <col min="12555" max="12555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8.42578125" customWidth="1"/>
    <col min="12565" max="12565" width="10.140625" customWidth="1"/>
    <col min="12801" max="12801" width="14.42578125" customWidth="1"/>
    <col min="12802" max="12802" width="12.140625" customWidth="1"/>
    <col min="12803" max="12803" width="9.42578125" customWidth="1"/>
    <col min="12804" max="12805" width="9.28515625" customWidth="1"/>
    <col min="12806" max="12806" width="8.5703125" customWidth="1"/>
    <col min="12807" max="12807" width="8.140625" customWidth="1"/>
    <col min="12808" max="12808" width="9.5703125" customWidth="1"/>
    <col min="12809" max="12809" width="14.140625" customWidth="1"/>
    <col min="12810" max="12810" width="8" customWidth="1"/>
    <col min="12811" max="12811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8.42578125" customWidth="1"/>
    <col min="12821" max="12821" width="10.140625" customWidth="1"/>
    <col min="13057" max="13057" width="14.42578125" customWidth="1"/>
    <col min="13058" max="13058" width="12.140625" customWidth="1"/>
    <col min="13059" max="13059" width="9.42578125" customWidth="1"/>
    <col min="13060" max="13061" width="9.28515625" customWidth="1"/>
    <col min="13062" max="13062" width="8.5703125" customWidth="1"/>
    <col min="13063" max="13063" width="8.140625" customWidth="1"/>
    <col min="13064" max="13064" width="9.5703125" customWidth="1"/>
    <col min="13065" max="13065" width="14.140625" customWidth="1"/>
    <col min="13066" max="13066" width="8" customWidth="1"/>
    <col min="13067" max="13067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8.42578125" customWidth="1"/>
    <col min="13077" max="13077" width="10.140625" customWidth="1"/>
    <col min="13313" max="13313" width="14.42578125" customWidth="1"/>
    <col min="13314" max="13314" width="12.140625" customWidth="1"/>
    <col min="13315" max="13315" width="9.42578125" customWidth="1"/>
    <col min="13316" max="13317" width="9.28515625" customWidth="1"/>
    <col min="13318" max="13318" width="8.5703125" customWidth="1"/>
    <col min="13319" max="13319" width="8.140625" customWidth="1"/>
    <col min="13320" max="13320" width="9.5703125" customWidth="1"/>
    <col min="13321" max="13321" width="14.140625" customWidth="1"/>
    <col min="13322" max="13322" width="8" customWidth="1"/>
    <col min="13323" max="13323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8.42578125" customWidth="1"/>
    <col min="13333" max="13333" width="10.140625" customWidth="1"/>
    <col min="13569" max="13569" width="14.42578125" customWidth="1"/>
    <col min="13570" max="13570" width="12.140625" customWidth="1"/>
    <col min="13571" max="13571" width="9.42578125" customWidth="1"/>
    <col min="13572" max="13573" width="9.28515625" customWidth="1"/>
    <col min="13574" max="13574" width="8.5703125" customWidth="1"/>
    <col min="13575" max="13575" width="8.140625" customWidth="1"/>
    <col min="13576" max="13576" width="9.5703125" customWidth="1"/>
    <col min="13577" max="13577" width="14.140625" customWidth="1"/>
    <col min="13578" max="13578" width="8" customWidth="1"/>
    <col min="13579" max="13579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8.42578125" customWidth="1"/>
    <col min="13589" max="13589" width="10.140625" customWidth="1"/>
    <col min="13825" max="13825" width="14.42578125" customWidth="1"/>
    <col min="13826" max="13826" width="12.140625" customWidth="1"/>
    <col min="13827" max="13827" width="9.42578125" customWidth="1"/>
    <col min="13828" max="13829" width="9.28515625" customWidth="1"/>
    <col min="13830" max="13830" width="8.5703125" customWidth="1"/>
    <col min="13831" max="13831" width="8.140625" customWidth="1"/>
    <col min="13832" max="13832" width="9.5703125" customWidth="1"/>
    <col min="13833" max="13833" width="14.140625" customWidth="1"/>
    <col min="13834" max="13834" width="8" customWidth="1"/>
    <col min="13835" max="13835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8.42578125" customWidth="1"/>
    <col min="13845" max="13845" width="10.140625" customWidth="1"/>
    <col min="14081" max="14081" width="14.42578125" customWidth="1"/>
    <col min="14082" max="14082" width="12.140625" customWidth="1"/>
    <col min="14083" max="14083" width="9.42578125" customWidth="1"/>
    <col min="14084" max="14085" width="9.28515625" customWidth="1"/>
    <col min="14086" max="14086" width="8.5703125" customWidth="1"/>
    <col min="14087" max="14087" width="8.140625" customWidth="1"/>
    <col min="14088" max="14088" width="9.5703125" customWidth="1"/>
    <col min="14089" max="14089" width="14.140625" customWidth="1"/>
    <col min="14090" max="14090" width="8" customWidth="1"/>
    <col min="14091" max="14091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8.42578125" customWidth="1"/>
    <col min="14101" max="14101" width="10.140625" customWidth="1"/>
    <col min="14337" max="14337" width="14.42578125" customWidth="1"/>
    <col min="14338" max="14338" width="12.140625" customWidth="1"/>
    <col min="14339" max="14339" width="9.42578125" customWidth="1"/>
    <col min="14340" max="14341" width="9.28515625" customWidth="1"/>
    <col min="14342" max="14342" width="8.5703125" customWidth="1"/>
    <col min="14343" max="14343" width="8.140625" customWidth="1"/>
    <col min="14344" max="14344" width="9.5703125" customWidth="1"/>
    <col min="14345" max="14345" width="14.140625" customWidth="1"/>
    <col min="14346" max="14346" width="8" customWidth="1"/>
    <col min="14347" max="14347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8.42578125" customWidth="1"/>
    <col min="14357" max="14357" width="10.140625" customWidth="1"/>
    <col min="14593" max="14593" width="14.42578125" customWidth="1"/>
    <col min="14594" max="14594" width="12.140625" customWidth="1"/>
    <col min="14595" max="14595" width="9.42578125" customWidth="1"/>
    <col min="14596" max="14597" width="9.28515625" customWidth="1"/>
    <col min="14598" max="14598" width="8.5703125" customWidth="1"/>
    <col min="14599" max="14599" width="8.140625" customWidth="1"/>
    <col min="14600" max="14600" width="9.5703125" customWidth="1"/>
    <col min="14601" max="14601" width="14.140625" customWidth="1"/>
    <col min="14602" max="14602" width="8" customWidth="1"/>
    <col min="14603" max="14603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8.42578125" customWidth="1"/>
    <col min="14613" max="14613" width="10.140625" customWidth="1"/>
    <col min="14849" max="14849" width="14.42578125" customWidth="1"/>
    <col min="14850" max="14850" width="12.140625" customWidth="1"/>
    <col min="14851" max="14851" width="9.42578125" customWidth="1"/>
    <col min="14852" max="14853" width="9.28515625" customWidth="1"/>
    <col min="14854" max="14854" width="8.5703125" customWidth="1"/>
    <col min="14855" max="14855" width="8.140625" customWidth="1"/>
    <col min="14856" max="14856" width="9.5703125" customWidth="1"/>
    <col min="14857" max="14857" width="14.140625" customWidth="1"/>
    <col min="14858" max="14858" width="8" customWidth="1"/>
    <col min="14859" max="14859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8.42578125" customWidth="1"/>
    <col min="14869" max="14869" width="10.140625" customWidth="1"/>
    <col min="15105" max="15105" width="14.42578125" customWidth="1"/>
    <col min="15106" max="15106" width="12.140625" customWidth="1"/>
    <col min="15107" max="15107" width="9.42578125" customWidth="1"/>
    <col min="15108" max="15109" width="9.28515625" customWidth="1"/>
    <col min="15110" max="15110" width="8.5703125" customWidth="1"/>
    <col min="15111" max="15111" width="8.140625" customWidth="1"/>
    <col min="15112" max="15112" width="9.5703125" customWidth="1"/>
    <col min="15113" max="15113" width="14.140625" customWidth="1"/>
    <col min="15114" max="15114" width="8" customWidth="1"/>
    <col min="15115" max="15115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8.42578125" customWidth="1"/>
    <col min="15125" max="15125" width="10.140625" customWidth="1"/>
    <col min="15361" max="15361" width="14.42578125" customWidth="1"/>
    <col min="15362" max="15362" width="12.140625" customWidth="1"/>
    <col min="15363" max="15363" width="9.42578125" customWidth="1"/>
    <col min="15364" max="15365" width="9.28515625" customWidth="1"/>
    <col min="15366" max="15366" width="8.5703125" customWidth="1"/>
    <col min="15367" max="15367" width="8.140625" customWidth="1"/>
    <col min="15368" max="15368" width="9.5703125" customWidth="1"/>
    <col min="15369" max="15369" width="14.140625" customWidth="1"/>
    <col min="15370" max="15370" width="8" customWidth="1"/>
    <col min="15371" max="15371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8.42578125" customWidth="1"/>
    <col min="15381" max="15381" width="10.140625" customWidth="1"/>
    <col min="15617" max="15617" width="14.42578125" customWidth="1"/>
    <col min="15618" max="15618" width="12.140625" customWidth="1"/>
    <col min="15619" max="15619" width="9.42578125" customWidth="1"/>
    <col min="15620" max="15621" width="9.28515625" customWidth="1"/>
    <col min="15622" max="15622" width="8.5703125" customWidth="1"/>
    <col min="15623" max="15623" width="8.140625" customWidth="1"/>
    <col min="15624" max="15624" width="9.5703125" customWidth="1"/>
    <col min="15625" max="15625" width="14.140625" customWidth="1"/>
    <col min="15626" max="15626" width="8" customWidth="1"/>
    <col min="15627" max="15627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8.42578125" customWidth="1"/>
    <col min="15637" max="15637" width="10.140625" customWidth="1"/>
    <col min="15873" max="15873" width="14.42578125" customWidth="1"/>
    <col min="15874" max="15874" width="12.140625" customWidth="1"/>
    <col min="15875" max="15875" width="9.42578125" customWidth="1"/>
    <col min="15876" max="15877" width="9.28515625" customWidth="1"/>
    <col min="15878" max="15878" width="8.5703125" customWidth="1"/>
    <col min="15879" max="15879" width="8.140625" customWidth="1"/>
    <col min="15880" max="15880" width="9.5703125" customWidth="1"/>
    <col min="15881" max="15881" width="14.140625" customWidth="1"/>
    <col min="15882" max="15882" width="8" customWidth="1"/>
    <col min="15883" max="15883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8.42578125" customWidth="1"/>
    <col min="15893" max="15893" width="10.140625" customWidth="1"/>
    <col min="16129" max="16129" width="14.42578125" customWidth="1"/>
    <col min="16130" max="16130" width="12.140625" customWidth="1"/>
    <col min="16131" max="16131" width="9.42578125" customWidth="1"/>
    <col min="16132" max="16133" width="9.28515625" customWidth="1"/>
    <col min="16134" max="16134" width="8.5703125" customWidth="1"/>
    <col min="16135" max="16135" width="8.140625" customWidth="1"/>
    <col min="16136" max="16136" width="9.5703125" customWidth="1"/>
    <col min="16137" max="16137" width="14.140625" customWidth="1"/>
    <col min="16138" max="16138" width="8" customWidth="1"/>
    <col min="16139" max="16139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8.42578125" customWidth="1"/>
    <col min="16149" max="16149" width="10.140625" customWidth="1"/>
  </cols>
  <sheetData>
    <row r="1" spans="1:23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684"/>
      <c r="Q1" s="54"/>
      <c r="R1" s="54"/>
    </row>
    <row r="2" spans="1:23" x14ac:dyDescent="0.2">
      <c r="A2" s="684" t="s">
        <v>1293</v>
      </c>
      <c r="B2" s="54"/>
      <c r="C2" s="54"/>
      <c r="D2" s="54"/>
      <c r="E2" s="54"/>
      <c r="F2" s="54"/>
      <c r="H2" s="54"/>
      <c r="I2" s="54"/>
      <c r="J2" s="54"/>
      <c r="K2" s="54"/>
      <c r="L2" s="54"/>
      <c r="M2" s="54"/>
      <c r="N2" s="54"/>
      <c r="O2" s="54"/>
      <c r="P2" s="684"/>
      <c r="Q2" s="54"/>
      <c r="R2" s="54"/>
    </row>
    <row r="3" spans="1:23" ht="13.5" thickBot="1" x14ac:dyDescent="0.25">
      <c r="A3" s="68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684"/>
      <c r="R3" s="685" t="s">
        <v>418</v>
      </c>
    </row>
    <row r="4" spans="1:23" ht="13.5" thickBot="1" x14ac:dyDescent="0.25">
      <c r="A4" s="894" t="s">
        <v>988</v>
      </c>
      <c r="B4" s="896" t="s">
        <v>989</v>
      </c>
      <c r="C4" s="902" t="s">
        <v>990</v>
      </c>
      <c r="D4" s="902"/>
      <c r="E4" s="902"/>
      <c r="F4" s="902"/>
      <c r="G4" s="902"/>
      <c r="H4" s="902"/>
      <c r="I4" s="894" t="s">
        <v>988</v>
      </c>
      <c r="J4" s="906" t="s">
        <v>45</v>
      </c>
      <c r="K4" s="907"/>
      <c r="L4" s="907"/>
      <c r="M4" s="907"/>
      <c r="N4" s="907"/>
      <c r="O4" s="907"/>
      <c r="P4" s="908"/>
      <c r="Q4" s="903" t="s">
        <v>419</v>
      </c>
      <c r="R4" s="909" t="s">
        <v>1294</v>
      </c>
      <c r="T4" s="892" t="s">
        <v>1295</v>
      </c>
    </row>
    <row r="5" spans="1:23" s="690" customFormat="1" ht="48.75" thickBot="1" x14ac:dyDescent="0.25">
      <c r="A5" s="895"/>
      <c r="B5" s="897"/>
      <c r="C5" s="686" t="s">
        <v>991</v>
      </c>
      <c r="D5" s="687" t="s">
        <v>992</v>
      </c>
      <c r="E5" s="687" t="s">
        <v>1296</v>
      </c>
      <c r="F5" s="687" t="s">
        <v>993</v>
      </c>
      <c r="G5" s="688" t="s">
        <v>994</v>
      </c>
      <c r="H5" s="689" t="s">
        <v>995</v>
      </c>
      <c r="I5" s="905"/>
      <c r="J5" s="686" t="s">
        <v>996</v>
      </c>
      <c r="L5" s="687" t="s">
        <v>997</v>
      </c>
      <c r="M5" s="687" t="s">
        <v>998</v>
      </c>
      <c r="N5" s="687" t="s">
        <v>999</v>
      </c>
      <c r="O5" s="688" t="s">
        <v>1000</v>
      </c>
      <c r="P5" s="689" t="s">
        <v>1001</v>
      </c>
      <c r="Q5" s="904"/>
      <c r="R5" s="910"/>
      <c r="S5" s="691" t="s">
        <v>1002</v>
      </c>
      <c r="T5" s="893"/>
    </row>
    <row r="6" spans="1:23" x14ac:dyDescent="0.2">
      <c r="A6" s="692" t="s">
        <v>1003</v>
      </c>
      <c r="B6" s="693">
        <v>2357</v>
      </c>
      <c r="C6" s="694">
        <v>1178</v>
      </c>
      <c r="D6" s="695">
        <v>114</v>
      </c>
      <c r="E6" s="695">
        <v>236</v>
      </c>
      <c r="F6" s="696">
        <v>15689</v>
      </c>
      <c r="G6" s="697">
        <v>6439</v>
      </c>
      <c r="H6" s="698">
        <f t="shared" ref="H6:H18" si="0">SUM(C6:G6)</f>
        <v>23656</v>
      </c>
      <c r="I6" s="699" t="s">
        <v>1003</v>
      </c>
      <c r="J6" s="700">
        <f>4420+360</f>
        <v>4780</v>
      </c>
      <c r="L6" s="695">
        <v>98</v>
      </c>
      <c r="M6" s="695">
        <v>340</v>
      </c>
      <c r="N6" s="696">
        <v>0</v>
      </c>
      <c r="O6" s="701">
        <v>1150</v>
      </c>
      <c r="P6" s="698">
        <f>J6+L6+M6+N6+O6</f>
        <v>6368</v>
      </c>
      <c r="Q6" s="740">
        <f t="shared" ref="Q6:Q19" si="1">H6+P6</f>
        <v>30024</v>
      </c>
      <c r="R6" s="703">
        <f>26658+282</f>
        <v>26940</v>
      </c>
      <c r="S6" s="560">
        <f>Q6-R6</f>
        <v>3084</v>
      </c>
      <c r="T6" s="704">
        <v>0</v>
      </c>
      <c r="W6" s="705"/>
    </row>
    <row r="7" spans="1:23" x14ac:dyDescent="0.2">
      <c r="A7" s="706" t="s">
        <v>1004</v>
      </c>
      <c r="B7" s="693">
        <v>572</v>
      </c>
      <c r="C7" s="694">
        <v>286</v>
      </c>
      <c r="D7" s="695">
        <v>163</v>
      </c>
      <c r="E7" s="695">
        <v>57</v>
      </c>
      <c r="F7" s="696">
        <v>2917</v>
      </c>
      <c r="G7" s="697">
        <v>1563</v>
      </c>
      <c r="H7" s="698">
        <f t="shared" si="0"/>
        <v>4986</v>
      </c>
      <c r="I7" s="707" t="s">
        <v>1004</v>
      </c>
      <c r="J7" s="700">
        <v>180</v>
      </c>
      <c r="L7" s="695">
        <v>49</v>
      </c>
      <c r="M7" s="695">
        <v>138</v>
      </c>
      <c r="N7" s="59">
        <v>0</v>
      </c>
      <c r="O7" s="701">
        <v>0</v>
      </c>
      <c r="P7" s="698">
        <f t="shared" ref="P7:P18" si="2">J7+L7+M7+N7+O7</f>
        <v>367</v>
      </c>
      <c r="Q7" s="702">
        <f t="shared" si="1"/>
        <v>5353</v>
      </c>
      <c r="R7" s="708">
        <f>5328+67</f>
        <v>5395</v>
      </c>
      <c r="S7" s="560">
        <f t="shared" ref="S7:S20" si="3">Q7-R7</f>
        <v>-42</v>
      </c>
      <c r="T7" s="709">
        <v>0</v>
      </c>
      <c r="W7" s="705"/>
    </row>
    <row r="8" spans="1:23" x14ac:dyDescent="0.2">
      <c r="A8" s="706" t="s">
        <v>1005</v>
      </c>
      <c r="B8" s="693">
        <v>2261</v>
      </c>
      <c r="C8" s="694">
        <v>1131</v>
      </c>
      <c r="D8" s="695">
        <v>110</v>
      </c>
      <c r="E8" s="695">
        <v>226</v>
      </c>
      <c r="F8" s="696">
        <v>12845</v>
      </c>
      <c r="G8" s="697">
        <v>6176</v>
      </c>
      <c r="H8" s="698">
        <f>SUM(C8:G8)</f>
        <v>20488</v>
      </c>
      <c r="I8" s="707" t="s">
        <v>1005</v>
      </c>
      <c r="J8" s="700">
        <v>0</v>
      </c>
      <c r="L8" s="695">
        <v>331</v>
      </c>
      <c r="M8" s="695">
        <v>1172</v>
      </c>
      <c r="N8" s="59">
        <v>0</v>
      </c>
      <c r="O8" s="701">
        <v>0</v>
      </c>
      <c r="P8" s="698">
        <f t="shared" si="2"/>
        <v>1503</v>
      </c>
      <c r="Q8" s="702">
        <f t="shared" si="1"/>
        <v>21991</v>
      </c>
      <c r="R8" s="708">
        <f>22828+273</f>
        <v>23101</v>
      </c>
      <c r="S8" s="560">
        <f t="shared" si="3"/>
        <v>-1110</v>
      </c>
      <c r="T8" s="709">
        <v>0</v>
      </c>
      <c r="W8" s="705"/>
    </row>
    <row r="9" spans="1:23" x14ac:dyDescent="0.2">
      <c r="A9" s="706" t="s">
        <v>1006</v>
      </c>
      <c r="B9" s="693">
        <v>1849</v>
      </c>
      <c r="C9" s="694">
        <v>925</v>
      </c>
      <c r="D9" s="695">
        <v>90</v>
      </c>
      <c r="E9" s="695">
        <v>185</v>
      </c>
      <c r="F9" s="696">
        <v>8509</v>
      </c>
      <c r="G9" s="697">
        <v>5051</v>
      </c>
      <c r="H9" s="698">
        <f>SUM(C9:G9)</f>
        <v>14760</v>
      </c>
      <c r="I9" s="707" t="s">
        <v>1006</v>
      </c>
      <c r="J9" s="700">
        <v>0</v>
      </c>
      <c r="L9" s="695">
        <v>86</v>
      </c>
      <c r="M9" s="695">
        <v>768</v>
      </c>
      <c r="N9" s="59">
        <v>0</v>
      </c>
      <c r="O9" s="701">
        <v>0</v>
      </c>
      <c r="P9" s="698">
        <f t="shared" si="2"/>
        <v>854</v>
      </c>
      <c r="Q9" s="702">
        <f t="shared" si="1"/>
        <v>15614</v>
      </c>
      <c r="R9" s="708">
        <f>16771+220</f>
        <v>16991</v>
      </c>
      <c r="S9" s="560">
        <f t="shared" si="3"/>
        <v>-1377</v>
      </c>
      <c r="T9" s="709">
        <v>0</v>
      </c>
      <c r="U9" s="710"/>
      <c r="W9" s="705"/>
    </row>
    <row r="10" spans="1:23" x14ac:dyDescent="0.2">
      <c r="A10" s="706" t="s">
        <v>1007</v>
      </c>
      <c r="B10" s="693">
        <v>625</v>
      </c>
      <c r="C10" s="694">
        <v>313</v>
      </c>
      <c r="D10" s="695">
        <v>165</v>
      </c>
      <c r="E10" s="695">
        <v>63</v>
      </c>
      <c r="F10" s="696">
        <v>846</v>
      </c>
      <c r="G10" s="697">
        <v>1138</v>
      </c>
      <c r="H10" s="698">
        <f t="shared" si="0"/>
        <v>2525</v>
      </c>
      <c r="I10" s="707" t="s">
        <v>1007</v>
      </c>
      <c r="J10" s="700">
        <v>180</v>
      </c>
      <c r="L10" s="695">
        <v>0</v>
      </c>
      <c r="M10" s="695">
        <v>324</v>
      </c>
      <c r="N10" s="59">
        <v>0</v>
      </c>
      <c r="O10" s="701">
        <v>225</v>
      </c>
      <c r="P10" s="698">
        <f t="shared" si="2"/>
        <v>729</v>
      </c>
      <c r="Q10" s="702">
        <f t="shared" si="1"/>
        <v>3254</v>
      </c>
      <c r="R10" s="708">
        <f>2399+73</f>
        <v>2472</v>
      </c>
      <c r="S10" s="560">
        <f t="shared" si="3"/>
        <v>782</v>
      </c>
      <c r="T10" s="709">
        <v>0</v>
      </c>
      <c r="W10" s="705"/>
    </row>
    <row r="11" spans="1:23" x14ac:dyDescent="0.2">
      <c r="A11" s="706" t="s">
        <v>1008</v>
      </c>
      <c r="B11" s="693">
        <v>543</v>
      </c>
      <c r="C11" s="694">
        <v>271</v>
      </c>
      <c r="D11" s="695">
        <v>161</v>
      </c>
      <c r="E11" s="695">
        <v>54</v>
      </c>
      <c r="F11" s="696">
        <v>1044</v>
      </c>
      <c r="G11" s="697">
        <v>989</v>
      </c>
      <c r="H11" s="698">
        <f t="shared" si="0"/>
        <v>2519</v>
      </c>
      <c r="I11" s="707" t="s">
        <v>1008</v>
      </c>
      <c r="J11" s="700">
        <v>180</v>
      </c>
      <c r="L11" s="695">
        <v>0</v>
      </c>
      <c r="M11" s="695">
        <v>201</v>
      </c>
      <c r="N11" s="59">
        <v>0</v>
      </c>
      <c r="O11" s="701">
        <v>0</v>
      </c>
      <c r="P11" s="698">
        <f t="shared" si="2"/>
        <v>381</v>
      </c>
      <c r="Q11" s="702">
        <f t="shared" si="1"/>
        <v>2900</v>
      </c>
      <c r="R11" s="708">
        <f>2099+66</f>
        <v>2165</v>
      </c>
      <c r="S11" s="560">
        <f t="shared" si="3"/>
        <v>735</v>
      </c>
      <c r="T11" s="709">
        <v>0</v>
      </c>
      <c r="W11" s="705"/>
    </row>
    <row r="12" spans="1:23" x14ac:dyDescent="0.2">
      <c r="A12" s="706" t="s">
        <v>1009</v>
      </c>
      <c r="B12" s="693">
        <v>1433</v>
      </c>
      <c r="C12" s="694">
        <v>716</v>
      </c>
      <c r="D12" s="695">
        <v>70</v>
      </c>
      <c r="E12" s="695">
        <v>143</v>
      </c>
      <c r="F12" s="696">
        <v>2144</v>
      </c>
      <c r="G12" s="697">
        <v>2610</v>
      </c>
      <c r="H12" s="698">
        <f t="shared" si="0"/>
        <v>5683</v>
      </c>
      <c r="I12" s="707" t="s">
        <v>1009</v>
      </c>
      <c r="J12" s="700">
        <v>0</v>
      </c>
      <c r="L12" s="695">
        <v>49</v>
      </c>
      <c r="M12" s="695">
        <v>0</v>
      </c>
      <c r="N12" s="59">
        <v>0</v>
      </c>
      <c r="O12" s="701">
        <v>825</v>
      </c>
      <c r="P12" s="698">
        <f t="shared" si="2"/>
        <v>874</v>
      </c>
      <c r="Q12" s="702">
        <f t="shared" si="1"/>
        <v>6557</v>
      </c>
      <c r="R12" s="708">
        <f>5085+171</f>
        <v>5256</v>
      </c>
      <c r="S12" s="560">
        <f t="shared" si="3"/>
        <v>1301</v>
      </c>
      <c r="T12" s="709">
        <v>0</v>
      </c>
      <c r="W12" s="705"/>
    </row>
    <row r="13" spans="1:23" x14ac:dyDescent="0.2">
      <c r="A13" s="706" t="s">
        <v>1010</v>
      </c>
      <c r="B13" s="693">
        <v>536</v>
      </c>
      <c r="C13" s="694">
        <v>268</v>
      </c>
      <c r="D13" s="695">
        <v>161</v>
      </c>
      <c r="E13" s="695">
        <v>54</v>
      </c>
      <c r="F13" s="696">
        <v>451</v>
      </c>
      <c r="G13" s="697">
        <v>976</v>
      </c>
      <c r="H13" s="698">
        <f t="shared" si="0"/>
        <v>1910</v>
      </c>
      <c r="I13" s="707" t="s">
        <v>1010</v>
      </c>
      <c r="J13" s="700">
        <v>180</v>
      </c>
      <c r="L13" s="695">
        <v>0</v>
      </c>
      <c r="M13" s="695">
        <v>483</v>
      </c>
      <c r="N13" s="59">
        <v>0</v>
      </c>
      <c r="O13" s="701">
        <v>0</v>
      </c>
      <c r="P13" s="698">
        <f t="shared" si="2"/>
        <v>663</v>
      </c>
      <c r="Q13" s="702">
        <f t="shared" si="1"/>
        <v>2573</v>
      </c>
      <c r="R13" s="708">
        <f>1787+64</f>
        <v>1851</v>
      </c>
      <c r="S13" s="560">
        <f t="shared" si="3"/>
        <v>722</v>
      </c>
      <c r="T13" s="709">
        <v>0</v>
      </c>
      <c r="U13" s="711"/>
      <c r="W13" s="705"/>
    </row>
    <row r="14" spans="1:23" x14ac:dyDescent="0.2">
      <c r="A14" s="706" t="s">
        <v>1011</v>
      </c>
      <c r="B14" s="693">
        <v>386</v>
      </c>
      <c r="C14" s="694">
        <v>193</v>
      </c>
      <c r="D14" s="695">
        <v>154</v>
      </c>
      <c r="E14" s="695">
        <v>39</v>
      </c>
      <c r="F14" s="696">
        <v>762</v>
      </c>
      <c r="G14" s="697">
        <v>703</v>
      </c>
      <c r="H14" s="698">
        <f>SUM(C14:G14)</f>
        <v>1851</v>
      </c>
      <c r="I14" s="707" t="s">
        <v>1011</v>
      </c>
      <c r="J14" s="700">
        <v>180</v>
      </c>
      <c r="L14" s="695">
        <v>24</v>
      </c>
      <c r="M14" s="695">
        <v>828</v>
      </c>
      <c r="N14" s="59">
        <v>0</v>
      </c>
      <c r="O14" s="701">
        <v>0</v>
      </c>
      <c r="P14" s="698">
        <f t="shared" si="2"/>
        <v>1032</v>
      </c>
      <c r="Q14" s="702">
        <f t="shared" si="1"/>
        <v>2883</v>
      </c>
      <c r="R14" s="708">
        <f>2109+47</f>
        <v>2156</v>
      </c>
      <c r="S14" s="560">
        <f t="shared" si="3"/>
        <v>727</v>
      </c>
      <c r="T14" s="709">
        <v>0</v>
      </c>
      <c r="U14" s="712"/>
      <c r="W14" s="705"/>
    </row>
    <row r="15" spans="1:23" x14ac:dyDescent="0.2">
      <c r="A15" s="706" t="s">
        <v>1012</v>
      </c>
      <c r="B15" s="693">
        <v>426</v>
      </c>
      <c r="C15" s="694">
        <v>213</v>
      </c>
      <c r="D15" s="695">
        <v>21</v>
      </c>
      <c r="E15" s="695">
        <v>43</v>
      </c>
      <c r="F15" s="696">
        <v>339</v>
      </c>
      <c r="G15" s="697">
        <v>776</v>
      </c>
      <c r="H15" s="698">
        <f t="shared" si="0"/>
        <v>1392</v>
      </c>
      <c r="I15" s="707" t="s">
        <v>1012</v>
      </c>
      <c r="J15" s="700">
        <v>0</v>
      </c>
      <c r="L15" s="695">
        <v>12</v>
      </c>
      <c r="M15" s="695">
        <v>433</v>
      </c>
      <c r="N15" s="59">
        <v>0</v>
      </c>
      <c r="O15" s="701">
        <v>0</v>
      </c>
      <c r="P15" s="698">
        <f t="shared" si="2"/>
        <v>445</v>
      </c>
      <c r="Q15" s="702">
        <f t="shared" si="1"/>
        <v>1837</v>
      </c>
      <c r="R15" s="708">
        <f>1820+50</f>
        <v>1870</v>
      </c>
      <c r="S15" s="560">
        <f t="shared" si="3"/>
        <v>-33</v>
      </c>
      <c r="T15" s="709">
        <v>0</v>
      </c>
      <c r="U15" s="712"/>
      <c r="W15" s="705"/>
    </row>
    <row r="16" spans="1:23" x14ac:dyDescent="0.2">
      <c r="A16" s="706" t="s">
        <v>1013</v>
      </c>
      <c r="B16" s="693">
        <v>687</v>
      </c>
      <c r="C16" s="694">
        <v>344</v>
      </c>
      <c r="D16" s="695">
        <v>168</v>
      </c>
      <c r="E16" s="695">
        <v>69</v>
      </c>
      <c r="F16" s="696">
        <v>3712</v>
      </c>
      <c r="G16" s="697">
        <v>1877</v>
      </c>
      <c r="H16" s="698">
        <f t="shared" si="0"/>
        <v>6170</v>
      </c>
      <c r="I16" s="707" t="s">
        <v>1013</v>
      </c>
      <c r="J16" s="700">
        <v>180</v>
      </c>
      <c r="L16" s="695">
        <v>159</v>
      </c>
      <c r="M16" s="695">
        <v>124</v>
      </c>
      <c r="N16" s="59">
        <v>0</v>
      </c>
      <c r="O16" s="701">
        <v>0</v>
      </c>
      <c r="P16" s="698">
        <f t="shared" si="2"/>
        <v>463</v>
      </c>
      <c r="Q16" s="702">
        <f t="shared" si="1"/>
        <v>6633</v>
      </c>
      <c r="R16" s="708">
        <f>6855+84</f>
        <v>6939</v>
      </c>
      <c r="S16" s="560">
        <f t="shared" si="3"/>
        <v>-306</v>
      </c>
      <c r="T16" s="709">
        <v>0</v>
      </c>
      <c r="U16" s="712"/>
      <c r="W16" s="705"/>
    </row>
    <row r="17" spans="1:23" x14ac:dyDescent="0.2">
      <c r="A17" s="706" t="s">
        <v>1014</v>
      </c>
      <c r="B17" s="693">
        <v>576</v>
      </c>
      <c r="C17" s="694">
        <v>288</v>
      </c>
      <c r="D17" s="695">
        <v>28</v>
      </c>
      <c r="E17" s="695">
        <v>58</v>
      </c>
      <c r="F17" s="59">
        <v>931</v>
      </c>
      <c r="G17" s="697">
        <v>1049</v>
      </c>
      <c r="H17" s="713">
        <f>SUM(C17:G17)</f>
        <v>2354</v>
      </c>
      <c r="I17" s="707" t="s">
        <v>1014</v>
      </c>
      <c r="J17" s="714">
        <v>0</v>
      </c>
      <c r="L17" s="695">
        <v>0</v>
      </c>
      <c r="M17" s="715">
        <v>611</v>
      </c>
      <c r="N17" s="59">
        <v>0</v>
      </c>
      <c r="O17" s="701">
        <v>0</v>
      </c>
      <c r="P17" s="698">
        <f t="shared" si="2"/>
        <v>611</v>
      </c>
      <c r="Q17" s="716">
        <f t="shared" si="1"/>
        <v>2965</v>
      </c>
      <c r="R17" s="708">
        <f>2065+70</f>
        <v>2135</v>
      </c>
      <c r="S17" s="560">
        <f t="shared" si="3"/>
        <v>830</v>
      </c>
      <c r="T17" s="709">
        <v>0</v>
      </c>
      <c r="U17" s="712"/>
      <c r="W17" s="705"/>
    </row>
    <row r="18" spans="1:23" x14ac:dyDescent="0.2">
      <c r="A18" s="706" t="s">
        <v>1015</v>
      </c>
      <c r="B18" s="693">
        <v>228</v>
      </c>
      <c r="C18" s="694">
        <v>114</v>
      </c>
      <c r="D18" s="695">
        <v>11</v>
      </c>
      <c r="E18" s="695">
        <v>23</v>
      </c>
      <c r="F18" s="59">
        <v>451</v>
      </c>
      <c r="G18" s="697">
        <v>415</v>
      </c>
      <c r="H18" s="713">
        <f t="shared" si="0"/>
        <v>1014</v>
      </c>
      <c r="I18" s="707" t="s">
        <v>1015</v>
      </c>
      <c r="J18" s="714">
        <v>0</v>
      </c>
      <c r="L18" s="695">
        <v>0</v>
      </c>
      <c r="M18" s="715">
        <v>690</v>
      </c>
      <c r="N18" s="59">
        <v>0</v>
      </c>
      <c r="O18" s="701">
        <v>0</v>
      </c>
      <c r="P18" s="698">
        <f t="shared" si="2"/>
        <v>690</v>
      </c>
      <c r="Q18" s="716">
        <f t="shared" si="1"/>
        <v>1704</v>
      </c>
      <c r="R18" s="708">
        <f>1495+26</f>
        <v>1521</v>
      </c>
      <c r="S18" s="560">
        <f t="shared" si="3"/>
        <v>183</v>
      </c>
      <c r="T18" s="709">
        <v>0</v>
      </c>
      <c r="U18" s="711"/>
      <c r="W18" s="705"/>
    </row>
    <row r="19" spans="1:23" hidden="1" x14ac:dyDescent="0.2">
      <c r="A19" s="717" t="s">
        <v>1016</v>
      </c>
      <c r="B19" s="718"/>
      <c r="C19" s="694"/>
      <c r="D19" s="715"/>
      <c r="E19" s="715"/>
      <c r="F19" s="59"/>
      <c r="G19" s="719"/>
      <c r="H19" s="713"/>
      <c r="I19" s="720" t="s">
        <v>1016</v>
      </c>
      <c r="J19" s="714"/>
      <c r="L19" s="695">
        <f>[3]Jelzőrendszer!G31</f>
        <v>808</v>
      </c>
      <c r="M19" s="715">
        <f>SUM('[3]Családsegítés, gyerm.jólét'!V57)</f>
        <v>0</v>
      </c>
      <c r="N19" s="59"/>
      <c r="O19" s="701">
        <f>'[3]Püg.,TV, étkeztetés '!D33+'[3]Püg.,TV, étkeztetés '!K33</f>
        <v>2200</v>
      </c>
      <c r="P19" s="713" t="e">
        <f>J19+#REF!+M19+N19+O19</f>
        <v>#REF!</v>
      </c>
      <c r="Q19" s="716" t="e">
        <f t="shared" si="1"/>
        <v>#REF!</v>
      </c>
      <c r="R19" s="708" t="e">
        <v>#REF!</v>
      </c>
      <c r="S19" s="560" t="e">
        <f t="shared" si="3"/>
        <v>#REF!</v>
      </c>
      <c r="T19" s="709"/>
      <c r="W19" s="705"/>
    </row>
    <row r="20" spans="1:23" ht="13.5" thickBot="1" x14ac:dyDescent="0.25">
      <c r="A20" s="721" t="s">
        <v>47</v>
      </c>
      <c r="B20" s="722">
        <f>SUM(B6:B19)</f>
        <v>12479</v>
      </c>
      <c r="C20" s="723">
        <f t="shared" ref="C20:H20" si="4">SUM(C6:C18)</f>
        <v>6240</v>
      </c>
      <c r="D20" s="724">
        <f t="shared" si="4"/>
        <v>1416</v>
      </c>
      <c r="E20" s="724">
        <f t="shared" si="4"/>
        <v>1250</v>
      </c>
      <c r="F20" s="724">
        <f t="shared" si="4"/>
        <v>50640</v>
      </c>
      <c r="G20" s="725">
        <f t="shared" si="4"/>
        <v>29762</v>
      </c>
      <c r="H20" s="722">
        <f t="shared" si="4"/>
        <v>89308</v>
      </c>
      <c r="I20" s="726" t="s">
        <v>47</v>
      </c>
      <c r="J20" s="723">
        <f>SUM(J6:J18)</f>
        <v>5860</v>
      </c>
      <c r="K20" s="723">
        <f>SUM(K6:K18)</f>
        <v>0</v>
      </c>
      <c r="L20" s="723">
        <f>SUM(L6:L18)</f>
        <v>808</v>
      </c>
      <c r="M20" s="724">
        <f>SUM(M6:M19)</f>
        <v>6112</v>
      </c>
      <c r="N20" s="724">
        <f>SUM(N6:N18)</f>
        <v>0</v>
      </c>
      <c r="O20" s="727">
        <f>SUM(O6:O18)</f>
        <v>2200</v>
      </c>
      <c r="P20" s="722">
        <f>SUM(J20:O20)</f>
        <v>14980</v>
      </c>
      <c r="Q20" s="722">
        <f>SUM(Q6:Q18)</f>
        <v>104288</v>
      </c>
      <c r="R20" s="728">
        <f>SUM(R6:R18)</f>
        <v>98792</v>
      </c>
      <c r="S20" s="560">
        <f t="shared" si="3"/>
        <v>5496</v>
      </c>
      <c r="T20" s="729">
        <f>SUM(T6:T18)</f>
        <v>0</v>
      </c>
      <c r="W20" s="705"/>
    </row>
    <row r="21" spans="1:23" x14ac:dyDescent="0.2">
      <c r="A21" s="730"/>
      <c r="B21" s="730"/>
      <c r="C21" s="730"/>
      <c r="E21" s="731">
        <f>SUM(C20+D20+E20)</f>
        <v>8906</v>
      </c>
      <c r="F21" s="732"/>
      <c r="G21" s="732"/>
      <c r="H21" s="732"/>
      <c r="I21" s="730"/>
      <c r="J21" s="730"/>
      <c r="K21" s="730"/>
      <c r="L21" s="730"/>
      <c r="M21" s="730"/>
      <c r="N21" s="730"/>
      <c r="O21" s="730"/>
      <c r="P21" s="732"/>
      <c r="Q21" s="732"/>
      <c r="R21" s="733"/>
      <c r="S21" s="560"/>
    </row>
    <row r="22" spans="1:23" ht="13.5" thickBot="1" x14ac:dyDescent="0.25">
      <c r="K22" s="730"/>
      <c r="L22" s="730"/>
    </row>
    <row r="23" spans="1:23" ht="20.25" customHeight="1" x14ac:dyDescent="0.2">
      <c r="A23" s="894" t="s">
        <v>988</v>
      </c>
      <c r="B23" s="898" t="s">
        <v>1297</v>
      </c>
      <c r="C23" s="900" t="s">
        <v>1017</v>
      </c>
      <c r="F23" s="734"/>
      <c r="P23"/>
      <c r="S23"/>
    </row>
    <row r="24" spans="1:23" ht="57" customHeight="1" thickBot="1" x14ac:dyDescent="0.25">
      <c r="A24" s="895"/>
      <c r="B24" s="899"/>
      <c r="C24" s="901"/>
      <c r="P24"/>
      <c r="S24"/>
    </row>
    <row r="25" spans="1:23" x14ac:dyDescent="0.2">
      <c r="A25" s="692" t="s">
        <v>1003</v>
      </c>
      <c r="B25" s="735">
        <v>3640</v>
      </c>
      <c r="C25" s="736">
        <v>0</v>
      </c>
      <c r="P25"/>
      <c r="S25"/>
    </row>
    <row r="26" spans="1:23" x14ac:dyDescent="0.2">
      <c r="A26" s="706" t="s">
        <v>1004</v>
      </c>
      <c r="B26" s="735">
        <v>642</v>
      </c>
      <c r="C26" s="736">
        <v>0</v>
      </c>
      <c r="P26"/>
      <c r="S26"/>
    </row>
    <row r="27" spans="1:23" x14ac:dyDescent="0.2">
      <c r="A27" s="706" t="s">
        <v>1005</v>
      </c>
      <c r="B27" s="735">
        <v>2891</v>
      </c>
      <c r="C27" s="736">
        <v>4308</v>
      </c>
      <c r="P27"/>
      <c r="S27"/>
    </row>
    <row r="28" spans="1:23" x14ac:dyDescent="0.2">
      <c r="A28" s="706" t="s">
        <v>1006</v>
      </c>
      <c r="B28" s="735">
        <v>0</v>
      </c>
      <c r="C28" s="736">
        <v>0</v>
      </c>
      <c r="P28"/>
      <c r="S28"/>
    </row>
    <row r="29" spans="1:23" x14ac:dyDescent="0.2">
      <c r="A29" s="706" t="s">
        <v>1007</v>
      </c>
      <c r="B29" s="735">
        <v>642</v>
      </c>
      <c r="C29" s="736">
        <v>0</v>
      </c>
      <c r="P29"/>
      <c r="S29"/>
    </row>
    <row r="30" spans="1:23" x14ac:dyDescent="0.2">
      <c r="A30" s="706" t="s">
        <v>1008</v>
      </c>
      <c r="B30" s="735">
        <v>642</v>
      </c>
      <c r="C30" s="736">
        <v>0</v>
      </c>
      <c r="P30"/>
      <c r="S30"/>
    </row>
    <row r="31" spans="1:23" x14ac:dyDescent="0.2">
      <c r="A31" s="706" t="s">
        <v>1009</v>
      </c>
      <c r="B31" s="735">
        <v>1499</v>
      </c>
      <c r="C31" s="736">
        <v>0</v>
      </c>
      <c r="P31"/>
      <c r="S31"/>
    </row>
    <row r="32" spans="1:23" x14ac:dyDescent="0.2">
      <c r="A32" s="706" t="s">
        <v>1010</v>
      </c>
      <c r="B32" s="735">
        <v>642</v>
      </c>
      <c r="C32" s="736">
        <v>0</v>
      </c>
      <c r="P32"/>
      <c r="S32"/>
    </row>
    <row r="33" spans="1:19" x14ac:dyDescent="0.2">
      <c r="A33" s="706" t="s">
        <v>1011</v>
      </c>
      <c r="B33" s="735">
        <v>642</v>
      </c>
      <c r="C33" s="736">
        <v>0</v>
      </c>
      <c r="P33"/>
      <c r="S33"/>
    </row>
    <row r="34" spans="1:19" x14ac:dyDescent="0.2">
      <c r="A34" s="706" t="s">
        <v>1012</v>
      </c>
      <c r="B34" s="735">
        <v>108</v>
      </c>
      <c r="C34" s="736">
        <v>144</v>
      </c>
      <c r="P34"/>
      <c r="S34"/>
    </row>
    <row r="35" spans="1:19" x14ac:dyDescent="0.2">
      <c r="A35" s="706" t="s">
        <v>1013</v>
      </c>
      <c r="B35" s="735">
        <v>322</v>
      </c>
      <c r="C35" s="736">
        <v>0</v>
      </c>
      <c r="P35"/>
      <c r="S35"/>
    </row>
    <row r="36" spans="1:19" x14ac:dyDescent="0.2">
      <c r="A36" s="706" t="s">
        <v>1014</v>
      </c>
      <c r="B36" s="735">
        <v>642</v>
      </c>
      <c r="C36" s="737">
        <v>0</v>
      </c>
      <c r="P36"/>
      <c r="S36"/>
    </row>
    <row r="37" spans="1:19" x14ac:dyDescent="0.2">
      <c r="A37" s="706" t="s">
        <v>1015</v>
      </c>
      <c r="B37" s="735">
        <v>0</v>
      </c>
      <c r="C37" s="737">
        <v>0</v>
      </c>
      <c r="P37"/>
      <c r="S37"/>
    </row>
    <row r="38" spans="1:19" ht="13.5" thickBot="1" x14ac:dyDescent="0.25">
      <c r="A38" s="721" t="s">
        <v>47</v>
      </c>
      <c r="B38" s="738">
        <f>SUM(B25:B37)</f>
        <v>12312</v>
      </c>
      <c r="C38" s="739">
        <v>0</v>
      </c>
      <c r="P38"/>
      <c r="S38"/>
    </row>
    <row r="39" spans="1:19" x14ac:dyDescent="0.2">
      <c r="P39"/>
      <c r="S39"/>
    </row>
    <row r="40" spans="1:19" x14ac:dyDescent="0.2">
      <c r="P40"/>
      <c r="S40"/>
    </row>
  </sheetData>
  <mergeCells count="11">
    <mergeCell ref="T4:T5"/>
    <mergeCell ref="A4:A5"/>
    <mergeCell ref="B4:B5"/>
    <mergeCell ref="A23:A24"/>
    <mergeCell ref="B23:B24"/>
    <mergeCell ref="C23:C24"/>
    <mergeCell ref="C4:H4"/>
    <mergeCell ref="Q4:Q5"/>
    <mergeCell ref="I4:I5"/>
    <mergeCell ref="J4:P4"/>
    <mergeCell ref="R4:R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37" hidden="1" customWidth="1"/>
    <col min="4" max="4" width="18.7109375" style="37" customWidth="1"/>
    <col min="5" max="5" width="14" style="37" hidden="1" customWidth="1"/>
    <col min="6" max="6" width="11.28515625" style="37" hidden="1" customWidth="1"/>
    <col min="7" max="7" width="13.5703125" style="37" hidden="1" customWidth="1"/>
    <col min="8" max="8" width="13.140625" style="37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56"/>
      <c r="B1" s="34"/>
      <c r="D1" s="57" t="s">
        <v>819</v>
      </c>
      <c r="F1" s="57" t="s">
        <v>819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758" t="s">
        <v>27</v>
      </c>
      <c r="B2" s="758"/>
      <c r="C2" s="758"/>
      <c r="D2" s="911"/>
      <c r="E2" s="911"/>
      <c r="F2" s="911"/>
      <c r="G2" s="911"/>
      <c r="H2" s="91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758" t="s">
        <v>818</v>
      </c>
      <c r="B3" s="758"/>
      <c r="C3" s="758"/>
      <c r="D3" s="911"/>
      <c r="E3" s="911"/>
      <c r="F3" s="911"/>
      <c r="G3" s="911"/>
      <c r="H3" s="9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56"/>
      <c r="B4" s="1"/>
      <c r="D4" s="57" t="s">
        <v>0</v>
      </c>
      <c r="F4" s="57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95.25" thickBot="1" x14ac:dyDescent="0.25">
      <c r="A5" s="217" t="s">
        <v>118</v>
      </c>
      <c r="B5" s="45" t="s">
        <v>209</v>
      </c>
      <c r="C5" s="45" t="s">
        <v>364</v>
      </c>
      <c r="D5" s="46" t="str">
        <f>'1.Bev-kiad.'!C7</f>
        <v>2023. évi eredeti előirányzat</v>
      </c>
      <c r="E5" s="534" t="str">
        <f>'1.Bev-kiad.'!D7</f>
        <v>Módosított előirányzat 2023.06.havi</v>
      </c>
      <c r="F5" s="45" t="str">
        <f>'1.Bev-kiad.'!E7</f>
        <v>Módosított előirányzat 2023.07.havi</v>
      </c>
      <c r="G5" s="311"/>
      <c r="H5" s="46" t="s">
        <v>720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47" t="s">
        <v>119</v>
      </c>
      <c r="B6" s="226" t="s">
        <v>338</v>
      </c>
      <c r="C6" s="173" t="e">
        <f t="shared" ref="C6:H6" si="0">SUM(C11+C18+C24)</f>
        <v>#REF!</v>
      </c>
      <c r="D6" s="173">
        <f t="shared" si="0"/>
        <v>43249</v>
      </c>
      <c r="E6" s="173">
        <f t="shared" si="0"/>
        <v>53817</v>
      </c>
      <c r="F6" s="173">
        <f t="shared" si="0"/>
        <v>65817</v>
      </c>
      <c r="G6" s="173" t="e">
        <f t="shared" si="0"/>
        <v>#REF!</v>
      </c>
      <c r="H6" s="173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8" t="s">
        <v>122</v>
      </c>
      <c r="B7" s="8" t="s">
        <v>126</v>
      </c>
      <c r="C7" s="6"/>
      <c r="D7" s="6"/>
      <c r="E7" s="6"/>
      <c r="F7" s="6"/>
      <c r="G7" s="6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8" t="s">
        <v>123</v>
      </c>
      <c r="B8" s="8" t="s">
        <v>127</v>
      </c>
      <c r="C8" s="11"/>
      <c r="D8" s="11"/>
      <c r="E8" s="11"/>
      <c r="F8" s="11"/>
      <c r="G8" s="11"/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8" t="s">
        <v>124</v>
      </c>
      <c r="B9" s="8" t="s">
        <v>128</v>
      </c>
      <c r="C9" s="11"/>
      <c r="D9" s="11"/>
      <c r="E9" s="11"/>
      <c r="F9" s="11"/>
      <c r="G9" s="11"/>
      <c r="H9" s="1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8" t="s">
        <v>125</v>
      </c>
      <c r="B10" s="8" t="s">
        <v>130</v>
      </c>
      <c r="C10" s="11"/>
      <c r="D10" s="11"/>
      <c r="E10" s="11"/>
      <c r="F10" s="11"/>
      <c r="G10" s="11"/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4" t="s">
        <v>131</v>
      </c>
      <c r="B11" s="23" t="s">
        <v>248</v>
      </c>
      <c r="C11" s="38" t="e">
        <f t="shared" ref="C11:H11" si="1">C12+C15</f>
        <v>#REF!</v>
      </c>
      <c r="D11" s="38">
        <f t="shared" si="1"/>
        <v>10249</v>
      </c>
      <c r="E11" s="38">
        <f t="shared" si="1"/>
        <v>44746</v>
      </c>
      <c r="F11" s="38">
        <f t="shared" si="1"/>
        <v>44746</v>
      </c>
      <c r="G11" s="38" t="e">
        <f t="shared" si="1"/>
        <v>#REF!</v>
      </c>
      <c r="H11" s="38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8" t="s">
        <v>132</v>
      </c>
      <c r="B12" s="8" t="s">
        <v>325</v>
      </c>
      <c r="C12" s="11" t="e">
        <f>#REF!+#REF!</f>
        <v>#REF!</v>
      </c>
      <c r="D12" s="11">
        <f>SUM(D13:D13)</f>
        <v>10249</v>
      </c>
      <c r="E12" s="11">
        <f>SUM(E13:E13)</f>
        <v>11148</v>
      </c>
      <c r="F12" s="11">
        <f>SUM(F13:F13)</f>
        <v>11148</v>
      </c>
      <c r="G12" s="11" t="e">
        <f>#REF!+#REF!</f>
        <v>#REF!</v>
      </c>
      <c r="H12" s="11"/>
      <c r="I12" s="2"/>
      <c r="P12" s="7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8"/>
      <c r="B13" s="8" t="s">
        <v>797</v>
      </c>
      <c r="C13" s="13">
        <v>0</v>
      </c>
      <c r="D13" s="261">
        <v>10249</v>
      </c>
      <c r="E13" s="13">
        <f>15000-3852</f>
        <v>11148</v>
      </c>
      <c r="F13" s="13">
        <f>15000-3852</f>
        <v>11148</v>
      </c>
      <c r="G13" s="13"/>
      <c r="H13" s="13"/>
      <c r="I13" s="2"/>
      <c r="J13" s="2"/>
      <c r="K13" s="502"/>
      <c r="L13" s="314"/>
      <c r="M13" s="503"/>
      <c r="N13" s="314"/>
      <c r="O13" s="31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8"/>
      <c r="B14" s="8"/>
      <c r="C14" s="13"/>
      <c r="D14" s="13"/>
      <c r="E14" s="13"/>
      <c r="F14" s="13"/>
      <c r="G14" s="13"/>
      <c r="H14" s="13"/>
      <c r="I14" s="2"/>
      <c r="J14" s="2"/>
      <c r="K14" s="502" t="s">
        <v>766</v>
      </c>
      <c r="L14" s="504"/>
      <c r="M14" s="503"/>
      <c r="N14" s="504"/>
      <c r="O14" s="50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8" t="s">
        <v>172</v>
      </c>
      <c r="B15" s="8" t="s">
        <v>326</v>
      </c>
      <c r="C15" s="11">
        <f t="shared" ref="C15:H15" si="2">SUM(C16:C17)</f>
        <v>33598</v>
      </c>
      <c r="D15" s="11">
        <f t="shared" si="2"/>
        <v>0</v>
      </c>
      <c r="E15" s="11">
        <f t="shared" si="2"/>
        <v>33598</v>
      </c>
      <c r="F15" s="11">
        <f t="shared" si="2"/>
        <v>33598</v>
      </c>
      <c r="G15" s="11">
        <f t="shared" si="2"/>
        <v>33598</v>
      </c>
      <c r="H15" s="11">
        <f t="shared" si="2"/>
        <v>0</v>
      </c>
      <c r="I15" s="2"/>
      <c r="J15" s="2" t="s">
        <v>767</v>
      </c>
      <c r="K15" s="13">
        <v>104400</v>
      </c>
      <c r="L15" s="7">
        <v>115800</v>
      </c>
      <c r="M15" s="7">
        <f>(L15-K15)</f>
        <v>11400</v>
      </c>
      <c r="N15" s="7">
        <v>4200</v>
      </c>
      <c r="O15" s="192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8"/>
      <c r="B16" s="20" t="s">
        <v>757</v>
      </c>
      <c r="C16" s="13">
        <v>31233</v>
      </c>
      <c r="D16" s="13"/>
      <c r="E16" s="13">
        <v>31233</v>
      </c>
      <c r="F16" s="13">
        <v>31233</v>
      </c>
      <c r="G16" s="13">
        <v>31233</v>
      </c>
      <c r="H16" s="13"/>
      <c r="I16" s="2"/>
      <c r="J16" s="2" t="s">
        <v>768</v>
      </c>
      <c r="K16" s="13">
        <v>226930</v>
      </c>
      <c r="L16" s="7">
        <v>229295</v>
      </c>
      <c r="M16" s="7">
        <f>(L16-K16)</f>
        <v>2365</v>
      </c>
      <c r="N16" s="7">
        <v>5500</v>
      </c>
      <c r="O16" s="192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8"/>
      <c r="B17" s="20" t="s">
        <v>758</v>
      </c>
      <c r="C17" s="13">
        <v>2365</v>
      </c>
      <c r="D17" s="13"/>
      <c r="E17" s="13">
        <v>2365</v>
      </c>
      <c r="F17" s="13">
        <v>2365</v>
      </c>
      <c r="G17" s="13">
        <v>2365</v>
      </c>
      <c r="H17" s="13"/>
      <c r="I17" s="2"/>
      <c r="J17" s="2"/>
      <c r="K17" s="7"/>
      <c r="L17" s="7"/>
      <c r="M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4" t="s">
        <v>178</v>
      </c>
      <c r="B18" s="23" t="s">
        <v>249</v>
      </c>
      <c r="C18" s="38">
        <f t="shared" ref="C18:H18" si="3">SUM(C19:C23)</f>
        <v>0</v>
      </c>
      <c r="D18" s="38">
        <f t="shared" si="3"/>
        <v>22700</v>
      </c>
      <c r="E18" s="38">
        <f t="shared" si="3"/>
        <v>1056</v>
      </c>
      <c r="F18" s="38">
        <f>SUM(F19:F23)</f>
        <v>13056</v>
      </c>
      <c r="G18" s="38">
        <f t="shared" si="3"/>
        <v>0</v>
      </c>
      <c r="H18" s="38">
        <f t="shared" si="3"/>
        <v>0</v>
      </c>
      <c r="I18" s="2"/>
      <c r="J18" s="2"/>
      <c r="K18" s="7"/>
      <c r="L18" s="7"/>
      <c r="M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8" t="s">
        <v>179</v>
      </c>
      <c r="B19" s="20" t="s">
        <v>402</v>
      </c>
      <c r="C19" s="11"/>
      <c r="D19" s="11"/>
      <c r="E19" s="11"/>
      <c r="F19" s="11"/>
      <c r="G19" s="11"/>
      <c r="H19" s="11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8" t="s">
        <v>180</v>
      </c>
      <c r="B20" s="20" t="s">
        <v>820</v>
      </c>
      <c r="C20" s="13">
        <v>0</v>
      </c>
      <c r="D20" s="261">
        <f>(10700+12000)</f>
        <v>22700</v>
      </c>
      <c r="E20" s="13">
        <v>1056</v>
      </c>
      <c r="F20" s="13">
        <f>1056+12000</f>
        <v>13056</v>
      </c>
      <c r="G20" s="13"/>
      <c r="H20" s="13"/>
      <c r="I20" s="29" t="s">
        <v>825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8" t="s">
        <v>181</v>
      </c>
      <c r="B21" s="20" t="s">
        <v>451</v>
      </c>
      <c r="C21" s="11"/>
      <c r="D21" s="11"/>
      <c r="E21" s="11"/>
      <c r="F21" s="11"/>
      <c r="G21" s="11"/>
      <c r="H21" s="11"/>
      <c r="I21" s="28" t="s">
        <v>824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8" t="s">
        <v>182</v>
      </c>
      <c r="B22" s="20" t="s">
        <v>250</v>
      </c>
      <c r="C22" s="11"/>
      <c r="D22" s="11"/>
      <c r="E22" s="11"/>
      <c r="F22" s="11"/>
      <c r="G22" s="11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8" t="s">
        <v>183</v>
      </c>
      <c r="B23" s="20" t="s">
        <v>251</v>
      </c>
      <c r="C23" s="11"/>
      <c r="D23" s="11"/>
      <c r="E23" s="11"/>
      <c r="F23" s="11"/>
      <c r="G23" s="11"/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4" t="s">
        <v>190</v>
      </c>
      <c r="B24" s="23" t="s">
        <v>388</v>
      </c>
      <c r="C24" s="38">
        <f t="shared" ref="C24:H24" si="4">C26</f>
        <v>8015</v>
      </c>
      <c r="D24" s="38">
        <f t="shared" si="4"/>
        <v>10300</v>
      </c>
      <c r="E24" s="38">
        <f t="shared" si="4"/>
        <v>8015</v>
      </c>
      <c r="F24" s="38">
        <f t="shared" si="4"/>
        <v>8015</v>
      </c>
      <c r="G24" s="38">
        <f t="shared" si="4"/>
        <v>8015</v>
      </c>
      <c r="H24" s="38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8" t="s">
        <v>190</v>
      </c>
      <c r="B25" s="20" t="s">
        <v>394</v>
      </c>
      <c r="C25" s="49"/>
      <c r="D25" s="49"/>
      <c r="E25" s="49"/>
      <c r="F25" s="49"/>
      <c r="G25" s="49"/>
      <c r="H25" s="4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8" t="s">
        <v>483</v>
      </c>
      <c r="B26" s="20" t="s">
        <v>838</v>
      </c>
      <c r="C26" s="166">
        <f t="shared" ref="C26:H26" si="5">C27</f>
        <v>8015</v>
      </c>
      <c r="D26" s="541">
        <v>10300</v>
      </c>
      <c r="E26" s="166">
        <f t="shared" si="5"/>
        <v>8015</v>
      </c>
      <c r="F26" s="166">
        <f t="shared" si="5"/>
        <v>8015</v>
      </c>
      <c r="G26" s="166">
        <f t="shared" si="5"/>
        <v>8015</v>
      </c>
      <c r="H26" s="166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8"/>
      <c r="B27" s="20"/>
      <c r="C27" s="166">
        <v>8015</v>
      </c>
      <c r="D27" s="166"/>
      <c r="E27" s="166">
        <v>8015</v>
      </c>
      <c r="F27" s="166">
        <v>8015</v>
      </c>
      <c r="G27" s="166">
        <v>8015</v>
      </c>
      <c r="H27" s="16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8"/>
      <c r="B28" s="172" t="s">
        <v>339</v>
      </c>
      <c r="C28" s="159">
        <f t="shared" ref="C28:H28" si="6">SUM(C29+C34)</f>
        <v>1273797</v>
      </c>
      <c r="D28" s="159">
        <f t="shared" si="6"/>
        <v>949598</v>
      </c>
      <c r="E28" s="159">
        <f t="shared" si="6"/>
        <v>1273797</v>
      </c>
      <c r="F28" s="159">
        <f t="shared" si="6"/>
        <v>1273797</v>
      </c>
      <c r="G28" s="159">
        <f t="shared" si="6"/>
        <v>1273797</v>
      </c>
      <c r="H28" s="159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8"/>
      <c r="B29" s="18" t="s">
        <v>253</v>
      </c>
      <c r="C29" s="191">
        <f t="shared" ref="C29:H29" si="7">C30</f>
        <v>1095597</v>
      </c>
      <c r="D29" s="191">
        <f t="shared" si="7"/>
        <v>749598</v>
      </c>
      <c r="E29" s="191">
        <f t="shared" si="7"/>
        <v>1095597</v>
      </c>
      <c r="F29" s="191">
        <f t="shared" si="7"/>
        <v>1095597</v>
      </c>
      <c r="G29" s="191">
        <f t="shared" si="7"/>
        <v>1095597</v>
      </c>
      <c r="H29" s="191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8"/>
      <c r="B30" s="31" t="s">
        <v>427</v>
      </c>
      <c r="C30" s="11">
        <v>1095597</v>
      </c>
      <c r="D30" s="11">
        <f>SUM(D31:D32)</f>
        <v>749598</v>
      </c>
      <c r="E30" s="11">
        <v>1095597</v>
      </c>
      <c r="F30" s="11">
        <v>1095597</v>
      </c>
      <c r="G30" s="11">
        <v>1095597</v>
      </c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8"/>
      <c r="B31" s="31" t="s">
        <v>848</v>
      </c>
      <c r="C31" s="11"/>
      <c r="D31" s="13">
        <f>(632574-19378-10058-5652)</f>
        <v>597486</v>
      </c>
      <c r="E31" s="11"/>
      <c r="F31" s="11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8"/>
      <c r="B32" s="31" t="s">
        <v>849</v>
      </c>
      <c r="C32" s="11"/>
      <c r="D32" s="13">
        <f>(226930-68956-3881-1049-246-686)</f>
        <v>152112</v>
      </c>
      <c r="E32" s="11"/>
      <c r="F32" s="11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8"/>
      <c r="B33" s="31"/>
      <c r="C33" s="11"/>
      <c r="D33" s="11"/>
      <c r="E33" s="11"/>
      <c r="F33" s="11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8"/>
      <c r="B34" s="18" t="s">
        <v>254</v>
      </c>
      <c r="C34" s="38">
        <f>SUM(C35:C36)</f>
        <v>178200</v>
      </c>
      <c r="D34" s="38">
        <f>SUM(D35:D37)</f>
        <v>200000</v>
      </c>
      <c r="E34" s="38">
        <f>SUM(E35:E36)</f>
        <v>178200</v>
      </c>
      <c r="F34" s="38">
        <f>SUM(F35:F36)</f>
        <v>178200</v>
      </c>
      <c r="G34" s="38">
        <f>SUM(G35:G36)</f>
        <v>178200</v>
      </c>
      <c r="H34" s="38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2"/>
      <c r="B35" s="8" t="s">
        <v>851</v>
      </c>
      <c r="C35" s="11">
        <v>78200</v>
      </c>
      <c r="D35" s="530">
        <v>100000</v>
      </c>
      <c r="E35" s="11">
        <v>78200</v>
      </c>
      <c r="F35" s="11">
        <v>78200</v>
      </c>
      <c r="G35" s="11">
        <v>78200</v>
      </c>
      <c r="H35" s="50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8"/>
      <c r="B36" s="8" t="s">
        <v>821</v>
      </c>
      <c r="C36" s="11">
        <v>100000</v>
      </c>
      <c r="D36" s="530">
        <v>100000</v>
      </c>
      <c r="E36" s="11">
        <v>100000</v>
      </c>
      <c r="F36" s="11">
        <v>100000</v>
      </c>
      <c r="G36" s="80">
        <v>100000</v>
      </c>
      <c r="H36" s="8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2"/>
      <c r="B37" s="12"/>
      <c r="C37" s="80"/>
      <c r="D37" s="80"/>
      <c r="E37" s="80"/>
      <c r="F37" s="80"/>
      <c r="G37" s="527"/>
      <c r="H37" s="52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17"/>
      <c r="B38" s="216" t="s">
        <v>375</v>
      </c>
      <c r="C38" s="227" t="e">
        <f t="shared" ref="C38:H38" si="8">SUM(C6+C28)</f>
        <v>#REF!</v>
      </c>
      <c r="D38" s="227">
        <f t="shared" si="8"/>
        <v>992847</v>
      </c>
      <c r="E38" s="227">
        <f t="shared" si="8"/>
        <v>1327614</v>
      </c>
      <c r="F38" s="248">
        <f t="shared" si="8"/>
        <v>1339614</v>
      </c>
      <c r="G38" s="529" t="e">
        <f t="shared" si="8"/>
        <v>#REF!</v>
      </c>
      <c r="H38" s="248">
        <f t="shared" si="8"/>
        <v>0</v>
      </c>
      <c r="I38" s="912" t="s">
        <v>863</v>
      </c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47" t="s">
        <v>352</v>
      </c>
      <c r="B39" s="225" t="s">
        <v>340</v>
      </c>
      <c r="C39" s="174" t="e">
        <f t="shared" ref="C39:H39" si="9">SUM(C40+C77+C93+C96)</f>
        <v>#REF!</v>
      </c>
      <c r="D39" s="174">
        <f t="shared" si="9"/>
        <v>1066397</v>
      </c>
      <c r="E39" s="174" t="e">
        <f t="shared" si="9"/>
        <v>#REF!</v>
      </c>
      <c r="F39" s="174" t="e">
        <f t="shared" si="9"/>
        <v>#REF!</v>
      </c>
      <c r="G39" s="174" t="e">
        <f t="shared" si="9"/>
        <v>#REF!</v>
      </c>
      <c r="H39" s="174" t="e">
        <f t="shared" si="9"/>
        <v>#REF!</v>
      </c>
      <c r="I39" s="543" t="s">
        <v>860</v>
      </c>
      <c r="J39" s="544"/>
      <c r="K39" s="544"/>
      <c r="L39" s="544"/>
      <c r="M39" s="544"/>
      <c r="N39" s="544"/>
      <c r="O39" s="544"/>
      <c r="P39" s="543" t="s">
        <v>861</v>
      </c>
      <c r="Q39" s="504"/>
      <c r="R39" s="504"/>
      <c r="S39" s="543" t="s">
        <v>862</v>
      </c>
      <c r="T39" s="543" t="s">
        <v>859</v>
      </c>
      <c r="U39" s="543" t="s">
        <v>419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4" t="s">
        <v>252</v>
      </c>
      <c r="B40" s="23" t="s">
        <v>5</v>
      </c>
      <c r="C40" s="159" t="e">
        <f t="shared" ref="C40:H40" si="10">SUM(C41+C68)</f>
        <v>#REF!</v>
      </c>
      <c r="D40" s="159">
        <f t="shared" si="10"/>
        <v>63555</v>
      </c>
      <c r="E40" s="159">
        <f t="shared" si="10"/>
        <v>137991</v>
      </c>
      <c r="F40" s="159">
        <f t="shared" si="10"/>
        <v>138464</v>
      </c>
      <c r="G40" s="159">
        <f t="shared" si="10"/>
        <v>105259</v>
      </c>
      <c r="H40" s="159">
        <f t="shared" si="10"/>
        <v>0</v>
      </c>
      <c r="I40" s="11" t="e">
        <f>SUM(D41+D85+'8.Önk.'!#REF!)</f>
        <v>#REF!</v>
      </c>
      <c r="J40" s="8"/>
      <c r="K40" s="8"/>
      <c r="L40" s="8"/>
      <c r="M40" s="8"/>
      <c r="N40" s="8"/>
      <c r="O40" s="8"/>
      <c r="P40" s="11" t="e">
        <f>SUM(D80+I80+D83+I83+D81+I81+'8.Önk.'!#REF!)</f>
        <v>#REF!</v>
      </c>
      <c r="Q40" s="2"/>
      <c r="R40" s="2"/>
      <c r="S40" s="11" t="e">
        <f>SUM(D79+I79+D82+I82+'8.Önk.'!#REF!)</f>
        <v>#REF!</v>
      </c>
      <c r="T40" s="11" t="e">
        <f>SUM(P40:S40)</f>
        <v>#REF!</v>
      </c>
      <c r="U40" s="11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4"/>
      <c r="B41" s="24" t="s">
        <v>341</v>
      </c>
      <c r="C41" s="148">
        <f t="shared" ref="C41:H41" si="11">SUM(C42+C47+C67)</f>
        <v>115700</v>
      </c>
      <c r="D41" s="148">
        <f t="shared" si="11"/>
        <v>62555</v>
      </c>
      <c r="E41" s="148">
        <f t="shared" si="11"/>
        <v>136991</v>
      </c>
      <c r="F41" s="148">
        <f t="shared" si="11"/>
        <v>137464</v>
      </c>
      <c r="G41" s="148">
        <f t="shared" si="11"/>
        <v>104259</v>
      </c>
      <c r="H41" s="148">
        <f t="shared" si="11"/>
        <v>0</v>
      </c>
      <c r="I41" s="914" t="e">
        <f>SUM(I40+P40)</f>
        <v>#REF!</v>
      </c>
      <c r="J41" s="914"/>
      <c r="K41" s="914"/>
      <c r="L41" s="914"/>
      <c r="M41" s="914"/>
      <c r="N41" s="914"/>
      <c r="O41" s="914"/>
      <c r="P41" s="914"/>
      <c r="Q41" s="2"/>
      <c r="R41" s="2"/>
      <c r="S41" s="8"/>
      <c r="T41" s="8"/>
      <c r="U41" s="8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4"/>
      <c r="B42" s="24" t="s">
        <v>345</v>
      </c>
      <c r="C42" s="148">
        <f>SUM(C43:C45)</f>
        <v>11441</v>
      </c>
      <c r="D42" s="148">
        <f>SUM(D45:D46)</f>
        <v>0</v>
      </c>
      <c r="E42" s="148">
        <f>SUM(E43:E45)</f>
        <v>20326</v>
      </c>
      <c r="F42" s="148">
        <f>SUM(F43:F45)</f>
        <v>20326</v>
      </c>
      <c r="G42" s="148">
        <f>SUM(G43:G43)</f>
        <v>0</v>
      </c>
      <c r="H42" s="148">
        <f>H43</f>
        <v>0</v>
      </c>
      <c r="I42" s="16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4"/>
      <c r="B43" s="19" t="s">
        <v>759</v>
      </c>
      <c r="C43" s="11">
        <v>11441</v>
      </c>
      <c r="D43" s="11">
        <v>0</v>
      </c>
      <c r="E43" s="11">
        <v>0</v>
      </c>
      <c r="F43" s="11">
        <v>0</v>
      </c>
      <c r="G43" s="11">
        <v>0</v>
      </c>
      <c r="H43" s="13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4"/>
      <c r="B44" s="8" t="s">
        <v>800</v>
      </c>
      <c r="C44" s="11">
        <v>0</v>
      </c>
      <c r="D44" s="11">
        <v>0</v>
      </c>
      <c r="E44" s="11">
        <v>11995</v>
      </c>
      <c r="F44" s="11">
        <v>11995</v>
      </c>
      <c r="G44" s="11"/>
      <c r="H44" s="1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4"/>
      <c r="B45" s="8" t="s">
        <v>801</v>
      </c>
      <c r="C45" s="11">
        <v>0</v>
      </c>
      <c r="D45" s="11">
        <v>0</v>
      </c>
      <c r="E45" s="11">
        <v>8331</v>
      </c>
      <c r="F45" s="11">
        <v>8331</v>
      </c>
      <c r="G45" s="11"/>
      <c r="H45" s="1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4"/>
      <c r="B46" s="8"/>
      <c r="C46" s="11"/>
      <c r="D46" s="11"/>
      <c r="E46" s="11"/>
      <c r="F46" s="11"/>
      <c r="G46" s="11"/>
      <c r="H46" s="1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4"/>
      <c r="B47" s="14" t="s">
        <v>344</v>
      </c>
      <c r="C47" s="5">
        <f t="shared" ref="C47:H47" si="12">SUM(C48:C59)</f>
        <v>26059</v>
      </c>
      <c r="D47" s="5">
        <f>SUM(D60:D66)</f>
        <v>62555</v>
      </c>
      <c r="E47" s="5">
        <f>SUM(E48:E59)</f>
        <v>38465</v>
      </c>
      <c r="F47" s="5">
        <f>SUM(F48:F59)</f>
        <v>38938</v>
      </c>
      <c r="G47" s="5">
        <f t="shared" si="12"/>
        <v>26059</v>
      </c>
      <c r="H47" s="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4"/>
      <c r="B48" s="8" t="s">
        <v>456</v>
      </c>
      <c r="C48" s="13">
        <v>22000</v>
      </c>
      <c r="D48" s="13"/>
      <c r="E48" s="13">
        <f>22000+12-4680</f>
        <v>17332</v>
      </c>
      <c r="F48" s="13">
        <f>22000+12-4680</f>
        <v>17332</v>
      </c>
      <c r="G48" s="501">
        <v>22000</v>
      </c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4"/>
      <c r="B49" s="8" t="s">
        <v>760</v>
      </c>
      <c r="C49" s="13">
        <v>850</v>
      </c>
      <c r="D49" s="13"/>
      <c r="E49" s="13">
        <v>850</v>
      </c>
      <c r="F49" s="13">
        <f>850+120</f>
        <v>970</v>
      </c>
      <c r="G49" s="501">
        <v>850</v>
      </c>
      <c r="H49" s="11"/>
      <c r="I49" s="7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4"/>
      <c r="B50" s="8" t="s">
        <v>761</v>
      </c>
      <c r="C50" s="13">
        <v>709</v>
      </c>
      <c r="D50" s="13"/>
      <c r="E50" s="13">
        <v>709</v>
      </c>
      <c r="F50" s="13">
        <v>709</v>
      </c>
      <c r="G50" s="501">
        <v>709</v>
      </c>
      <c r="H50" s="11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4"/>
      <c r="B51" s="8" t="s">
        <v>458</v>
      </c>
      <c r="C51" s="13">
        <v>2500</v>
      </c>
      <c r="D51" s="13"/>
      <c r="E51" s="13">
        <f>2500+500</f>
        <v>3000</v>
      </c>
      <c r="F51" s="13">
        <f>2500+500</f>
        <v>3000</v>
      </c>
      <c r="G51" s="501">
        <v>2500</v>
      </c>
      <c r="H51" s="11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4"/>
      <c r="B52" s="19" t="s">
        <v>795</v>
      </c>
      <c r="C52" s="13">
        <v>0</v>
      </c>
      <c r="D52" s="13"/>
      <c r="E52" s="13">
        <v>11441</v>
      </c>
      <c r="F52" s="13">
        <v>11441</v>
      </c>
      <c r="G52" s="501"/>
      <c r="H52" s="11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4"/>
      <c r="B53" s="8" t="s">
        <v>798</v>
      </c>
      <c r="C53" s="13">
        <v>0</v>
      </c>
      <c r="D53" s="13">
        <v>0</v>
      </c>
      <c r="E53" s="13">
        <v>573</v>
      </c>
      <c r="F53" s="13">
        <v>573</v>
      </c>
      <c r="G53" s="501"/>
      <c r="H53" s="11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4"/>
      <c r="B54" s="8" t="s">
        <v>799</v>
      </c>
      <c r="C54" s="13">
        <v>0</v>
      </c>
      <c r="D54" s="13">
        <v>0</v>
      </c>
      <c r="E54" s="13">
        <v>3747</v>
      </c>
      <c r="F54" s="13">
        <v>3747</v>
      </c>
      <c r="G54" s="501"/>
      <c r="H54" s="11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4"/>
      <c r="B55" s="8" t="s">
        <v>804</v>
      </c>
      <c r="C55" s="13">
        <v>0</v>
      </c>
      <c r="D55" s="13">
        <v>0</v>
      </c>
      <c r="E55" s="13">
        <v>114</v>
      </c>
      <c r="F55" s="13">
        <v>114</v>
      </c>
      <c r="G55" s="501"/>
      <c r="H55" s="11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4"/>
      <c r="B56" s="8" t="s">
        <v>814</v>
      </c>
      <c r="C56" s="13">
        <v>0</v>
      </c>
      <c r="D56" s="13">
        <v>0</v>
      </c>
      <c r="E56" s="13">
        <v>298</v>
      </c>
      <c r="F56" s="13">
        <v>298</v>
      </c>
      <c r="G56" s="501"/>
      <c r="H56" s="11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4"/>
      <c r="B57" s="8" t="s">
        <v>805</v>
      </c>
      <c r="C57" s="13">
        <v>0</v>
      </c>
      <c r="D57" s="13">
        <v>0</v>
      </c>
      <c r="E57" s="13">
        <v>401</v>
      </c>
      <c r="F57" s="13">
        <v>401</v>
      </c>
      <c r="G57" s="501"/>
      <c r="H57" s="11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4"/>
      <c r="B58" s="8" t="s">
        <v>813</v>
      </c>
      <c r="C58" s="13">
        <v>0</v>
      </c>
      <c r="D58" s="13">
        <v>0</v>
      </c>
      <c r="E58" s="13">
        <v>0</v>
      </c>
      <c r="F58" s="13">
        <v>237</v>
      </c>
      <c r="G58" s="13">
        <v>0</v>
      </c>
      <c r="H58" s="13">
        <v>0</v>
      </c>
      <c r="I58" s="7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4"/>
      <c r="B59" s="19" t="s">
        <v>815</v>
      </c>
      <c r="C59" s="13">
        <v>0</v>
      </c>
      <c r="D59" s="13">
        <v>0</v>
      </c>
      <c r="E59" s="13">
        <v>0</v>
      </c>
      <c r="F59" s="13">
        <v>116</v>
      </c>
      <c r="G59" s="13">
        <v>0</v>
      </c>
      <c r="H59" s="13">
        <v>0</v>
      </c>
      <c r="I59" s="7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4"/>
      <c r="B60" s="547" t="s">
        <v>840</v>
      </c>
      <c r="C60" s="13"/>
      <c r="D60" s="545">
        <v>26000</v>
      </c>
      <c r="E60" s="13"/>
      <c r="F60" s="13"/>
      <c r="G60" s="13"/>
      <c r="H60" s="13"/>
      <c r="I60" s="546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4"/>
      <c r="B61" s="19" t="s">
        <v>841</v>
      </c>
      <c r="C61" s="13"/>
      <c r="D61" s="261">
        <v>10800</v>
      </c>
      <c r="E61" s="13"/>
      <c r="F61" s="13"/>
      <c r="G61" s="13"/>
      <c r="H61" s="13"/>
      <c r="I61" s="546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4"/>
      <c r="B62" s="19" t="s">
        <v>842</v>
      </c>
      <c r="C62" s="13"/>
      <c r="D62" s="261"/>
      <c r="E62" s="13"/>
      <c r="F62" s="13"/>
      <c r="G62" s="13"/>
      <c r="H62" s="13"/>
      <c r="I62" s="546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4"/>
      <c r="B63" s="19" t="s">
        <v>854</v>
      </c>
      <c r="C63" s="13"/>
      <c r="D63" s="261">
        <v>3200</v>
      </c>
      <c r="E63" s="13"/>
      <c r="F63" s="13"/>
      <c r="G63" s="13"/>
      <c r="H63" s="13"/>
      <c r="I63" s="546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4"/>
      <c r="B64" s="547" t="s">
        <v>843</v>
      </c>
      <c r="C64" s="13"/>
      <c r="D64" s="261">
        <v>18745</v>
      </c>
      <c r="E64" s="13"/>
      <c r="F64" s="13"/>
      <c r="G64" s="13"/>
      <c r="H64" s="13"/>
      <c r="I64" s="7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4"/>
      <c r="B65" s="19" t="s">
        <v>850</v>
      </c>
      <c r="C65" s="13"/>
      <c r="D65" s="261">
        <v>3810</v>
      </c>
      <c r="E65" s="13"/>
      <c r="F65" s="13"/>
      <c r="G65" s="13"/>
      <c r="H65" s="13"/>
      <c r="I65" s="7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4"/>
      <c r="B66" s="19"/>
      <c r="C66" s="13"/>
      <c r="D66" s="13"/>
      <c r="E66" s="13"/>
      <c r="F66" s="13"/>
      <c r="G66" s="13"/>
      <c r="H66" s="13"/>
      <c r="I66" s="7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4"/>
      <c r="B67" s="14" t="s">
        <v>762</v>
      </c>
      <c r="C67" s="5">
        <v>78200</v>
      </c>
      <c r="D67" s="5"/>
      <c r="E67" s="5">
        <v>78200</v>
      </c>
      <c r="F67" s="5">
        <v>78200</v>
      </c>
      <c r="G67" s="5">
        <v>78200</v>
      </c>
      <c r="H67" s="13"/>
      <c r="I67" s="2"/>
      <c r="J67" s="2"/>
      <c r="K67" s="2"/>
      <c r="L67" s="2"/>
      <c r="M67" s="2"/>
      <c r="N67" s="2"/>
      <c r="O67" s="2"/>
      <c r="P67" s="7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4"/>
      <c r="B68" s="14" t="s">
        <v>383</v>
      </c>
      <c r="C68" s="5" t="e">
        <f>SUM(C69)</f>
        <v>#REF!</v>
      </c>
      <c r="D68" s="5">
        <f>SUM(D69)</f>
        <v>1000</v>
      </c>
      <c r="E68" s="5">
        <f>SUM(E69)</f>
        <v>1000</v>
      </c>
      <c r="F68" s="5">
        <f>SUM(F69)</f>
        <v>1000</v>
      </c>
      <c r="G68" s="5">
        <f>SUM(G69)</f>
        <v>1000</v>
      </c>
      <c r="H68" s="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4"/>
      <c r="B69" s="8" t="s">
        <v>822</v>
      </c>
      <c r="C69" s="13" t="e">
        <f>'9.Hivatal'!#REF!</f>
        <v>#REF!</v>
      </c>
      <c r="D69" s="261">
        <f>SUM('9.Hivatal'!T79)</f>
        <v>1000</v>
      </c>
      <c r="E69" s="13">
        <f>'9.Hivatal'!T77</f>
        <v>1000</v>
      </c>
      <c r="F69" s="13">
        <f>'9.Hivatal'!U77</f>
        <v>1000</v>
      </c>
      <c r="G69" s="13">
        <f>'9.Hivatal'!X77</f>
        <v>1000</v>
      </c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4"/>
      <c r="B70" s="8"/>
      <c r="C70" s="13"/>
      <c r="D70" s="13"/>
      <c r="E70" s="13"/>
      <c r="F70" s="13"/>
      <c r="G70" s="13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4"/>
      <c r="B71" s="8"/>
      <c r="C71" s="13"/>
      <c r="D71" s="13"/>
      <c r="E71" s="13"/>
      <c r="F71" s="13"/>
      <c r="G71" s="13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4"/>
      <c r="B72" s="8"/>
      <c r="C72" s="13"/>
      <c r="D72" s="13"/>
      <c r="E72" s="13"/>
      <c r="F72" s="13"/>
      <c r="G72" s="13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4"/>
      <c r="B73" s="8"/>
      <c r="C73" s="13"/>
      <c r="D73" s="13"/>
      <c r="E73" s="13"/>
      <c r="F73" s="13"/>
      <c r="G73" s="13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4"/>
      <c r="B74" s="168"/>
      <c r="C74" s="49"/>
      <c r="D74" s="49"/>
      <c r="E74" s="49"/>
      <c r="F74" s="49"/>
      <c r="G74" s="49"/>
      <c r="H74" s="4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4"/>
      <c r="B75" s="8"/>
      <c r="C75" s="49"/>
      <c r="D75" s="49"/>
      <c r="E75" s="49"/>
      <c r="F75" s="49"/>
      <c r="G75" s="49"/>
      <c r="H75" s="4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4"/>
      <c r="B76" s="8"/>
      <c r="C76" s="49"/>
      <c r="D76" s="49"/>
      <c r="E76" s="49"/>
      <c r="F76" s="49"/>
      <c r="G76" s="49"/>
      <c r="H76" s="4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8" customHeight="1" x14ac:dyDescent="0.25">
      <c r="A77" s="14" t="s">
        <v>355</v>
      </c>
      <c r="B77" s="23" t="s">
        <v>1</v>
      </c>
      <c r="C77" s="159">
        <f>SUM(C78+C85)</f>
        <v>512995</v>
      </c>
      <c r="D77" s="159">
        <f>SUM(D78+D85)</f>
        <v>1002842</v>
      </c>
      <c r="E77" s="159">
        <f>SUM(E78+E85)</f>
        <v>552629</v>
      </c>
      <c r="F77" s="159">
        <f>SUM(F78+F85)</f>
        <v>535599</v>
      </c>
      <c r="G77" s="159">
        <f>SUM(G78+G85)</f>
        <v>512995</v>
      </c>
      <c r="H77" s="159">
        <f>SUM(H78+H86)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3.5" customHeight="1" x14ac:dyDescent="0.2">
      <c r="A78" s="14"/>
      <c r="B78" s="14" t="s">
        <v>2</v>
      </c>
      <c r="C78" s="148">
        <f t="shared" ref="C78:H78" si="13">SUM(C79:C82)</f>
        <v>511995</v>
      </c>
      <c r="D78" s="148">
        <f t="shared" si="13"/>
        <v>612402</v>
      </c>
      <c r="E78" s="148">
        <f t="shared" si="13"/>
        <v>529053</v>
      </c>
      <c r="F78" s="148">
        <f t="shared" si="13"/>
        <v>514393</v>
      </c>
      <c r="G78" s="148">
        <f t="shared" si="13"/>
        <v>511995</v>
      </c>
      <c r="H78" s="148">
        <f t="shared" si="13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3.5" customHeight="1" x14ac:dyDescent="0.2">
      <c r="A79" s="14"/>
      <c r="B79" s="20" t="s">
        <v>839</v>
      </c>
      <c r="C79" s="11">
        <f>'13.2.EU projekt részletesen'!M15/1000</f>
        <v>212795</v>
      </c>
      <c r="D79" s="530">
        <v>126690</v>
      </c>
      <c r="E79" s="11">
        <f>212795</f>
        <v>212795</v>
      </c>
      <c r="F79" s="11">
        <f>212795-14660</f>
        <v>198135</v>
      </c>
      <c r="G79" s="11">
        <v>212795</v>
      </c>
      <c r="H79" s="11"/>
      <c r="I79" s="29">
        <f>SUM(D79*0.27)</f>
        <v>34206.300000000003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3.5" customHeight="1" x14ac:dyDescent="0.2">
      <c r="A80" s="14"/>
      <c r="B80" s="20" t="s">
        <v>837</v>
      </c>
      <c r="C80" s="11">
        <v>0</v>
      </c>
      <c r="D80" s="530">
        <v>13431</v>
      </c>
      <c r="E80" s="11">
        <v>17058</v>
      </c>
      <c r="F80" s="11">
        <v>17058</v>
      </c>
      <c r="G80" s="11"/>
      <c r="H80" s="11"/>
      <c r="I80" s="29">
        <f>SUM(D80*0.27)</f>
        <v>3626.3700000000003</v>
      </c>
      <c r="J80" s="2"/>
      <c r="K80" s="2"/>
      <c r="L80" s="2"/>
      <c r="M80" s="2"/>
      <c r="N80" s="2"/>
      <c r="O80" s="2"/>
      <c r="P80" s="2"/>
      <c r="Q80" s="7">
        <v>180986</v>
      </c>
      <c r="R80" s="7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3.5" customHeight="1" x14ac:dyDescent="0.2">
      <c r="A81" s="14"/>
      <c r="B81" s="20" t="s">
        <v>853</v>
      </c>
      <c r="C81" s="11"/>
      <c r="D81" s="530">
        <v>1100</v>
      </c>
      <c r="E81" s="11"/>
      <c r="F81" s="11"/>
      <c r="G81" s="11"/>
      <c r="H81" s="11"/>
      <c r="I81" s="29">
        <f>SUM(D81*0.27)</f>
        <v>297</v>
      </c>
      <c r="J81" s="2"/>
      <c r="K81" s="2"/>
      <c r="L81" s="2"/>
      <c r="M81" s="2"/>
      <c r="N81" s="2"/>
      <c r="O81" s="2"/>
      <c r="P81" s="2"/>
      <c r="Q81" s="7"/>
      <c r="R81" s="7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3.5" customHeight="1" x14ac:dyDescent="0.2">
      <c r="A82" s="14"/>
      <c r="B82" s="8" t="s">
        <v>856</v>
      </c>
      <c r="C82" s="11">
        <f>'13.2.EU projekt részletesen'!D15/1000/2</f>
        <v>299200</v>
      </c>
      <c r="D82" s="530">
        <v>471181</v>
      </c>
      <c r="E82" s="11">
        <v>299200</v>
      </c>
      <c r="F82" s="11">
        <v>299200</v>
      </c>
      <c r="G82" s="11">
        <v>299200</v>
      </c>
      <c r="H82" s="11"/>
      <c r="I82" s="29">
        <f>SUM(D82*0.27)</f>
        <v>127218.87000000001</v>
      </c>
      <c r="J82" s="2"/>
      <c r="K82" s="2"/>
      <c r="L82" s="2"/>
      <c r="M82" s="2"/>
      <c r="N82" s="2"/>
      <c r="O82" s="2"/>
      <c r="P82" s="2"/>
      <c r="Q82" s="7">
        <v>54296</v>
      </c>
      <c r="R82" s="7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3.5" customHeight="1" x14ac:dyDescent="0.2">
      <c r="A83" s="14"/>
      <c r="B83" s="8" t="s">
        <v>857</v>
      </c>
      <c r="C83" s="11"/>
      <c r="D83" s="530">
        <f>(60000/1.27)</f>
        <v>47244.094488188974</v>
      </c>
      <c r="E83" s="11"/>
      <c r="F83" s="11"/>
      <c r="G83" s="11"/>
      <c r="H83" s="11"/>
      <c r="I83" s="29">
        <f>SUM(D83*0.27)</f>
        <v>12755.905511811025</v>
      </c>
      <c r="J83" s="2"/>
      <c r="K83" s="2"/>
      <c r="L83" s="2"/>
      <c r="M83" s="2"/>
      <c r="N83" s="2"/>
      <c r="O83" s="2"/>
      <c r="P83" s="2" t="s">
        <v>858</v>
      </c>
      <c r="Q83" s="7"/>
      <c r="R83" s="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3.5" customHeight="1" x14ac:dyDescent="0.2">
      <c r="A84" s="14"/>
      <c r="B84" s="8"/>
      <c r="C84" s="11"/>
      <c r="D84" s="11"/>
      <c r="E84" s="11"/>
      <c r="F84" s="11"/>
      <c r="G84" s="11"/>
      <c r="H84" s="11"/>
      <c r="I84" s="7"/>
      <c r="J84" s="2"/>
      <c r="K84" s="2"/>
      <c r="L84" s="2"/>
      <c r="M84" s="2"/>
      <c r="N84" s="2"/>
      <c r="O84" s="2"/>
      <c r="P84" s="2"/>
      <c r="Q84" s="7">
        <f>(Q80-Q82)</f>
        <v>126690</v>
      </c>
      <c r="R84" s="7">
        <f>(Q84*0.27)</f>
        <v>34206.300000000003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3.5" customHeight="1" x14ac:dyDescent="0.2">
      <c r="A85" s="14"/>
      <c r="B85" s="14" t="s">
        <v>342</v>
      </c>
      <c r="C85" s="148">
        <f>SUM(C86:C92)</f>
        <v>1000</v>
      </c>
      <c r="D85" s="148">
        <f>SUM(D86:D92)</f>
        <v>390440</v>
      </c>
      <c r="E85" s="148">
        <f>SUM(E86:E92)</f>
        <v>23576</v>
      </c>
      <c r="F85" s="148">
        <f>SUM(F86:F92)</f>
        <v>21206</v>
      </c>
      <c r="G85" s="148">
        <f>SUM(G86:G87)</f>
        <v>1000</v>
      </c>
      <c r="H85" s="148">
        <f>SUM(H86:H87)</f>
        <v>0</v>
      </c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">
      <c r="A86" s="14"/>
      <c r="B86" s="8" t="s">
        <v>829</v>
      </c>
      <c r="C86" s="13">
        <v>1000</v>
      </c>
      <c r="D86" s="261">
        <v>1000</v>
      </c>
      <c r="E86" s="13">
        <v>1000</v>
      </c>
      <c r="F86" s="13">
        <v>1000</v>
      </c>
      <c r="G86" s="13">
        <v>1000</v>
      </c>
      <c r="H86" s="13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">
      <c r="A87" s="8"/>
      <c r="B87" s="8" t="s">
        <v>847</v>
      </c>
      <c r="C87" s="13">
        <v>0</v>
      </c>
      <c r="D87" s="261">
        <v>16140</v>
      </c>
      <c r="E87" s="13">
        <f>30000-7703</f>
        <v>22297</v>
      </c>
      <c r="F87" s="13">
        <f>30000-7703-2370</f>
        <v>19927</v>
      </c>
      <c r="G87" s="13"/>
      <c r="H87" s="13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">
      <c r="A88" s="8"/>
      <c r="B88" s="547" t="s">
        <v>844</v>
      </c>
      <c r="C88" s="13">
        <v>0</v>
      </c>
      <c r="D88" s="261">
        <v>6900</v>
      </c>
      <c r="E88" s="13">
        <v>279</v>
      </c>
      <c r="F88" s="13">
        <v>279</v>
      </c>
      <c r="G88" s="13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">
      <c r="A89" s="8"/>
      <c r="B89" s="8" t="s">
        <v>845</v>
      </c>
      <c r="C89" s="13"/>
      <c r="D89" s="261">
        <v>3500</v>
      </c>
      <c r="E89" s="13"/>
      <c r="F89" s="13"/>
      <c r="G89" s="13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">
      <c r="A90" s="8"/>
      <c r="B90" s="547" t="s">
        <v>855</v>
      </c>
      <c r="C90" s="13"/>
      <c r="D90" s="261">
        <v>17500</v>
      </c>
      <c r="E90" s="13"/>
      <c r="F90" s="13"/>
      <c r="G90" s="13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">
      <c r="A91" s="8"/>
      <c r="B91" s="8" t="s">
        <v>846</v>
      </c>
      <c r="C91" s="13"/>
      <c r="D91" s="261">
        <v>345400</v>
      </c>
      <c r="E91" s="13"/>
      <c r="F91" s="13"/>
      <c r="G91" s="13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">
      <c r="A92" s="8"/>
      <c r="B92" s="168"/>
      <c r="C92" s="166"/>
      <c r="D92" s="166"/>
      <c r="E92" s="166"/>
      <c r="F92" s="166"/>
      <c r="G92" s="166"/>
      <c r="H92" s="16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" x14ac:dyDescent="0.25">
      <c r="A93" s="14" t="s">
        <v>354</v>
      </c>
      <c r="B93" s="23" t="s">
        <v>13</v>
      </c>
      <c r="C93" s="42" t="e">
        <f t="shared" ref="C93:H93" si="14">C94</f>
        <v>#REF!</v>
      </c>
      <c r="D93" s="42">
        <f t="shared" si="14"/>
        <v>0</v>
      </c>
      <c r="E93" s="42" t="e">
        <f t="shared" si="14"/>
        <v>#REF!</v>
      </c>
      <c r="F93" s="42" t="e">
        <f t="shared" si="14"/>
        <v>#REF!</v>
      </c>
      <c r="G93" s="42" t="e">
        <f t="shared" si="14"/>
        <v>#REF!</v>
      </c>
      <c r="H93" s="42" t="e">
        <f t="shared" si="14"/>
        <v>#REF!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3.5" customHeight="1" x14ac:dyDescent="0.2">
      <c r="A94" s="14"/>
      <c r="B94" s="14" t="s">
        <v>763</v>
      </c>
      <c r="C94" s="5" t="e">
        <f>SUM(#REF!)</f>
        <v>#REF!</v>
      </c>
      <c r="D94" s="5"/>
      <c r="E94" s="5" t="e">
        <f>SUM(#REF!)</f>
        <v>#REF!</v>
      </c>
      <c r="F94" s="5" t="e">
        <f>SUM(#REF!)</f>
        <v>#REF!</v>
      </c>
      <c r="G94" s="5" t="e">
        <f>SUM(#REF!)</f>
        <v>#REF!</v>
      </c>
      <c r="H94" s="5" t="e">
        <f>SUM(#REF!)</f>
        <v>#REF!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">
      <c r="A95" s="14"/>
      <c r="B95" s="8"/>
      <c r="C95" s="13"/>
      <c r="D95" s="13"/>
      <c r="E95" s="13"/>
      <c r="F95" s="13"/>
      <c r="G95" s="13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x14ac:dyDescent="0.25">
      <c r="A96" s="14"/>
      <c r="B96" s="18" t="s">
        <v>407</v>
      </c>
      <c r="C96" s="42">
        <f>SUM(C97:C97)</f>
        <v>250000</v>
      </c>
      <c r="D96" s="42">
        <f>SUM(D97:D99)</f>
        <v>0</v>
      </c>
      <c r="E96" s="42">
        <f>SUM(E97:E99)</f>
        <v>252561</v>
      </c>
      <c r="F96" s="42">
        <f>SUM(F97:F99)</f>
        <v>264088</v>
      </c>
      <c r="G96" s="42">
        <f>SUM(G97:G97)</f>
        <v>250000</v>
      </c>
      <c r="H96" s="42">
        <f>SUM(H97:H97)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3.5" customHeight="1" x14ac:dyDescent="0.2">
      <c r="A97" s="14"/>
      <c r="B97" s="20" t="s">
        <v>828</v>
      </c>
      <c r="C97" s="176">
        <v>250000</v>
      </c>
      <c r="D97" s="176"/>
      <c r="E97" s="176">
        <v>250000</v>
      </c>
      <c r="F97" s="176">
        <v>250000</v>
      </c>
      <c r="G97" s="176">
        <v>250000</v>
      </c>
      <c r="H97" s="17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3.5" customHeight="1" x14ac:dyDescent="0.2">
      <c r="A98" s="14"/>
      <c r="B98" s="20"/>
      <c r="C98" s="176">
        <v>0</v>
      </c>
      <c r="D98" s="176"/>
      <c r="E98" s="176">
        <f>-6325-500+1144+1056+5000-573+3851-813-279</f>
        <v>2561</v>
      </c>
      <c r="F98" s="176">
        <f>-6325-500+1144+1056+5000-573+3851-813-279+12000-473</f>
        <v>14088</v>
      </c>
      <c r="G98" s="176"/>
      <c r="H98" s="176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3.5" hidden="1" customHeight="1" x14ac:dyDescent="0.2">
      <c r="A99" s="14"/>
      <c r="B99" s="228"/>
      <c r="C99" s="176"/>
      <c r="D99" s="176"/>
      <c r="E99" s="176"/>
      <c r="F99" s="176"/>
      <c r="G99" s="176"/>
      <c r="H99" s="17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3.5" hidden="1" customHeight="1" x14ac:dyDescent="0.2">
      <c r="A100" s="14"/>
      <c r="B100" s="228"/>
      <c r="C100" s="176"/>
      <c r="D100" s="176"/>
      <c r="E100" s="176"/>
      <c r="F100" s="176"/>
      <c r="G100" s="176"/>
      <c r="H100" s="17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3.5" hidden="1" customHeight="1" x14ac:dyDescent="0.2">
      <c r="A101" s="14"/>
      <c r="B101" s="228"/>
      <c r="C101" s="176"/>
      <c r="D101" s="176"/>
      <c r="E101" s="176"/>
      <c r="F101" s="176"/>
      <c r="G101" s="176"/>
      <c r="H101" s="17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x14ac:dyDescent="0.2">
      <c r="A102" s="14" t="s">
        <v>206</v>
      </c>
      <c r="B102" s="187" t="s">
        <v>343</v>
      </c>
      <c r="C102" s="188">
        <v>0</v>
      </c>
      <c r="D102" s="532">
        <f>SUM(D103+D106+D107)</f>
        <v>15600</v>
      </c>
      <c r="E102" s="188">
        <v>0</v>
      </c>
      <c r="F102" s="188">
        <v>0</v>
      </c>
      <c r="G102" s="188">
        <v>0</v>
      </c>
      <c r="H102" s="188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4"/>
      <c r="B103" s="189" t="s">
        <v>378</v>
      </c>
      <c r="C103" s="188"/>
      <c r="D103" s="533">
        <f>SUM(D105)</f>
        <v>15600</v>
      </c>
      <c r="E103" s="188"/>
      <c r="F103" s="188"/>
      <c r="G103" s="188"/>
      <c r="H103" s="18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4"/>
      <c r="B104" s="224" t="s">
        <v>379</v>
      </c>
      <c r="C104" s="188"/>
      <c r="D104" s="188"/>
      <c r="E104" s="188"/>
      <c r="F104" s="188"/>
      <c r="G104" s="188"/>
      <c r="H104" s="18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4"/>
      <c r="B105" s="224" t="s">
        <v>852</v>
      </c>
      <c r="C105" s="188"/>
      <c r="D105" s="83">
        <f>(10400+5200)</f>
        <v>15600</v>
      </c>
      <c r="E105" s="188"/>
      <c r="F105" s="188"/>
      <c r="G105" s="188"/>
      <c r="H105" s="18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4"/>
      <c r="B106" s="189" t="s">
        <v>380</v>
      </c>
      <c r="C106" s="188"/>
      <c r="D106" s="188"/>
      <c r="E106" s="188"/>
      <c r="F106" s="188"/>
      <c r="G106" s="188"/>
      <c r="H106" s="18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2"/>
      <c r="B107" s="186" t="s">
        <v>381</v>
      </c>
      <c r="C107" s="175"/>
      <c r="D107" s="175"/>
      <c r="E107" s="175"/>
      <c r="F107" s="175"/>
      <c r="G107" s="175"/>
      <c r="H107" s="17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17"/>
      <c r="B108" s="251" t="s">
        <v>377</v>
      </c>
      <c r="C108" s="252" t="e">
        <f t="shared" ref="C108:H108" si="15">SUM(C39+C102)</f>
        <v>#REF!</v>
      </c>
      <c r="D108" s="253">
        <f t="shared" si="15"/>
        <v>1081997</v>
      </c>
      <c r="E108" s="535" t="e">
        <f t="shared" si="15"/>
        <v>#REF!</v>
      </c>
      <c r="F108" s="252" t="e">
        <f t="shared" si="15"/>
        <v>#REF!</v>
      </c>
      <c r="G108" s="252" t="e">
        <f t="shared" si="15"/>
        <v>#REF!</v>
      </c>
      <c r="H108" s="253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7" t="e">
        <f t="shared" ref="C109:H109" si="16">SUM(C38-C108)</f>
        <v>#REF!</v>
      </c>
      <c r="D109" s="7">
        <f t="shared" si="16"/>
        <v>-89150</v>
      </c>
      <c r="E109" s="7" t="e">
        <f t="shared" si="16"/>
        <v>#REF!</v>
      </c>
      <c r="F109" s="7" t="e">
        <f t="shared" si="16"/>
        <v>#REF!</v>
      </c>
      <c r="G109" s="7" t="e">
        <f t="shared" si="16"/>
        <v>#REF!</v>
      </c>
      <c r="H109" s="7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70" customFormat="1" ht="13.5" customHeight="1" x14ac:dyDescent="0.2">
      <c r="A110" s="90"/>
      <c r="D110" s="169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</row>
    <row r="111" spans="1:42" s="170" customFormat="1" ht="13.5" customHeight="1" x14ac:dyDescent="0.2">
      <c r="A111" s="90"/>
      <c r="B111" s="264"/>
      <c r="C111" s="37"/>
      <c r="D111" s="37"/>
      <c r="E111" s="37"/>
      <c r="F111" s="37"/>
      <c r="G111" s="37"/>
      <c r="H111" s="37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</row>
    <row r="112" spans="1:42" s="170" customFormat="1" ht="13.5" customHeight="1" x14ac:dyDescent="0.2">
      <c r="A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</row>
    <row r="113" spans="1:42" s="170" customFormat="1" ht="13.5" customHeight="1" x14ac:dyDescent="0.2">
      <c r="A113" s="90"/>
      <c r="D113" s="169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</row>
    <row r="114" spans="1:42" s="170" customFormat="1" ht="13.5" customHeight="1" x14ac:dyDescent="0.2">
      <c r="A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</row>
    <row r="115" spans="1:42" s="170" customFormat="1" ht="13.5" customHeight="1" x14ac:dyDescent="0.2">
      <c r="A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</row>
    <row r="116" spans="1:42" s="170" customFormat="1" ht="13.5" customHeight="1" x14ac:dyDescent="0.2">
      <c r="A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</row>
    <row r="117" spans="1:42" s="170" customFormat="1" ht="13.5" customHeight="1" x14ac:dyDescent="0.2">
      <c r="A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</row>
    <row r="118" spans="1:42" s="170" customFormat="1" ht="13.5" customHeight="1" x14ac:dyDescent="0.2">
      <c r="A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</row>
    <row r="119" spans="1:42" s="170" customFormat="1" ht="13.5" customHeight="1" x14ac:dyDescent="0.2">
      <c r="A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</row>
    <row r="120" spans="1:42" s="170" customFormat="1" ht="13.5" customHeight="1" x14ac:dyDescent="0.2">
      <c r="A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</row>
    <row r="121" spans="1:42" s="170" customFormat="1" ht="13.5" customHeight="1" x14ac:dyDescent="0.2">
      <c r="A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</row>
    <row r="122" spans="1:42" s="170" customFormat="1" ht="13.5" customHeight="1" x14ac:dyDescent="0.2">
      <c r="A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</row>
    <row r="123" spans="1:42" s="170" customFormat="1" ht="13.5" customHeight="1" x14ac:dyDescent="0.2">
      <c r="A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</row>
    <row r="124" spans="1:42" s="170" customFormat="1" ht="13.5" customHeight="1" x14ac:dyDescent="0.2">
      <c r="A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</row>
    <row r="125" spans="1:42" s="170" customFormat="1" ht="13.5" customHeight="1" x14ac:dyDescent="0.2">
      <c r="A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</row>
    <row r="126" spans="1:42" ht="15.75" customHeight="1" x14ac:dyDescent="0.2">
      <c r="B126" s="2"/>
      <c r="C126" s="192"/>
      <c r="D126" s="192"/>
      <c r="E126" s="192"/>
      <c r="F126" s="192"/>
      <c r="G126" s="192"/>
      <c r="H126" s="19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9"/>
      <c r="D170" s="29"/>
      <c r="E170" s="29"/>
      <c r="F170" s="29"/>
      <c r="G170" s="29"/>
      <c r="H170" s="2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9"/>
      <c r="D171" s="29"/>
      <c r="E171" s="29"/>
      <c r="F171" s="29"/>
      <c r="G171" s="29"/>
      <c r="H171" s="2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9"/>
      <c r="D172" s="29"/>
      <c r="E172" s="29"/>
      <c r="F172" s="29"/>
      <c r="G172" s="29"/>
      <c r="H172" s="2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9"/>
      <c r="D173" s="29"/>
      <c r="E173" s="29"/>
      <c r="F173" s="29"/>
      <c r="G173" s="29"/>
      <c r="H173" s="2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9"/>
      <c r="D174" s="29"/>
      <c r="E174" s="29"/>
      <c r="F174" s="29"/>
      <c r="G174" s="29"/>
      <c r="H174" s="2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9"/>
      <c r="D175" s="29"/>
      <c r="E175" s="29"/>
      <c r="F175" s="29"/>
      <c r="G175" s="29"/>
      <c r="H175" s="2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9"/>
      <c r="D176" s="29"/>
      <c r="E176" s="29"/>
      <c r="F176" s="29"/>
      <c r="G176" s="29"/>
      <c r="H176" s="2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9"/>
      <c r="D177" s="29"/>
      <c r="E177" s="29"/>
      <c r="F177" s="29"/>
      <c r="G177" s="29"/>
      <c r="H177" s="2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9"/>
      <c r="D178" s="29"/>
      <c r="E178" s="29"/>
      <c r="F178" s="29"/>
      <c r="G178" s="29"/>
      <c r="H178" s="2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9"/>
      <c r="D179" s="29"/>
      <c r="E179" s="29"/>
      <c r="F179" s="29"/>
      <c r="G179" s="29"/>
      <c r="H179" s="2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9"/>
      <c r="D180" s="29"/>
      <c r="E180" s="29"/>
      <c r="F180" s="29"/>
      <c r="G180" s="29"/>
      <c r="H180" s="2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9"/>
      <c r="D181" s="29"/>
      <c r="E181" s="29"/>
      <c r="F181" s="29"/>
      <c r="G181" s="29"/>
      <c r="H181" s="2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9"/>
      <c r="D182" s="29"/>
      <c r="E182" s="29"/>
      <c r="F182" s="29"/>
      <c r="G182" s="29"/>
      <c r="H182" s="2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9"/>
      <c r="D183" s="29"/>
      <c r="E183" s="29"/>
      <c r="F183" s="29"/>
      <c r="G183" s="29"/>
      <c r="H183" s="2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9"/>
      <c r="D184" s="29"/>
      <c r="E184" s="29"/>
      <c r="F184" s="29"/>
      <c r="G184" s="29"/>
      <c r="H184" s="2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9"/>
      <c r="D185" s="29"/>
      <c r="E185" s="29"/>
      <c r="F185" s="29"/>
      <c r="G185" s="29"/>
      <c r="H185" s="2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9"/>
      <c r="D186" s="29"/>
      <c r="E186" s="29"/>
      <c r="F186" s="29"/>
      <c r="G186" s="29"/>
      <c r="H186" s="2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9"/>
      <c r="D187" s="29"/>
      <c r="E187" s="29"/>
      <c r="F187" s="29"/>
      <c r="G187" s="29"/>
      <c r="H187" s="2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9"/>
      <c r="D188" s="29"/>
      <c r="E188" s="29"/>
      <c r="F188" s="29"/>
      <c r="G188" s="29"/>
      <c r="H188" s="2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9"/>
      <c r="D189" s="29"/>
      <c r="E189" s="29"/>
      <c r="F189" s="29"/>
      <c r="G189" s="29"/>
      <c r="H189" s="2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9"/>
      <c r="D190" s="29"/>
      <c r="E190" s="29"/>
      <c r="F190" s="29"/>
      <c r="G190" s="29"/>
      <c r="H190" s="2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9"/>
      <c r="D191" s="29"/>
      <c r="E191" s="29"/>
      <c r="F191" s="29"/>
      <c r="G191" s="29"/>
      <c r="H191" s="2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9"/>
      <c r="D192" s="29"/>
      <c r="E192" s="29"/>
      <c r="F192" s="29"/>
      <c r="G192" s="29"/>
      <c r="H192" s="2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9"/>
      <c r="D193" s="29"/>
      <c r="E193" s="29"/>
      <c r="F193" s="29"/>
      <c r="G193" s="29"/>
      <c r="H193" s="2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9"/>
      <c r="D194" s="29"/>
      <c r="E194" s="29"/>
      <c r="F194" s="29"/>
      <c r="G194" s="29"/>
      <c r="H194" s="2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9"/>
      <c r="D195" s="29"/>
      <c r="E195" s="29"/>
      <c r="F195" s="29"/>
      <c r="G195" s="29"/>
      <c r="H195" s="2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9"/>
      <c r="D196" s="29"/>
      <c r="E196" s="29"/>
      <c r="F196" s="29"/>
      <c r="G196" s="29"/>
      <c r="H196" s="2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9"/>
      <c r="D197" s="29"/>
      <c r="E197" s="29"/>
      <c r="F197" s="29"/>
      <c r="G197" s="29"/>
      <c r="H197" s="2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9"/>
      <c r="D198" s="29"/>
      <c r="E198" s="29"/>
      <c r="F198" s="29"/>
      <c r="G198" s="29"/>
      <c r="H198" s="2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9"/>
      <c r="D199" s="29"/>
      <c r="E199" s="29"/>
      <c r="F199" s="29"/>
      <c r="G199" s="29"/>
      <c r="H199" s="2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9"/>
      <c r="D200" s="29"/>
      <c r="E200" s="29"/>
      <c r="F200" s="29"/>
      <c r="G200" s="29"/>
      <c r="H200" s="2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9"/>
      <c r="D201" s="29"/>
      <c r="E201" s="29"/>
      <c r="F201" s="29"/>
      <c r="G201" s="29"/>
      <c r="H201" s="2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9"/>
      <c r="D202" s="29"/>
      <c r="E202" s="29"/>
      <c r="F202" s="29"/>
      <c r="G202" s="29"/>
      <c r="H202" s="2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9"/>
      <c r="D203" s="29"/>
      <c r="E203" s="29"/>
      <c r="F203" s="29"/>
      <c r="G203" s="29"/>
      <c r="H203" s="2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9"/>
      <c r="D204" s="29"/>
      <c r="E204" s="29"/>
      <c r="F204" s="29"/>
      <c r="G204" s="29"/>
      <c r="H204" s="2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9"/>
      <c r="D205" s="29"/>
      <c r="E205" s="29"/>
      <c r="F205" s="29"/>
      <c r="G205" s="29"/>
      <c r="H205" s="2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9"/>
      <c r="D206" s="29"/>
      <c r="E206" s="29"/>
      <c r="F206" s="29"/>
      <c r="G206" s="29"/>
      <c r="H206" s="2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9"/>
      <c r="D207" s="29"/>
      <c r="E207" s="29"/>
      <c r="F207" s="29"/>
      <c r="G207" s="29"/>
      <c r="H207" s="2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9"/>
      <c r="D208" s="29"/>
      <c r="E208" s="29"/>
      <c r="F208" s="29"/>
      <c r="G208" s="29"/>
      <c r="H208" s="2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9"/>
      <c r="D209" s="29"/>
      <c r="E209" s="29"/>
      <c r="F209" s="29"/>
      <c r="G209" s="29"/>
      <c r="H209" s="2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9"/>
      <c r="D210" s="29"/>
      <c r="E210" s="29"/>
      <c r="F210" s="29"/>
      <c r="G210" s="29"/>
      <c r="H210" s="2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9"/>
      <c r="D211" s="29"/>
      <c r="E211" s="29"/>
      <c r="F211" s="29"/>
      <c r="G211" s="29"/>
      <c r="H211" s="2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9"/>
      <c r="D212" s="29"/>
      <c r="E212" s="29"/>
      <c r="F212" s="29"/>
      <c r="G212" s="29"/>
      <c r="H212" s="2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9"/>
      <c r="D213" s="29"/>
      <c r="E213" s="29"/>
      <c r="F213" s="29"/>
      <c r="G213" s="29"/>
      <c r="H213" s="2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9"/>
      <c r="D214" s="29"/>
      <c r="E214" s="29"/>
      <c r="F214" s="29"/>
      <c r="G214" s="29"/>
      <c r="H214" s="2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9"/>
      <c r="D215" s="29"/>
      <c r="E215" s="29"/>
      <c r="F215" s="29"/>
      <c r="G215" s="29"/>
      <c r="H215" s="2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9"/>
      <c r="D216" s="29"/>
      <c r="E216" s="29"/>
      <c r="F216" s="29"/>
      <c r="G216" s="29"/>
      <c r="H216" s="2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9"/>
      <c r="D217" s="29"/>
      <c r="E217" s="29"/>
      <c r="F217" s="29"/>
      <c r="G217" s="29"/>
      <c r="H217" s="2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9"/>
      <c r="D218" s="29"/>
      <c r="E218" s="29"/>
      <c r="F218" s="29"/>
      <c r="G218" s="29"/>
      <c r="H218" s="2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9"/>
      <c r="D219" s="29"/>
      <c r="E219" s="29"/>
      <c r="F219" s="29"/>
      <c r="G219" s="29"/>
      <c r="H219" s="2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9"/>
      <c r="D220" s="29"/>
      <c r="E220" s="29"/>
      <c r="F220" s="29"/>
      <c r="G220" s="29"/>
      <c r="H220" s="2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9"/>
      <c r="D221" s="29"/>
      <c r="E221" s="29"/>
      <c r="F221" s="29"/>
      <c r="G221" s="29"/>
      <c r="H221" s="2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9"/>
      <c r="D222" s="29"/>
      <c r="E222" s="29"/>
      <c r="F222" s="29"/>
      <c r="G222" s="29"/>
      <c r="H222" s="2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9"/>
      <c r="D223" s="29"/>
      <c r="E223" s="29"/>
      <c r="F223" s="29"/>
      <c r="G223" s="29"/>
      <c r="H223" s="2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9"/>
      <c r="D224" s="29"/>
      <c r="E224" s="29"/>
      <c r="F224" s="29"/>
      <c r="G224" s="29"/>
      <c r="H224" s="2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9"/>
      <c r="D225" s="29"/>
      <c r="E225" s="29"/>
      <c r="F225" s="29"/>
      <c r="G225" s="29"/>
      <c r="H225" s="2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9"/>
      <c r="D226" s="29"/>
      <c r="E226" s="29"/>
      <c r="F226" s="29"/>
      <c r="G226" s="29"/>
      <c r="H226" s="2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9"/>
      <c r="D227" s="29"/>
      <c r="E227" s="29"/>
      <c r="F227" s="29"/>
      <c r="G227" s="29"/>
      <c r="H227" s="2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9"/>
      <c r="D228" s="29"/>
      <c r="E228" s="29"/>
      <c r="F228" s="29"/>
      <c r="G228" s="29"/>
      <c r="H228" s="2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9"/>
      <c r="D229" s="29"/>
      <c r="E229" s="29"/>
      <c r="F229" s="29"/>
      <c r="G229" s="29"/>
      <c r="H229" s="2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9"/>
      <c r="D230" s="29"/>
      <c r="E230" s="29"/>
      <c r="F230" s="29"/>
      <c r="G230" s="29"/>
      <c r="H230" s="2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9"/>
      <c r="D231" s="29"/>
      <c r="E231" s="29"/>
      <c r="F231" s="29"/>
      <c r="G231" s="29"/>
      <c r="H231" s="2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9"/>
      <c r="D232" s="29"/>
      <c r="E232" s="29"/>
      <c r="F232" s="29"/>
      <c r="G232" s="29"/>
      <c r="H232" s="2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9"/>
      <c r="D233" s="29"/>
      <c r="E233" s="29"/>
      <c r="F233" s="29"/>
      <c r="G233" s="29"/>
      <c r="H233" s="2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9"/>
      <c r="D234" s="29"/>
      <c r="E234" s="29"/>
      <c r="F234" s="29"/>
      <c r="G234" s="29"/>
      <c r="H234" s="2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9"/>
      <c r="D235" s="29"/>
      <c r="E235" s="29"/>
      <c r="F235" s="29"/>
      <c r="G235" s="29"/>
      <c r="H235" s="2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9"/>
      <c r="D236" s="29"/>
      <c r="E236" s="29"/>
      <c r="F236" s="29"/>
      <c r="G236" s="29"/>
      <c r="H236" s="2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9"/>
      <c r="D237" s="29"/>
      <c r="E237" s="29"/>
      <c r="F237" s="29"/>
      <c r="G237" s="29"/>
      <c r="H237" s="2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9"/>
      <c r="D238" s="29"/>
      <c r="E238" s="29"/>
      <c r="F238" s="29"/>
      <c r="G238" s="29"/>
      <c r="H238" s="2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9"/>
      <c r="D239" s="29"/>
      <c r="E239" s="29"/>
      <c r="F239" s="29"/>
      <c r="G239" s="29"/>
      <c r="H239" s="2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9"/>
      <c r="D240" s="29"/>
      <c r="E240" s="29"/>
      <c r="F240" s="29"/>
      <c r="G240" s="29"/>
      <c r="H240" s="2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9"/>
      <c r="D241" s="29"/>
      <c r="E241" s="29"/>
      <c r="F241" s="29"/>
      <c r="G241" s="29"/>
      <c r="H241" s="2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9"/>
      <c r="D242" s="29"/>
      <c r="E242" s="29"/>
      <c r="F242" s="29"/>
      <c r="G242" s="29"/>
      <c r="H242" s="2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9"/>
      <c r="D243" s="29"/>
      <c r="E243" s="29"/>
      <c r="F243" s="29"/>
      <c r="G243" s="29"/>
      <c r="H243" s="2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9"/>
      <c r="D244" s="29"/>
      <c r="E244" s="29"/>
      <c r="F244" s="29"/>
      <c r="G244" s="29"/>
      <c r="H244" s="2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9"/>
      <c r="D245" s="29"/>
      <c r="E245" s="29"/>
      <c r="F245" s="29"/>
      <c r="G245" s="29"/>
      <c r="H245" s="2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9"/>
      <c r="D246" s="29"/>
      <c r="E246" s="29"/>
      <c r="F246" s="29"/>
      <c r="G246" s="29"/>
      <c r="H246" s="2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9"/>
      <c r="D247" s="29"/>
      <c r="E247" s="29"/>
      <c r="F247" s="29"/>
      <c r="G247" s="29"/>
      <c r="H247" s="2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9"/>
      <c r="D248" s="29"/>
      <c r="E248" s="29"/>
      <c r="F248" s="29"/>
      <c r="G248" s="29"/>
      <c r="H248" s="2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9"/>
      <c r="D249" s="29"/>
      <c r="E249" s="29"/>
      <c r="F249" s="29"/>
      <c r="G249" s="29"/>
      <c r="H249" s="2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9"/>
      <c r="D250" s="29"/>
      <c r="E250" s="29"/>
      <c r="F250" s="29"/>
      <c r="G250" s="29"/>
      <c r="H250" s="2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9"/>
      <c r="D251" s="29"/>
      <c r="E251" s="29"/>
      <c r="F251" s="29"/>
      <c r="G251" s="29"/>
      <c r="H251" s="2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9"/>
      <c r="D252" s="29"/>
      <c r="E252" s="29"/>
      <c r="F252" s="29"/>
      <c r="G252" s="29"/>
      <c r="H252" s="2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9"/>
      <c r="D253" s="29"/>
      <c r="E253" s="29"/>
      <c r="F253" s="29"/>
      <c r="G253" s="29"/>
      <c r="H253" s="2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9"/>
      <c r="D254" s="29"/>
      <c r="E254" s="29"/>
      <c r="F254" s="29"/>
      <c r="G254" s="29"/>
      <c r="H254" s="2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9"/>
      <c r="D255" s="29"/>
      <c r="E255" s="29"/>
      <c r="F255" s="29"/>
      <c r="G255" s="29"/>
      <c r="H255" s="2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9"/>
      <c r="D256" s="29"/>
      <c r="E256" s="29"/>
      <c r="F256" s="29"/>
      <c r="G256" s="29"/>
      <c r="H256" s="2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9"/>
      <c r="D257" s="29"/>
      <c r="E257" s="29"/>
      <c r="F257" s="29"/>
      <c r="G257" s="29"/>
      <c r="H257" s="2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9"/>
      <c r="D258" s="29"/>
      <c r="E258" s="29"/>
      <c r="F258" s="29"/>
      <c r="G258" s="29"/>
      <c r="H258" s="2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9"/>
      <c r="D259" s="29"/>
      <c r="E259" s="29"/>
      <c r="F259" s="29"/>
      <c r="G259" s="29"/>
      <c r="H259" s="2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9"/>
      <c r="D260" s="29"/>
      <c r="E260" s="29"/>
      <c r="F260" s="29"/>
      <c r="G260" s="29"/>
      <c r="H260" s="2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9"/>
      <c r="D261" s="29"/>
      <c r="E261" s="29"/>
      <c r="F261" s="29"/>
      <c r="G261" s="29"/>
      <c r="H261" s="2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9"/>
      <c r="D262" s="29"/>
      <c r="E262" s="29"/>
      <c r="F262" s="29"/>
      <c r="G262" s="29"/>
      <c r="H262" s="2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9"/>
      <c r="D263" s="29"/>
      <c r="E263" s="29"/>
      <c r="F263" s="29"/>
      <c r="G263" s="29"/>
      <c r="H263" s="2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9"/>
      <c r="D264" s="29"/>
      <c r="E264" s="29"/>
      <c r="F264" s="29"/>
      <c r="G264" s="29"/>
      <c r="H264" s="2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9"/>
      <c r="D265" s="29"/>
      <c r="E265" s="29"/>
      <c r="F265" s="29"/>
      <c r="G265" s="29"/>
      <c r="H265" s="2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9"/>
      <c r="D266" s="29"/>
      <c r="E266" s="29"/>
      <c r="F266" s="29"/>
      <c r="G266" s="29"/>
      <c r="H266" s="2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9"/>
      <c r="D267" s="29"/>
      <c r="E267" s="29"/>
      <c r="F267" s="29"/>
      <c r="G267" s="29"/>
      <c r="H267" s="2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9"/>
      <c r="D268" s="29"/>
      <c r="E268" s="29"/>
      <c r="F268" s="29"/>
      <c r="G268" s="29"/>
      <c r="H268" s="2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9"/>
      <c r="D269" s="29"/>
      <c r="E269" s="29"/>
      <c r="F269" s="29"/>
      <c r="G269" s="29"/>
      <c r="H269" s="2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9"/>
      <c r="D270" s="29"/>
      <c r="E270" s="29"/>
      <c r="F270" s="29"/>
      <c r="G270" s="29"/>
      <c r="H270" s="2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9"/>
      <c r="D271" s="29"/>
      <c r="E271" s="29"/>
      <c r="F271" s="29"/>
      <c r="G271" s="29"/>
      <c r="H271" s="2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9"/>
      <c r="D272" s="29"/>
      <c r="E272" s="29"/>
      <c r="F272" s="29"/>
      <c r="G272" s="29"/>
      <c r="H272" s="2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9"/>
      <c r="D273" s="29"/>
      <c r="E273" s="29"/>
      <c r="F273" s="29"/>
      <c r="G273" s="29"/>
      <c r="H273" s="2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9"/>
      <c r="D274" s="29"/>
      <c r="E274" s="29"/>
      <c r="F274" s="29"/>
      <c r="G274" s="29"/>
      <c r="H274" s="2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9"/>
      <c r="D275" s="29"/>
      <c r="E275" s="29"/>
      <c r="F275" s="29"/>
      <c r="G275" s="29"/>
      <c r="H275" s="2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9"/>
      <c r="D276" s="29"/>
      <c r="E276" s="29"/>
      <c r="F276" s="29"/>
      <c r="G276" s="29"/>
      <c r="H276" s="2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9"/>
      <c r="D277" s="29"/>
      <c r="E277" s="29"/>
      <c r="F277" s="29"/>
      <c r="G277" s="29"/>
      <c r="H277" s="2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9"/>
      <c r="D278" s="29"/>
      <c r="E278" s="29"/>
      <c r="F278" s="29"/>
      <c r="G278" s="29"/>
      <c r="H278" s="2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9"/>
      <c r="D279" s="29"/>
      <c r="E279" s="29"/>
      <c r="F279" s="29"/>
      <c r="G279" s="29"/>
      <c r="H279" s="2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9"/>
      <c r="D280" s="29"/>
      <c r="E280" s="29"/>
      <c r="F280" s="29"/>
      <c r="G280" s="29"/>
      <c r="H280" s="2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9"/>
      <c r="D281" s="29"/>
      <c r="E281" s="29"/>
      <c r="F281" s="29"/>
      <c r="G281" s="29"/>
      <c r="H281" s="2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9"/>
      <c r="D282" s="29"/>
      <c r="E282" s="29"/>
      <c r="F282" s="29"/>
      <c r="G282" s="29"/>
      <c r="H282" s="2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9"/>
      <c r="D283" s="29"/>
      <c r="E283" s="29"/>
      <c r="F283" s="29"/>
      <c r="G283" s="29"/>
      <c r="H283" s="2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9"/>
      <c r="D284" s="29"/>
      <c r="E284" s="29"/>
      <c r="F284" s="29"/>
      <c r="G284" s="29"/>
      <c r="H284" s="2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9"/>
      <c r="D285" s="29"/>
      <c r="E285" s="29"/>
      <c r="F285" s="29"/>
      <c r="G285" s="29"/>
      <c r="H285" s="2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9"/>
      <c r="D286" s="29"/>
      <c r="E286" s="29"/>
      <c r="F286" s="29"/>
      <c r="G286" s="29"/>
      <c r="H286" s="2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9"/>
      <c r="D287" s="29"/>
      <c r="E287" s="29"/>
      <c r="F287" s="29"/>
      <c r="G287" s="29"/>
      <c r="H287" s="2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9"/>
      <c r="D288" s="29"/>
      <c r="E288" s="29"/>
      <c r="F288" s="29"/>
      <c r="G288" s="29"/>
      <c r="H288" s="2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9"/>
      <c r="D289" s="29"/>
      <c r="E289" s="29"/>
      <c r="F289" s="29"/>
      <c r="G289" s="29"/>
      <c r="H289" s="2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9"/>
      <c r="D290" s="29"/>
      <c r="E290" s="29"/>
      <c r="F290" s="29"/>
      <c r="G290" s="29"/>
      <c r="H290" s="2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9"/>
      <c r="D291" s="29"/>
      <c r="E291" s="29"/>
      <c r="F291" s="29"/>
      <c r="G291" s="29"/>
      <c r="H291" s="2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9"/>
      <c r="D292" s="29"/>
      <c r="E292" s="29"/>
      <c r="F292" s="29"/>
      <c r="G292" s="29"/>
      <c r="H292" s="2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9"/>
      <c r="D293" s="29"/>
      <c r="E293" s="29"/>
      <c r="F293" s="29"/>
      <c r="G293" s="29"/>
      <c r="H293" s="2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9"/>
      <c r="D294" s="29"/>
      <c r="E294" s="29"/>
      <c r="F294" s="29"/>
      <c r="G294" s="29"/>
      <c r="H294" s="2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9"/>
      <c r="D295" s="29"/>
      <c r="E295" s="29"/>
      <c r="F295" s="29"/>
      <c r="G295" s="29"/>
      <c r="H295" s="2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9"/>
      <c r="D296" s="29"/>
      <c r="E296" s="29"/>
      <c r="F296" s="29"/>
      <c r="G296" s="29"/>
      <c r="H296" s="2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9"/>
      <c r="D297" s="29"/>
      <c r="E297" s="29"/>
      <c r="F297" s="29"/>
      <c r="G297" s="29"/>
      <c r="H297" s="2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9"/>
      <c r="D298" s="29"/>
      <c r="E298" s="29"/>
      <c r="F298" s="29"/>
      <c r="G298" s="29"/>
      <c r="H298" s="2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9"/>
      <c r="D299" s="29"/>
      <c r="E299" s="29"/>
      <c r="F299" s="29"/>
      <c r="G299" s="29"/>
      <c r="H299" s="2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9"/>
      <c r="D300" s="29"/>
      <c r="E300" s="29"/>
      <c r="F300" s="29"/>
      <c r="G300" s="29"/>
      <c r="H300" s="2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9"/>
      <c r="D301" s="29"/>
      <c r="E301" s="29"/>
      <c r="F301" s="29"/>
      <c r="G301" s="29"/>
      <c r="H301" s="2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9"/>
      <c r="D302" s="29"/>
      <c r="E302" s="29"/>
      <c r="F302" s="29"/>
      <c r="G302" s="29"/>
      <c r="H302" s="2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9"/>
      <c r="D303" s="29"/>
      <c r="E303" s="29"/>
      <c r="F303" s="29"/>
      <c r="G303" s="29"/>
      <c r="H303" s="2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9"/>
      <c r="D304" s="29"/>
      <c r="E304" s="29"/>
      <c r="F304" s="29"/>
      <c r="G304" s="29"/>
      <c r="H304" s="2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9"/>
      <c r="D305" s="29"/>
      <c r="E305" s="29"/>
      <c r="F305" s="29"/>
      <c r="G305" s="29"/>
      <c r="H305" s="2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9"/>
      <c r="D306" s="29"/>
      <c r="E306" s="29"/>
      <c r="F306" s="29"/>
      <c r="G306" s="29"/>
      <c r="H306" s="2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9"/>
      <c r="D307" s="29"/>
      <c r="E307" s="29"/>
      <c r="F307" s="29"/>
      <c r="G307" s="29"/>
      <c r="H307" s="2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9"/>
      <c r="D308" s="29"/>
      <c r="E308" s="29"/>
      <c r="F308" s="29"/>
      <c r="G308" s="29"/>
      <c r="H308" s="2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9"/>
      <c r="D309" s="29"/>
      <c r="E309" s="29"/>
      <c r="F309" s="29"/>
      <c r="G309" s="29"/>
      <c r="H309" s="2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9"/>
      <c r="D310" s="29"/>
      <c r="E310" s="29"/>
      <c r="F310" s="29"/>
      <c r="G310" s="29"/>
      <c r="H310" s="2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9"/>
      <c r="D311" s="29"/>
      <c r="E311" s="29"/>
      <c r="F311" s="29"/>
      <c r="G311" s="29"/>
      <c r="H311" s="2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9"/>
      <c r="D312" s="29"/>
      <c r="E312" s="29"/>
      <c r="F312" s="29"/>
      <c r="G312" s="29"/>
      <c r="H312" s="2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9"/>
      <c r="D313" s="29"/>
      <c r="E313" s="29"/>
      <c r="F313" s="29"/>
      <c r="G313" s="29"/>
      <c r="H313" s="2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9"/>
      <c r="D314" s="29"/>
      <c r="E314" s="29"/>
      <c r="F314" s="29"/>
      <c r="G314" s="29"/>
      <c r="H314" s="2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9"/>
      <c r="D315" s="29"/>
      <c r="E315" s="29"/>
      <c r="F315" s="29"/>
      <c r="G315" s="29"/>
      <c r="H315" s="2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9"/>
      <c r="D316" s="29"/>
      <c r="E316" s="29"/>
      <c r="F316" s="29"/>
      <c r="G316" s="29"/>
      <c r="H316" s="2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9"/>
      <c r="D317" s="29"/>
      <c r="E317" s="29"/>
      <c r="F317" s="29"/>
      <c r="G317" s="29"/>
      <c r="H317" s="2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9"/>
      <c r="D318" s="29"/>
      <c r="E318" s="29"/>
      <c r="F318" s="29"/>
      <c r="G318" s="29"/>
      <c r="H318" s="2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9"/>
      <c r="D319" s="29"/>
      <c r="E319" s="29"/>
      <c r="F319" s="29"/>
      <c r="G319" s="29"/>
      <c r="H319" s="2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9"/>
      <c r="D320" s="29"/>
      <c r="E320" s="29"/>
      <c r="F320" s="29"/>
      <c r="G320" s="29"/>
      <c r="H320" s="2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9"/>
      <c r="D321" s="29"/>
      <c r="E321" s="29"/>
      <c r="F321" s="29"/>
      <c r="G321" s="29"/>
      <c r="H321" s="2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9"/>
      <c r="D322" s="29"/>
      <c r="E322" s="29"/>
      <c r="F322" s="29"/>
      <c r="G322" s="29"/>
      <c r="H322" s="2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9"/>
      <c r="D323" s="29"/>
      <c r="E323" s="29"/>
      <c r="F323" s="29"/>
      <c r="G323" s="29"/>
      <c r="H323" s="2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9"/>
      <c r="D324" s="29"/>
      <c r="E324" s="29"/>
      <c r="F324" s="29"/>
      <c r="G324" s="29"/>
      <c r="H324" s="2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9"/>
      <c r="D325" s="29"/>
      <c r="E325" s="29"/>
      <c r="F325" s="29"/>
      <c r="G325" s="29"/>
      <c r="H325" s="2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9"/>
      <c r="D326" s="29"/>
      <c r="E326" s="29"/>
      <c r="F326" s="29"/>
      <c r="G326" s="29"/>
      <c r="H326" s="2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9"/>
      <c r="D327" s="29"/>
      <c r="E327" s="29"/>
      <c r="F327" s="29"/>
      <c r="G327" s="29"/>
      <c r="H327" s="2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9"/>
      <c r="D328" s="29"/>
      <c r="E328" s="29"/>
      <c r="F328" s="29"/>
      <c r="G328" s="29"/>
      <c r="H328" s="2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9"/>
      <c r="D329" s="29"/>
      <c r="E329" s="29"/>
      <c r="F329" s="29"/>
      <c r="G329" s="29"/>
      <c r="H329" s="2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9"/>
      <c r="D330" s="29"/>
      <c r="E330" s="29"/>
      <c r="F330" s="29"/>
      <c r="G330" s="29"/>
      <c r="H330" s="2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9"/>
      <c r="D331" s="29"/>
      <c r="E331" s="29"/>
      <c r="F331" s="29"/>
      <c r="G331" s="29"/>
      <c r="H331" s="2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9"/>
      <c r="D332" s="29"/>
      <c r="E332" s="29"/>
      <c r="F332" s="29"/>
      <c r="G332" s="29"/>
      <c r="H332" s="2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9"/>
      <c r="D333" s="29"/>
      <c r="E333" s="29"/>
      <c r="F333" s="29"/>
      <c r="G333" s="29"/>
      <c r="H333" s="2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9"/>
      <c r="D334" s="29"/>
      <c r="E334" s="29"/>
      <c r="F334" s="29"/>
      <c r="G334" s="29"/>
      <c r="H334" s="2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9"/>
      <c r="D335" s="29"/>
      <c r="E335" s="29"/>
      <c r="F335" s="29"/>
      <c r="G335" s="29"/>
      <c r="H335" s="2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9"/>
      <c r="D336" s="29"/>
      <c r="E336" s="29"/>
      <c r="F336" s="29"/>
      <c r="G336" s="29"/>
      <c r="H336" s="2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9"/>
      <c r="D337" s="29"/>
      <c r="E337" s="29"/>
      <c r="F337" s="29"/>
      <c r="G337" s="29"/>
      <c r="H337" s="2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9"/>
      <c r="D338" s="29"/>
      <c r="E338" s="29"/>
      <c r="F338" s="29"/>
      <c r="G338" s="29"/>
      <c r="H338" s="2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9"/>
      <c r="D339" s="29"/>
      <c r="E339" s="29"/>
      <c r="F339" s="29"/>
      <c r="G339" s="29"/>
      <c r="H339" s="2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9"/>
      <c r="D340" s="29"/>
      <c r="E340" s="29"/>
      <c r="F340" s="29"/>
      <c r="G340" s="29"/>
      <c r="H340" s="2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9"/>
      <c r="D341" s="29"/>
      <c r="E341" s="29"/>
      <c r="F341" s="29"/>
      <c r="G341" s="29"/>
      <c r="H341" s="2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9"/>
      <c r="D342" s="29"/>
      <c r="E342" s="29"/>
      <c r="F342" s="29"/>
      <c r="G342" s="29"/>
      <c r="H342" s="2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9"/>
      <c r="D343" s="29"/>
      <c r="E343" s="29"/>
      <c r="F343" s="29"/>
      <c r="G343" s="29"/>
      <c r="H343" s="2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9"/>
      <c r="D344" s="29"/>
      <c r="E344" s="29"/>
      <c r="F344" s="29"/>
      <c r="G344" s="29"/>
      <c r="H344" s="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9"/>
      <c r="D345" s="29"/>
      <c r="E345" s="29"/>
      <c r="F345" s="29"/>
      <c r="G345" s="29"/>
      <c r="H345" s="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9"/>
      <c r="D346" s="29"/>
      <c r="E346" s="29"/>
      <c r="F346" s="29"/>
      <c r="G346" s="29"/>
      <c r="H346" s="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9"/>
      <c r="D347" s="29"/>
      <c r="E347" s="29"/>
      <c r="F347" s="29"/>
      <c r="G347" s="29"/>
      <c r="H347" s="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9"/>
      <c r="D348" s="29"/>
      <c r="E348" s="29"/>
      <c r="F348" s="29"/>
      <c r="G348" s="29"/>
      <c r="H348" s="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9"/>
      <c r="D349" s="29"/>
      <c r="E349" s="29"/>
      <c r="F349" s="29"/>
      <c r="G349" s="29"/>
      <c r="H349" s="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9"/>
      <c r="D350" s="29"/>
      <c r="E350" s="29"/>
      <c r="F350" s="29"/>
      <c r="G350" s="29"/>
      <c r="H350" s="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9"/>
      <c r="D351" s="29"/>
      <c r="E351" s="29"/>
      <c r="F351" s="29"/>
      <c r="G351" s="29"/>
      <c r="H351" s="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9"/>
      <c r="D352" s="29"/>
      <c r="E352" s="29"/>
      <c r="F352" s="29"/>
      <c r="G352" s="29"/>
      <c r="H352" s="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9"/>
      <c r="D353" s="29"/>
      <c r="E353" s="29"/>
      <c r="F353" s="29"/>
      <c r="G353" s="29"/>
      <c r="H353" s="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9"/>
      <c r="D354" s="29"/>
      <c r="E354" s="29"/>
      <c r="F354" s="29"/>
      <c r="G354" s="29"/>
      <c r="H354" s="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9"/>
      <c r="D355" s="29"/>
      <c r="E355" s="29"/>
      <c r="F355" s="29"/>
      <c r="G355" s="29"/>
      <c r="H355" s="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9"/>
      <c r="D356" s="29"/>
      <c r="E356" s="29"/>
      <c r="F356" s="29"/>
      <c r="G356" s="29"/>
      <c r="H356" s="2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9"/>
      <c r="D357" s="29"/>
      <c r="E357" s="29"/>
      <c r="F357" s="29"/>
      <c r="G357" s="29"/>
      <c r="H357" s="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9"/>
      <c r="D358" s="29"/>
      <c r="E358" s="29"/>
      <c r="F358" s="29"/>
      <c r="G358" s="29"/>
      <c r="H358" s="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9"/>
      <c r="D359" s="29"/>
      <c r="E359" s="29"/>
      <c r="F359" s="29"/>
      <c r="G359" s="29"/>
      <c r="H359" s="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9"/>
      <c r="D360" s="29"/>
      <c r="E360" s="29"/>
      <c r="F360" s="29"/>
      <c r="G360" s="29"/>
      <c r="H360" s="2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9"/>
      <c r="D361" s="29"/>
      <c r="E361" s="29"/>
      <c r="F361" s="29"/>
      <c r="G361" s="29"/>
      <c r="H361" s="2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9"/>
      <c r="D362" s="29"/>
      <c r="E362" s="29"/>
      <c r="F362" s="29"/>
      <c r="G362" s="29"/>
      <c r="H362" s="2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9"/>
      <c r="D363" s="29"/>
      <c r="E363" s="29"/>
      <c r="F363" s="29"/>
      <c r="G363" s="29"/>
      <c r="H363" s="2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9"/>
      <c r="D364" s="29"/>
      <c r="E364" s="29"/>
      <c r="F364" s="29"/>
      <c r="G364" s="29"/>
      <c r="H364" s="2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9"/>
      <c r="D365" s="29"/>
      <c r="E365" s="29"/>
      <c r="F365" s="29"/>
      <c r="G365" s="29"/>
      <c r="H365" s="2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9"/>
      <c r="D366" s="29"/>
      <c r="E366" s="29"/>
      <c r="F366" s="29"/>
      <c r="G366" s="29"/>
      <c r="H366" s="2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9"/>
      <c r="D367" s="29"/>
      <c r="E367" s="29"/>
      <c r="F367" s="29"/>
      <c r="G367" s="29"/>
      <c r="H367" s="2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9"/>
      <c r="D368" s="29"/>
      <c r="E368" s="29"/>
      <c r="F368" s="29"/>
      <c r="G368" s="29"/>
      <c r="H368" s="2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9"/>
      <c r="D369" s="29"/>
      <c r="E369" s="29"/>
      <c r="F369" s="29"/>
      <c r="G369" s="29"/>
      <c r="H369" s="2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9"/>
      <c r="D370" s="29"/>
      <c r="E370" s="29"/>
      <c r="F370" s="29"/>
      <c r="G370" s="29"/>
      <c r="H370" s="2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9"/>
      <c r="D371" s="29"/>
      <c r="E371" s="29"/>
      <c r="F371" s="29"/>
      <c r="G371" s="29"/>
      <c r="H371" s="2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9"/>
      <c r="D372" s="29"/>
      <c r="E372" s="29"/>
      <c r="F372" s="29"/>
      <c r="G372" s="29"/>
      <c r="H372" s="2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9"/>
      <c r="D373" s="29"/>
      <c r="E373" s="29"/>
      <c r="F373" s="29"/>
      <c r="G373" s="29"/>
      <c r="H373" s="2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9"/>
      <c r="D374" s="29"/>
      <c r="E374" s="29"/>
      <c r="F374" s="29"/>
      <c r="G374" s="29"/>
      <c r="H374" s="2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9"/>
      <c r="D375" s="29"/>
      <c r="E375" s="29"/>
      <c r="F375" s="29"/>
      <c r="G375" s="29"/>
      <c r="H375" s="2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9"/>
      <c r="D376" s="29"/>
      <c r="E376" s="29"/>
      <c r="F376" s="29"/>
      <c r="G376" s="29"/>
      <c r="H376" s="2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9"/>
      <c r="D377" s="29"/>
      <c r="E377" s="29"/>
      <c r="F377" s="29"/>
      <c r="G377" s="29"/>
      <c r="H377" s="2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9"/>
      <c r="D378" s="29"/>
      <c r="E378" s="29"/>
      <c r="F378" s="29"/>
      <c r="G378" s="29"/>
      <c r="H378" s="2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9"/>
      <c r="D379" s="29"/>
      <c r="E379" s="29"/>
      <c r="F379" s="29"/>
      <c r="G379" s="29"/>
      <c r="H379" s="2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9"/>
      <c r="D380" s="29"/>
      <c r="E380" s="29"/>
      <c r="F380" s="29"/>
      <c r="G380" s="29"/>
      <c r="H380" s="2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9"/>
      <c r="D381" s="29"/>
      <c r="E381" s="29"/>
      <c r="F381" s="29"/>
      <c r="G381" s="29"/>
      <c r="H381" s="2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9"/>
      <c r="D382" s="29"/>
      <c r="E382" s="29"/>
      <c r="F382" s="29"/>
      <c r="G382" s="29"/>
      <c r="H382" s="2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9"/>
      <c r="D383" s="29"/>
      <c r="E383" s="29"/>
      <c r="F383" s="29"/>
      <c r="G383" s="29"/>
      <c r="H383" s="2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9"/>
      <c r="D384" s="29"/>
      <c r="E384" s="29"/>
      <c r="F384" s="29"/>
      <c r="G384" s="29"/>
      <c r="H384" s="2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9"/>
      <c r="D385" s="29"/>
      <c r="E385" s="29"/>
      <c r="F385" s="29"/>
      <c r="G385" s="29"/>
      <c r="H385" s="2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9"/>
      <c r="D386" s="29"/>
      <c r="E386" s="29"/>
      <c r="F386" s="29"/>
      <c r="G386" s="29"/>
      <c r="H386" s="2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9"/>
      <c r="D387" s="29"/>
      <c r="E387" s="29"/>
      <c r="F387" s="29"/>
      <c r="G387" s="29"/>
      <c r="H387" s="2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9"/>
      <c r="D388" s="29"/>
      <c r="E388" s="29"/>
      <c r="F388" s="29"/>
      <c r="G388" s="29"/>
      <c r="H388" s="2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9"/>
      <c r="D389" s="29"/>
      <c r="E389" s="29"/>
      <c r="F389" s="29"/>
      <c r="G389" s="29"/>
      <c r="H389" s="2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9"/>
      <c r="D390" s="29"/>
      <c r="E390" s="29"/>
      <c r="F390" s="29"/>
      <c r="G390" s="29"/>
      <c r="H390" s="2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9"/>
      <c r="D391" s="29"/>
      <c r="E391" s="29"/>
      <c r="F391" s="29"/>
      <c r="G391" s="29"/>
      <c r="H391" s="2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9"/>
      <c r="D392" s="29"/>
      <c r="E392" s="29"/>
      <c r="F392" s="29"/>
      <c r="G392" s="29"/>
      <c r="H392" s="2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9"/>
      <c r="D393" s="29"/>
      <c r="E393" s="29"/>
      <c r="F393" s="29"/>
      <c r="G393" s="29"/>
      <c r="H393" s="2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9"/>
      <c r="D394" s="29"/>
      <c r="E394" s="29"/>
      <c r="F394" s="29"/>
      <c r="G394" s="29"/>
      <c r="H394" s="2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9"/>
      <c r="D395" s="29"/>
      <c r="E395" s="29"/>
      <c r="F395" s="29"/>
      <c r="G395" s="29"/>
      <c r="H395" s="2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9"/>
      <c r="D396" s="29"/>
      <c r="E396" s="29"/>
      <c r="F396" s="29"/>
      <c r="G396" s="29"/>
      <c r="H396" s="2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9"/>
      <c r="D397" s="29"/>
      <c r="E397" s="29"/>
      <c r="F397" s="29"/>
      <c r="G397" s="29"/>
      <c r="H397" s="2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9"/>
      <c r="D398" s="29"/>
      <c r="E398" s="29"/>
      <c r="F398" s="29"/>
      <c r="G398" s="29"/>
      <c r="H398" s="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9"/>
      <c r="D399" s="29"/>
      <c r="E399" s="29"/>
      <c r="F399" s="29"/>
      <c r="G399" s="29"/>
      <c r="H399" s="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9"/>
      <c r="D400" s="29"/>
      <c r="E400" s="29"/>
      <c r="F400" s="29"/>
      <c r="G400" s="29"/>
      <c r="H400" s="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9"/>
      <c r="D401" s="29"/>
      <c r="E401" s="29"/>
      <c r="F401" s="29"/>
      <c r="G401" s="29"/>
      <c r="H401" s="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9"/>
      <c r="D402" s="29"/>
      <c r="E402" s="29"/>
      <c r="F402" s="29"/>
      <c r="G402" s="29"/>
      <c r="H402" s="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9"/>
      <c r="D403" s="29"/>
      <c r="E403" s="29"/>
      <c r="F403" s="29"/>
      <c r="G403" s="29"/>
      <c r="H403" s="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9"/>
      <c r="D404" s="29"/>
      <c r="E404" s="29"/>
      <c r="F404" s="29"/>
      <c r="G404" s="29"/>
      <c r="H404" s="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9"/>
      <c r="D405" s="29"/>
      <c r="E405" s="29"/>
      <c r="F405" s="29"/>
      <c r="G405" s="29"/>
      <c r="H405" s="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9"/>
      <c r="D406" s="29"/>
      <c r="E406" s="29"/>
      <c r="F406" s="29"/>
      <c r="G406" s="29"/>
      <c r="H406" s="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9"/>
      <c r="D407" s="29"/>
      <c r="E407" s="29"/>
      <c r="F407" s="29"/>
      <c r="G407" s="29"/>
      <c r="H407" s="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9"/>
      <c r="D408" s="29"/>
      <c r="E408" s="29"/>
      <c r="F408" s="29"/>
      <c r="G408" s="29"/>
      <c r="H408" s="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9"/>
      <c r="D409" s="29"/>
      <c r="E409" s="29"/>
      <c r="F409" s="29"/>
      <c r="G409" s="29"/>
      <c r="H409" s="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9"/>
      <c r="D410" s="29"/>
      <c r="E410" s="29"/>
      <c r="F410" s="29"/>
      <c r="G410" s="29"/>
      <c r="H410" s="2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9"/>
      <c r="D411" s="29"/>
      <c r="E411" s="29"/>
      <c r="F411" s="29"/>
      <c r="G411" s="29"/>
      <c r="H411" s="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9"/>
      <c r="D412" s="29"/>
      <c r="E412" s="29"/>
      <c r="F412" s="29"/>
      <c r="G412" s="29"/>
      <c r="H412" s="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9"/>
      <c r="D413" s="29"/>
      <c r="E413" s="29"/>
      <c r="F413" s="29"/>
      <c r="G413" s="29"/>
      <c r="H413" s="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9"/>
      <c r="D414" s="29"/>
      <c r="E414" s="29"/>
      <c r="F414" s="29"/>
      <c r="G414" s="29"/>
      <c r="H414" s="2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9"/>
      <c r="D415" s="29"/>
      <c r="E415" s="29"/>
      <c r="F415" s="29"/>
      <c r="G415" s="29"/>
      <c r="H415" s="2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9"/>
      <c r="D416" s="29"/>
      <c r="E416" s="29"/>
      <c r="F416" s="29"/>
      <c r="G416" s="29"/>
      <c r="H416" s="2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9"/>
      <c r="D417" s="29"/>
      <c r="E417" s="29"/>
      <c r="F417" s="29"/>
      <c r="G417" s="29"/>
      <c r="H417" s="2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9"/>
      <c r="D418" s="29"/>
      <c r="E418" s="29"/>
      <c r="F418" s="29"/>
      <c r="G418" s="29"/>
      <c r="H418" s="2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9"/>
      <c r="D419" s="29"/>
      <c r="E419" s="29"/>
      <c r="F419" s="29"/>
      <c r="G419" s="29"/>
      <c r="H419" s="2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9"/>
      <c r="D420" s="29"/>
      <c r="E420" s="29"/>
      <c r="F420" s="29"/>
      <c r="G420" s="29"/>
      <c r="H420" s="2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9"/>
      <c r="D421" s="29"/>
      <c r="E421" s="29"/>
      <c r="F421" s="29"/>
      <c r="G421" s="29"/>
      <c r="H421" s="2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9"/>
      <c r="D422" s="29"/>
      <c r="E422" s="29"/>
      <c r="F422" s="29"/>
      <c r="G422" s="29"/>
      <c r="H422" s="2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9"/>
      <c r="D423" s="29"/>
      <c r="E423" s="29"/>
      <c r="F423" s="29"/>
      <c r="G423" s="29"/>
      <c r="H423" s="2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9"/>
      <c r="D424" s="29"/>
      <c r="E424" s="29"/>
      <c r="F424" s="29"/>
      <c r="G424" s="29"/>
      <c r="H424" s="2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9"/>
      <c r="D425" s="29"/>
      <c r="E425" s="29"/>
      <c r="F425" s="29"/>
      <c r="G425" s="29"/>
      <c r="H425" s="2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9"/>
      <c r="D426" s="29"/>
      <c r="E426" s="29"/>
      <c r="F426" s="29"/>
      <c r="G426" s="29"/>
      <c r="H426" s="2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9"/>
      <c r="D427" s="29"/>
      <c r="E427" s="29"/>
      <c r="F427" s="29"/>
      <c r="G427" s="29"/>
      <c r="H427" s="2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9"/>
      <c r="D428" s="29"/>
      <c r="E428" s="29"/>
      <c r="F428" s="29"/>
      <c r="G428" s="29"/>
      <c r="H428" s="2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9"/>
      <c r="D429" s="29"/>
      <c r="E429" s="29"/>
      <c r="F429" s="29"/>
      <c r="G429" s="29"/>
      <c r="H429" s="2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9"/>
      <c r="D430" s="29"/>
      <c r="E430" s="29"/>
      <c r="F430" s="29"/>
      <c r="G430" s="29"/>
      <c r="H430" s="2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9"/>
      <c r="D431" s="29"/>
      <c r="E431" s="29"/>
      <c r="F431" s="29"/>
      <c r="G431" s="29"/>
      <c r="H431" s="2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9"/>
      <c r="D432" s="29"/>
      <c r="E432" s="29"/>
      <c r="F432" s="29"/>
      <c r="G432" s="29"/>
      <c r="H432" s="2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9"/>
      <c r="D433" s="29"/>
      <c r="E433" s="29"/>
      <c r="F433" s="29"/>
      <c r="G433" s="29"/>
      <c r="H433" s="2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9"/>
      <c r="D434" s="29"/>
      <c r="E434" s="29"/>
      <c r="F434" s="29"/>
      <c r="G434" s="29"/>
      <c r="H434" s="2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9"/>
      <c r="D435" s="29"/>
      <c r="E435" s="29"/>
      <c r="F435" s="29"/>
      <c r="G435" s="29"/>
      <c r="H435" s="2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9"/>
      <c r="D436" s="29"/>
      <c r="E436" s="29"/>
      <c r="F436" s="29"/>
      <c r="G436" s="29"/>
      <c r="H436" s="2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9"/>
      <c r="D437" s="29"/>
      <c r="E437" s="29"/>
      <c r="F437" s="29"/>
      <c r="G437" s="29"/>
      <c r="H437" s="2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9"/>
      <c r="D438" s="29"/>
      <c r="E438" s="29"/>
      <c r="F438" s="29"/>
      <c r="G438" s="29"/>
      <c r="H438" s="2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9"/>
      <c r="D439" s="29"/>
      <c r="E439" s="29"/>
      <c r="F439" s="29"/>
      <c r="G439" s="29"/>
      <c r="H439" s="2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9"/>
      <c r="D440" s="29"/>
      <c r="E440" s="29"/>
      <c r="F440" s="29"/>
      <c r="G440" s="29"/>
      <c r="H440" s="2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9"/>
      <c r="D441" s="29"/>
      <c r="E441" s="29"/>
      <c r="F441" s="29"/>
      <c r="G441" s="29"/>
      <c r="H441" s="2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9"/>
      <c r="D442" s="29"/>
      <c r="E442" s="29"/>
      <c r="F442" s="29"/>
      <c r="G442" s="29"/>
      <c r="H442" s="2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9"/>
      <c r="D443" s="29"/>
      <c r="E443" s="29"/>
      <c r="F443" s="29"/>
      <c r="G443" s="29"/>
      <c r="H443" s="2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9"/>
      <c r="D444" s="29"/>
      <c r="E444" s="29"/>
      <c r="F444" s="29"/>
      <c r="G444" s="29"/>
      <c r="H444" s="2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9"/>
      <c r="D445" s="29"/>
      <c r="E445" s="29"/>
      <c r="F445" s="29"/>
      <c r="G445" s="29"/>
      <c r="H445" s="2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9"/>
      <c r="D446" s="29"/>
      <c r="E446" s="29"/>
      <c r="F446" s="29"/>
      <c r="G446" s="29"/>
      <c r="H446" s="2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9"/>
      <c r="D447" s="29"/>
      <c r="E447" s="29"/>
      <c r="F447" s="29"/>
      <c r="G447" s="29"/>
      <c r="H447" s="2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9"/>
      <c r="D448" s="29"/>
      <c r="E448" s="29"/>
      <c r="F448" s="29"/>
      <c r="G448" s="29"/>
      <c r="H448" s="2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9"/>
      <c r="D449" s="29"/>
      <c r="E449" s="29"/>
      <c r="F449" s="29"/>
      <c r="G449" s="29"/>
      <c r="H449" s="2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9"/>
      <c r="D450" s="29"/>
      <c r="E450" s="29"/>
      <c r="F450" s="29"/>
      <c r="G450" s="29"/>
      <c r="H450" s="2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9"/>
      <c r="D451" s="29"/>
      <c r="E451" s="29"/>
      <c r="F451" s="29"/>
      <c r="G451" s="29"/>
      <c r="H451" s="2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9"/>
      <c r="D452" s="29"/>
      <c r="E452" s="29"/>
      <c r="F452" s="29"/>
      <c r="G452" s="29"/>
      <c r="H452" s="2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9"/>
      <c r="D453" s="29"/>
      <c r="E453" s="29"/>
      <c r="F453" s="29"/>
      <c r="G453" s="29"/>
      <c r="H453" s="2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9"/>
      <c r="D454" s="29"/>
      <c r="E454" s="29"/>
      <c r="F454" s="29"/>
      <c r="G454" s="29"/>
      <c r="H454" s="2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9"/>
      <c r="D455" s="29"/>
      <c r="E455" s="29"/>
      <c r="F455" s="29"/>
      <c r="G455" s="29"/>
      <c r="H455" s="2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9"/>
      <c r="D456" s="29"/>
      <c r="E456" s="29"/>
      <c r="F456" s="29"/>
      <c r="G456" s="29"/>
      <c r="H456" s="2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9"/>
      <c r="D457" s="29"/>
      <c r="E457" s="29"/>
      <c r="F457" s="29"/>
      <c r="G457" s="29"/>
      <c r="H457" s="2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9"/>
      <c r="D458" s="29"/>
      <c r="E458" s="29"/>
      <c r="F458" s="29"/>
      <c r="G458" s="29"/>
      <c r="H458" s="2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9"/>
      <c r="D459" s="29"/>
      <c r="E459" s="29"/>
      <c r="F459" s="29"/>
      <c r="G459" s="29"/>
      <c r="H459" s="2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9"/>
      <c r="D460" s="29"/>
      <c r="E460" s="29"/>
      <c r="F460" s="29"/>
      <c r="G460" s="29"/>
      <c r="H460" s="2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9"/>
      <c r="D461" s="29"/>
      <c r="E461" s="29"/>
      <c r="F461" s="29"/>
      <c r="G461" s="29"/>
      <c r="H461" s="2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9"/>
      <c r="D462" s="29"/>
      <c r="E462" s="29"/>
      <c r="F462" s="29"/>
      <c r="G462" s="29"/>
      <c r="H462" s="2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9"/>
      <c r="D463" s="29"/>
      <c r="E463" s="29"/>
      <c r="F463" s="29"/>
      <c r="G463" s="29"/>
      <c r="H463" s="2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9"/>
      <c r="D464" s="29"/>
      <c r="E464" s="29"/>
      <c r="F464" s="29"/>
      <c r="G464" s="29"/>
      <c r="H464" s="2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9"/>
      <c r="D465" s="29"/>
      <c r="E465" s="29"/>
      <c r="F465" s="29"/>
      <c r="G465" s="29"/>
      <c r="H465" s="2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9"/>
      <c r="D466" s="29"/>
      <c r="E466" s="29"/>
      <c r="F466" s="29"/>
      <c r="G466" s="29"/>
      <c r="H466" s="2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9"/>
      <c r="D467" s="29"/>
      <c r="E467" s="29"/>
      <c r="F467" s="29"/>
      <c r="G467" s="29"/>
      <c r="H467" s="2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9"/>
      <c r="D468" s="29"/>
      <c r="E468" s="29"/>
      <c r="F468" s="29"/>
      <c r="G468" s="29"/>
      <c r="H468" s="2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9"/>
      <c r="D469" s="29"/>
      <c r="E469" s="29"/>
      <c r="F469" s="29"/>
      <c r="G469" s="29"/>
      <c r="H469" s="2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9"/>
      <c r="D470" s="29"/>
      <c r="E470" s="29"/>
      <c r="F470" s="29"/>
      <c r="G470" s="29"/>
      <c r="H470" s="2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9"/>
      <c r="D471" s="29"/>
      <c r="E471" s="29"/>
      <c r="F471" s="29"/>
      <c r="G471" s="29"/>
      <c r="H471" s="2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9"/>
      <c r="D472" s="29"/>
      <c r="E472" s="29"/>
      <c r="F472" s="29"/>
      <c r="G472" s="29"/>
      <c r="H472" s="2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9"/>
      <c r="D473" s="29"/>
      <c r="E473" s="29"/>
      <c r="F473" s="29"/>
      <c r="G473" s="29"/>
      <c r="H473" s="2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9"/>
      <c r="D474" s="29"/>
      <c r="E474" s="29"/>
      <c r="F474" s="29"/>
      <c r="G474" s="29"/>
      <c r="H474" s="2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9"/>
      <c r="D475" s="29"/>
      <c r="E475" s="29"/>
      <c r="F475" s="29"/>
      <c r="G475" s="29"/>
      <c r="H475" s="2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9"/>
      <c r="D476" s="29"/>
      <c r="E476" s="29"/>
      <c r="F476" s="29"/>
      <c r="G476" s="29"/>
      <c r="H476" s="2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9"/>
      <c r="D477" s="29"/>
      <c r="E477" s="29"/>
      <c r="F477" s="29"/>
      <c r="G477" s="29"/>
      <c r="H477" s="2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9"/>
      <c r="D478" s="29"/>
      <c r="E478" s="29"/>
      <c r="F478" s="29"/>
      <c r="G478" s="29"/>
      <c r="H478" s="2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9"/>
      <c r="D479" s="29"/>
      <c r="E479" s="29"/>
      <c r="F479" s="29"/>
      <c r="G479" s="29"/>
      <c r="H479" s="2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9"/>
      <c r="D480" s="29"/>
      <c r="E480" s="29"/>
      <c r="F480" s="29"/>
      <c r="G480" s="29"/>
      <c r="H480" s="2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9"/>
      <c r="D481" s="29"/>
      <c r="E481" s="29"/>
      <c r="F481" s="29"/>
      <c r="G481" s="29"/>
      <c r="H481" s="2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9"/>
      <c r="D482" s="29"/>
      <c r="E482" s="29"/>
      <c r="F482" s="29"/>
      <c r="G482" s="29"/>
      <c r="H482" s="2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9"/>
      <c r="D483" s="29"/>
      <c r="E483" s="29"/>
      <c r="F483" s="29"/>
      <c r="G483" s="29"/>
      <c r="H483" s="2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9"/>
      <c r="D484" s="29"/>
      <c r="E484" s="29"/>
      <c r="F484" s="29"/>
      <c r="G484" s="29"/>
      <c r="H484" s="2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9"/>
      <c r="D485" s="29"/>
      <c r="E485" s="29"/>
      <c r="F485" s="29"/>
      <c r="G485" s="29"/>
      <c r="H485" s="2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9"/>
      <c r="D486" s="29"/>
      <c r="E486" s="29"/>
      <c r="F486" s="29"/>
      <c r="G486" s="29"/>
      <c r="H486" s="2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9"/>
      <c r="D487" s="29"/>
      <c r="E487" s="29"/>
      <c r="F487" s="29"/>
      <c r="G487" s="29"/>
      <c r="H487" s="2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9"/>
      <c r="D488" s="29"/>
      <c r="E488" s="29"/>
      <c r="F488" s="29"/>
      <c r="G488" s="29"/>
      <c r="H488" s="2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9"/>
      <c r="D489" s="29"/>
      <c r="E489" s="29"/>
      <c r="F489" s="29"/>
      <c r="G489" s="29"/>
      <c r="H489" s="2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9"/>
      <c r="D490" s="29"/>
      <c r="E490" s="29"/>
      <c r="F490" s="29"/>
      <c r="G490" s="29"/>
      <c r="H490" s="2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9"/>
      <c r="D491" s="29"/>
      <c r="E491" s="29"/>
      <c r="F491" s="29"/>
      <c r="G491" s="29"/>
      <c r="H491" s="2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9"/>
      <c r="D492" s="29"/>
      <c r="E492" s="29"/>
      <c r="F492" s="29"/>
      <c r="G492" s="29"/>
      <c r="H492" s="2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9"/>
      <c r="D493" s="29"/>
      <c r="E493" s="29"/>
      <c r="F493" s="29"/>
      <c r="G493" s="29"/>
      <c r="H493" s="2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9"/>
      <c r="D494" s="29"/>
      <c r="E494" s="29"/>
      <c r="F494" s="29"/>
      <c r="G494" s="29"/>
      <c r="H494" s="2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9"/>
      <c r="D495" s="29"/>
      <c r="E495" s="29"/>
      <c r="F495" s="29"/>
      <c r="G495" s="29"/>
      <c r="H495" s="2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9"/>
      <c r="D496" s="29"/>
      <c r="E496" s="29"/>
      <c r="F496" s="29"/>
      <c r="G496" s="29"/>
      <c r="H496" s="2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9"/>
      <c r="D497" s="29"/>
      <c r="E497" s="29"/>
      <c r="F497" s="29"/>
      <c r="G497" s="29"/>
      <c r="H497" s="2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9"/>
      <c r="D498" s="29"/>
      <c r="E498" s="29"/>
      <c r="F498" s="29"/>
      <c r="G498" s="29"/>
      <c r="H498" s="2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9"/>
      <c r="D499" s="29"/>
      <c r="E499" s="29"/>
      <c r="F499" s="29"/>
      <c r="G499" s="29"/>
      <c r="H499" s="2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9"/>
      <c r="D500" s="29"/>
      <c r="E500" s="29"/>
      <c r="F500" s="29"/>
      <c r="G500" s="29"/>
      <c r="H500" s="2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9"/>
      <c r="D501" s="29"/>
      <c r="E501" s="29"/>
      <c r="F501" s="29"/>
      <c r="G501" s="29"/>
      <c r="H501" s="2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9"/>
      <c r="D502" s="29"/>
      <c r="E502" s="29"/>
      <c r="F502" s="29"/>
      <c r="G502" s="29"/>
      <c r="H502" s="2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9"/>
      <c r="D503" s="29"/>
      <c r="E503" s="29"/>
      <c r="F503" s="29"/>
      <c r="G503" s="29"/>
      <c r="H503" s="2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9"/>
      <c r="D504" s="29"/>
      <c r="E504" s="29"/>
      <c r="F504" s="29"/>
      <c r="G504" s="29"/>
      <c r="H504" s="2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9"/>
      <c r="D505" s="29"/>
      <c r="E505" s="29"/>
      <c r="F505" s="29"/>
      <c r="G505" s="29"/>
      <c r="H505" s="2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9"/>
      <c r="D506" s="29"/>
      <c r="E506" s="29"/>
      <c r="F506" s="29"/>
      <c r="G506" s="29"/>
      <c r="H506" s="2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9"/>
      <c r="D507" s="29"/>
      <c r="E507" s="29"/>
      <c r="F507" s="29"/>
      <c r="G507" s="29"/>
      <c r="H507" s="2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9"/>
      <c r="D508" s="29"/>
      <c r="E508" s="29"/>
      <c r="F508" s="29"/>
      <c r="G508" s="29"/>
      <c r="H508" s="2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9"/>
      <c r="D509" s="29"/>
      <c r="E509" s="29"/>
      <c r="F509" s="29"/>
      <c r="G509" s="29"/>
      <c r="H509" s="2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9"/>
      <c r="D510" s="29"/>
      <c r="E510" s="29"/>
      <c r="F510" s="29"/>
      <c r="G510" s="29"/>
      <c r="H510" s="2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9"/>
      <c r="D511" s="29"/>
      <c r="E511" s="29"/>
      <c r="F511" s="29"/>
      <c r="G511" s="29"/>
      <c r="H511" s="2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9"/>
      <c r="D512" s="29"/>
      <c r="E512" s="29"/>
      <c r="F512" s="29"/>
      <c r="G512" s="29"/>
      <c r="H512" s="2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9"/>
      <c r="D513" s="29"/>
      <c r="E513" s="29"/>
      <c r="F513" s="29"/>
      <c r="G513" s="29"/>
      <c r="H513" s="2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9"/>
      <c r="D514" s="29"/>
      <c r="E514" s="29"/>
      <c r="F514" s="29"/>
      <c r="G514" s="29"/>
      <c r="H514" s="2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9"/>
      <c r="D515" s="29"/>
      <c r="E515" s="29"/>
      <c r="F515" s="29"/>
      <c r="G515" s="29"/>
      <c r="H515" s="2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9"/>
      <c r="D516" s="29"/>
      <c r="E516" s="29"/>
      <c r="F516" s="29"/>
      <c r="G516" s="29"/>
      <c r="H516" s="2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9"/>
      <c r="D517" s="29"/>
      <c r="E517" s="29"/>
      <c r="F517" s="29"/>
      <c r="G517" s="29"/>
      <c r="H517" s="2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9"/>
      <c r="D518" s="29"/>
      <c r="E518" s="29"/>
      <c r="F518" s="29"/>
      <c r="G518" s="29"/>
      <c r="H518" s="2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9"/>
      <c r="D519" s="29"/>
      <c r="E519" s="29"/>
      <c r="F519" s="29"/>
      <c r="G519" s="29"/>
      <c r="H519" s="2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9"/>
      <c r="D520" s="29"/>
      <c r="E520" s="29"/>
      <c r="F520" s="29"/>
      <c r="G520" s="29"/>
      <c r="H520" s="2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9"/>
      <c r="D521" s="29"/>
      <c r="E521" s="29"/>
      <c r="F521" s="29"/>
      <c r="G521" s="29"/>
      <c r="H521" s="2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9"/>
      <c r="D522" s="29"/>
      <c r="E522" s="29"/>
      <c r="F522" s="29"/>
      <c r="G522" s="29"/>
      <c r="H522" s="2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9"/>
      <c r="D523" s="29"/>
      <c r="E523" s="29"/>
      <c r="F523" s="29"/>
      <c r="G523" s="29"/>
      <c r="H523" s="2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9"/>
      <c r="D524" s="29"/>
      <c r="E524" s="29"/>
      <c r="F524" s="29"/>
      <c r="G524" s="29"/>
      <c r="H524" s="2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9"/>
      <c r="D525" s="29"/>
      <c r="E525" s="29"/>
      <c r="F525" s="29"/>
      <c r="G525" s="29"/>
      <c r="H525" s="2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9"/>
      <c r="D526" s="29"/>
      <c r="E526" s="29"/>
      <c r="F526" s="29"/>
      <c r="G526" s="29"/>
      <c r="H526" s="2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9"/>
      <c r="D527" s="29"/>
      <c r="E527" s="29"/>
      <c r="F527" s="29"/>
      <c r="G527" s="29"/>
      <c r="H527" s="2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9"/>
      <c r="D528" s="29"/>
      <c r="E528" s="29"/>
      <c r="F528" s="29"/>
      <c r="G528" s="29"/>
      <c r="H528" s="2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9"/>
      <c r="D529" s="29"/>
      <c r="E529" s="29"/>
      <c r="F529" s="29"/>
      <c r="G529" s="29"/>
      <c r="H529" s="2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9"/>
      <c r="D530" s="29"/>
      <c r="E530" s="29"/>
      <c r="F530" s="29"/>
      <c r="G530" s="29"/>
      <c r="H530" s="2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9"/>
      <c r="D531" s="29"/>
      <c r="E531" s="29"/>
      <c r="F531" s="29"/>
      <c r="G531" s="29"/>
      <c r="H531" s="2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9"/>
      <c r="D532" s="29"/>
      <c r="E532" s="29"/>
      <c r="F532" s="29"/>
      <c r="G532" s="29"/>
      <c r="H532" s="2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9"/>
      <c r="D533" s="29"/>
      <c r="E533" s="29"/>
      <c r="F533" s="29"/>
      <c r="G533" s="29"/>
      <c r="H533" s="2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9"/>
      <c r="D534" s="29"/>
      <c r="E534" s="29"/>
      <c r="F534" s="29"/>
      <c r="G534" s="29"/>
      <c r="H534" s="2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9"/>
      <c r="D535" s="29"/>
      <c r="E535" s="29"/>
      <c r="F535" s="29"/>
      <c r="G535" s="29"/>
      <c r="H535" s="2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9"/>
      <c r="D536" s="29"/>
      <c r="E536" s="29"/>
      <c r="F536" s="29"/>
      <c r="G536" s="29"/>
      <c r="H536" s="2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9"/>
      <c r="D537" s="29"/>
      <c r="E537" s="29"/>
      <c r="F537" s="29"/>
      <c r="G537" s="29"/>
      <c r="H537" s="2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9"/>
      <c r="D538" s="29"/>
      <c r="E538" s="29"/>
      <c r="F538" s="29"/>
      <c r="G538" s="29"/>
      <c r="H538" s="2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9"/>
      <c r="D539" s="29"/>
      <c r="E539" s="29"/>
      <c r="F539" s="29"/>
      <c r="G539" s="29"/>
      <c r="H539" s="2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9"/>
      <c r="D540" s="29"/>
      <c r="E540" s="29"/>
      <c r="F540" s="29"/>
      <c r="G540" s="29"/>
      <c r="H540" s="2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9"/>
      <c r="D541" s="29"/>
      <c r="E541" s="29"/>
      <c r="F541" s="29"/>
      <c r="G541" s="29"/>
      <c r="H541" s="2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9"/>
      <c r="D542" s="29"/>
      <c r="E542" s="29"/>
      <c r="F542" s="29"/>
      <c r="G542" s="29"/>
      <c r="H542" s="2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9"/>
      <c r="D543" s="29"/>
      <c r="E543" s="29"/>
      <c r="F543" s="29"/>
      <c r="G543" s="29"/>
      <c r="H543" s="2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9"/>
      <c r="D544" s="29"/>
      <c r="E544" s="29"/>
      <c r="F544" s="29"/>
      <c r="G544" s="29"/>
      <c r="H544" s="2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9"/>
      <c r="D545" s="29"/>
      <c r="E545" s="29"/>
      <c r="F545" s="29"/>
      <c r="G545" s="29"/>
      <c r="H545" s="2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9"/>
      <c r="D546" s="29"/>
      <c r="E546" s="29"/>
      <c r="F546" s="29"/>
      <c r="G546" s="29"/>
      <c r="H546" s="2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9"/>
      <c r="D547" s="29"/>
      <c r="E547" s="29"/>
      <c r="F547" s="29"/>
      <c r="G547" s="29"/>
      <c r="H547" s="2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9"/>
      <c r="D548" s="29"/>
      <c r="E548" s="29"/>
      <c r="F548" s="29"/>
      <c r="G548" s="29"/>
      <c r="H548" s="2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9"/>
      <c r="D549" s="29"/>
      <c r="E549" s="29"/>
      <c r="F549" s="29"/>
      <c r="G549" s="29"/>
      <c r="H549" s="2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9"/>
      <c r="D550" s="29"/>
      <c r="E550" s="29"/>
      <c r="F550" s="29"/>
      <c r="G550" s="29"/>
      <c r="H550" s="2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9"/>
      <c r="D551" s="29"/>
      <c r="E551" s="29"/>
      <c r="F551" s="29"/>
      <c r="G551" s="29"/>
      <c r="H551" s="2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9"/>
      <c r="D552" s="29"/>
      <c r="E552" s="29"/>
      <c r="F552" s="29"/>
      <c r="G552" s="29"/>
      <c r="H552" s="2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9"/>
      <c r="D553" s="29"/>
      <c r="E553" s="29"/>
      <c r="F553" s="29"/>
      <c r="G553" s="29"/>
      <c r="H553" s="2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9"/>
      <c r="D554" s="29"/>
      <c r="E554" s="29"/>
      <c r="F554" s="29"/>
      <c r="G554" s="29"/>
      <c r="H554" s="2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9"/>
      <c r="D555" s="29"/>
      <c r="E555" s="29"/>
      <c r="F555" s="29"/>
      <c r="G555" s="29"/>
      <c r="H555" s="2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9"/>
      <c r="D556" s="29"/>
      <c r="E556" s="29"/>
      <c r="F556" s="29"/>
      <c r="G556" s="29"/>
      <c r="H556" s="2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9"/>
      <c r="D557" s="29"/>
      <c r="E557" s="29"/>
      <c r="F557" s="29"/>
      <c r="G557" s="29"/>
      <c r="H557" s="2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9"/>
      <c r="D558" s="29"/>
      <c r="E558" s="29"/>
      <c r="F558" s="29"/>
      <c r="G558" s="29"/>
      <c r="H558" s="2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9"/>
      <c r="D559" s="29"/>
      <c r="E559" s="29"/>
      <c r="F559" s="29"/>
      <c r="G559" s="29"/>
      <c r="H559" s="2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9"/>
      <c r="D560" s="29"/>
      <c r="E560" s="29"/>
      <c r="F560" s="29"/>
      <c r="G560" s="29"/>
      <c r="H560" s="2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9"/>
      <c r="D561" s="29"/>
      <c r="E561" s="29"/>
      <c r="F561" s="29"/>
      <c r="G561" s="29"/>
      <c r="H561" s="2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9"/>
      <c r="D562" s="29"/>
      <c r="E562" s="29"/>
      <c r="F562" s="29"/>
      <c r="G562" s="29"/>
      <c r="H562" s="2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9"/>
      <c r="D563" s="29"/>
      <c r="E563" s="29"/>
      <c r="F563" s="29"/>
      <c r="G563" s="29"/>
      <c r="H563" s="2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9"/>
      <c r="D564" s="29"/>
      <c r="E564" s="29"/>
      <c r="F564" s="29"/>
      <c r="G564" s="29"/>
      <c r="H564" s="2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9"/>
      <c r="D565" s="29"/>
      <c r="E565" s="29"/>
      <c r="F565" s="29"/>
      <c r="G565" s="29"/>
      <c r="H565" s="2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9"/>
      <c r="D566" s="29"/>
      <c r="E566" s="29"/>
      <c r="F566" s="29"/>
      <c r="G566" s="29"/>
      <c r="H566" s="2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9"/>
      <c r="D567" s="29"/>
      <c r="E567" s="29"/>
      <c r="F567" s="29"/>
      <c r="G567" s="29"/>
      <c r="H567" s="2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9"/>
      <c r="D568" s="29"/>
      <c r="E568" s="29"/>
      <c r="F568" s="29"/>
      <c r="G568" s="29"/>
      <c r="H568" s="2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9"/>
      <c r="D569" s="29"/>
      <c r="E569" s="29"/>
      <c r="F569" s="29"/>
      <c r="G569" s="29"/>
      <c r="H569" s="2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9"/>
      <c r="D570" s="29"/>
      <c r="E570" s="29"/>
      <c r="F570" s="29"/>
      <c r="G570" s="29"/>
      <c r="H570" s="2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9"/>
      <c r="D571" s="29"/>
      <c r="E571" s="29"/>
      <c r="F571" s="29"/>
      <c r="G571" s="29"/>
      <c r="H571" s="2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9"/>
      <c r="D572" s="29"/>
      <c r="E572" s="29"/>
      <c r="F572" s="29"/>
      <c r="G572" s="29"/>
      <c r="H572" s="2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9"/>
      <c r="D573" s="29"/>
      <c r="E573" s="29"/>
      <c r="F573" s="29"/>
      <c r="G573" s="29"/>
      <c r="H573" s="2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9"/>
      <c r="D574" s="29"/>
      <c r="E574" s="29"/>
      <c r="F574" s="29"/>
      <c r="G574" s="29"/>
      <c r="H574" s="2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9"/>
      <c r="D575" s="29"/>
      <c r="E575" s="29"/>
      <c r="F575" s="29"/>
      <c r="G575" s="29"/>
      <c r="H575" s="2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9"/>
      <c r="D576" s="29"/>
      <c r="E576" s="29"/>
      <c r="F576" s="29"/>
      <c r="G576" s="29"/>
      <c r="H576" s="2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9"/>
      <c r="D577" s="29"/>
      <c r="E577" s="29"/>
      <c r="F577" s="29"/>
      <c r="G577" s="29"/>
      <c r="H577" s="2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9"/>
      <c r="D578" s="29"/>
      <c r="E578" s="29"/>
      <c r="F578" s="29"/>
      <c r="G578" s="29"/>
      <c r="H578" s="2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9"/>
      <c r="D579" s="29"/>
      <c r="E579" s="29"/>
      <c r="F579" s="29"/>
      <c r="G579" s="29"/>
      <c r="H579" s="2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9"/>
      <c r="D580" s="29"/>
      <c r="E580" s="29"/>
      <c r="F580" s="29"/>
      <c r="G580" s="29"/>
      <c r="H580" s="2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9"/>
      <c r="D581" s="29"/>
      <c r="E581" s="29"/>
      <c r="F581" s="29"/>
      <c r="G581" s="29"/>
      <c r="H581" s="2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9"/>
      <c r="D582" s="29"/>
      <c r="E582" s="29"/>
      <c r="F582" s="29"/>
      <c r="G582" s="29"/>
      <c r="H582" s="2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9"/>
      <c r="D583" s="29"/>
      <c r="E583" s="29"/>
      <c r="F583" s="29"/>
      <c r="G583" s="29"/>
      <c r="H583" s="2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9"/>
      <c r="D584" s="29"/>
      <c r="E584" s="29"/>
      <c r="F584" s="29"/>
      <c r="G584" s="29"/>
      <c r="H584" s="2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9"/>
      <c r="D585" s="29"/>
      <c r="E585" s="29"/>
      <c r="F585" s="29"/>
      <c r="G585" s="29"/>
      <c r="H585" s="2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9"/>
      <c r="D586" s="29"/>
      <c r="E586" s="29"/>
      <c r="F586" s="29"/>
      <c r="G586" s="29"/>
      <c r="H586" s="2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9"/>
      <c r="D587" s="29"/>
      <c r="E587" s="29"/>
      <c r="F587" s="29"/>
      <c r="G587" s="29"/>
      <c r="H587" s="2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9"/>
      <c r="D588" s="29"/>
      <c r="E588" s="29"/>
      <c r="F588" s="29"/>
      <c r="G588" s="29"/>
      <c r="H588" s="2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9"/>
      <c r="D589" s="29"/>
      <c r="E589" s="29"/>
      <c r="F589" s="29"/>
      <c r="G589" s="29"/>
      <c r="H589" s="2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9"/>
      <c r="D590" s="29"/>
      <c r="E590" s="29"/>
      <c r="F590" s="29"/>
      <c r="G590" s="29"/>
      <c r="H590" s="2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9"/>
      <c r="D591" s="29"/>
      <c r="E591" s="29"/>
      <c r="F591" s="29"/>
      <c r="G591" s="29"/>
      <c r="H591" s="2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9"/>
      <c r="D592" s="29"/>
      <c r="E592" s="29"/>
      <c r="F592" s="29"/>
      <c r="G592" s="29"/>
      <c r="H592" s="2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9"/>
      <c r="D593" s="29"/>
      <c r="E593" s="29"/>
      <c r="F593" s="29"/>
      <c r="G593" s="29"/>
      <c r="H593" s="2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9"/>
      <c r="D594" s="29"/>
      <c r="E594" s="29"/>
      <c r="F594" s="29"/>
      <c r="G594" s="29"/>
      <c r="H594" s="2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9"/>
      <c r="D595" s="29"/>
      <c r="E595" s="29"/>
      <c r="F595" s="29"/>
      <c r="G595" s="29"/>
      <c r="H595" s="2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9"/>
      <c r="D596" s="29"/>
      <c r="E596" s="29"/>
      <c r="F596" s="29"/>
      <c r="G596" s="29"/>
      <c r="H596" s="2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9"/>
      <c r="D597" s="29"/>
      <c r="E597" s="29"/>
      <c r="F597" s="29"/>
      <c r="G597" s="29"/>
      <c r="H597" s="2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9"/>
      <c r="D598" s="29"/>
      <c r="E598" s="29"/>
      <c r="F598" s="29"/>
      <c r="G598" s="29"/>
      <c r="H598" s="2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9"/>
      <c r="D599" s="29"/>
      <c r="E599" s="29"/>
      <c r="F599" s="29"/>
      <c r="G599" s="29"/>
      <c r="H599" s="2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9"/>
      <c r="D600" s="29"/>
      <c r="E600" s="29"/>
      <c r="F600" s="29"/>
      <c r="G600" s="29"/>
      <c r="H600" s="2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9"/>
      <c r="D601" s="29"/>
      <c r="E601" s="29"/>
      <c r="F601" s="29"/>
      <c r="G601" s="29"/>
      <c r="H601" s="2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9"/>
      <c r="D602" s="29"/>
      <c r="E602" s="29"/>
      <c r="F602" s="29"/>
      <c r="G602" s="29"/>
      <c r="H602" s="2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9"/>
      <c r="D603" s="29"/>
      <c r="E603" s="29"/>
      <c r="F603" s="29"/>
      <c r="G603" s="29"/>
      <c r="H603" s="2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9"/>
      <c r="D604" s="29"/>
      <c r="E604" s="29"/>
      <c r="F604" s="29"/>
      <c r="G604" s="29"/>
      <c r="H604" s="2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9"/>
      <c r="D605" s="29"/>
      <c r="E605" s="29"/>
      <c r="F605" s="29"/>
      <c r="G605" s="29"/>
      <c r="H605" s="2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9"/>
      <c r="D606" s="29"/>
      <c r="E606" s="29"/>
      <c r="F606" s="29"/>
      <c r="G606" s="29"/>
      <c r="H606" s="2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9"/>
      <c r="D607" s="29"/>
      <c r="E607" s="29"/>
      <c r="F607" s="29"/>
      <c r="G607" s="29"/>
      <c r="H607" s="2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9"/>
      <c r="D608" s="29"/>
      <c r="E608" s="29"/>
      <c r="F608" s="29"/>
      <c r="G608" s="29"/>
      <c r="H608" s="2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9"/>
      <c r="D609" s="29"/>
      <c r="E609" s="29"/>
      <c r="F609" s="29"/>
      <c r="G609" s="29"/>
      <c r="H609" s="2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9"/>
      <c r="D610" s="29"/>
      <c r="E610" s="29"/>
      <c r="F610" s="29"/>
      <c r="G610" s="29"/>
      <c r="H610" s="2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9"/>
      <c r="D611" s="29"/>
      <c r="E611" s="29"/>
      <c r="F611" s="29"/>
      <c r="G611" s="29"/>
      <c r="H611" s="2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9"/>
      <c r="D612" s="29"/>
      <c r="E612" s="29"/>
      <c r="F612" s="29"/>
      <c r="G612" s="29"/>
      <c r="H612" s="2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9"/>
      <c r="D613" s="29"/>
      <c r="E613" s="29"/>
      <c r="F613" s="29"/>
      <c r="G613" s="29"/>
      <c r="H613" s="2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9"/>
      <c r="D614" s="29"/>
      <c r="E614" s="29"/>
      <c r="F614" s="29"/>
      <c r="G614" s="29"/>
      <c r="H614" s="2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9"/>
      <c r="D615" s="29"/>
      <c r="E615" s="29"/>
      <c r="F615" s="29"/>
      <c r="G615" s="29"/>
      <c r="H615" s="2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9"/>
      <c r="D616" s="29"/>
      <c r="E616" s="29"/>
      <c r="F616" s="29"/>
      <c r="G616" s="29"/>
      <c r="H616" s="2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9"/>
      <c r="D617" s="29"/>
      <c r="E617" s="29"/>
      <c r="F617" s="29"/>
      <c r="G617" s="29"/>
      <c r="H617" s="2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9"/>
      <c r="D618" s="29"/>
      <c r="E618" s="29"/>
      <c r="F618" s="29"/>
      <c r="G618" s="29"/>
      <c r="H618" s="2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9"/>
      <c r="D619" s="29"/>
      <c r="E619" s="29"/>
      <c r="F619" s="29"/>
      <c r="G619" s="29"/>
      <c r="H619" s="2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9"/>
      <c r="D620" s="29"/>
      <c r="E620" s="29"/>
      <c r="F620" s="29"/>
      <c r="G620" s="29"/>
      <c r="H620" s="2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9"/>
      <c r="D621" s="29"/>
      <c r="E621" s="29"/>
      <c r="F621" s="29"/>
      <c r="G621" s="29"/>
      <c r="H621" s="2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9"/>
      <c r="D622" s="29"/>
      <c r="E622" s="29"/>
      <c r="F622" s="29"/>
      <c r="G622" s="29"/>
      <c r="H622" s="2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9"/>
      <c r="D623" s="29"/>
      <c r="E623" s="29"/>
      <c r="F623" s="29"/>
      <c r="G623" s="29"/>
      <c r="H623" s="2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9"/>
      <c r="D624" s="29"/>
      <c r="E624" s="29"/>
      <c r="F624" s="29"/>
      <c r="G624" s="29"/>
      <c r="H624" s="2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9"/>
      <c r="D625" s="29"/>
      <c r="E625" s="29"/>
      <c r="F625" s="29"/>
      <c r="G625" s="29"/>
      <c r="H625" s="2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9"/>
      <c r="D626" s="29"/>
      <c r="E626" s="29"/>
      <c r="F626" s="29"/>
      <c r="G626" s="29"/>
      <c r="H626" s="2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9"/>
      <c r="D627" s="29"/>
      <c r="E627" s="29"/>
      <c r="F627" s="29"/>
      <c r="G627" s="29"/>
      <c r="H627" s="2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9"/>
      <c r="D628" s="29"/>
      <c r="E628" s="29"/>
      <c r="F628" s="29"/>
      <c r="G628" s="29"/>
      <c r="H628" s="2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9"/>
      <c r="D629" s="29"/>
      <c r="E629" s="29"/>
      <c r="F629" s="29"/>
      <c r="G629" s="29"/>
      <c r="H629" s="2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9"/>
      <c r="D630" s="29"/>
      <c r="E630" s="29"/>
      <c r="F630" s="29"/>
      <c r="G630" s="29"/>
      <c r="H630" s="2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9"/>
      <c r="D631" s="29"/>
      <c r="E631" s="29"/>
      <c r="F631" s="29"/>
      <c r="G631" s="29"/>
      <c r="H631" s="2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9"/>
      <c r="D632" s="29"/>
      <c r="E632" s="29"/>
      <c r="F632" s="29"/>
      <c r="G632" s="29"/>
      <c r="H632" s="2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9"/>
      <c r="D633" s="29"/>
      <c r="E633" s="29"/>
      <c r="F633" s="29"/>
      <c r="G633" s="29"/>
      <c r="H633" s="2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9"/>
      <c r="D634" s="29"/>
      <c r="E634" s="29"/>
      <c r="F634" s="29"/>
      <c r="G634" s="29"/>
      <c r="H634" s="2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9"/>
      <c r="D635" s="29"/>
      <c r="E635" s="29"/>
      <c r="F635" s="29"/>
      <c r="G635" s="29"/>
      <c r="H635" s="2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9"/>
      <c r="D636" s="29"/>
      <c r="E636" s="29"/>
      <c r="F636" s="29"/>
      <c r="G636" s="29"/>
      <c r="H636" s="2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9"/>
      <c r="D637" s="29"/>
      <c r="E637" s="29"/>
      <c r="F637" s="29"/>
      <c r="G637" s="29"/>
      <c r="H637" s="2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9"/>
      <c r="D638" s="29"/>
      <c r="E638" s="29"/>
      <c r="F638" s="29"/>
      <c r="G638" s="29"/>
      <c r="H638" s="2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9"/>
      <c r="D639" s="29"/>
      <c r="E639" s="29"/>
      <c r="F639" s="29"/>
      <c r="G639" s="29"/>
      <c r="H639" s="2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9"/>
      <c r="D640" s="29"/>
      <c r="E640" s="29"/>
      <c r="F640" s="29"/>
      <c r="G640" s="29"/>
      <c r="H640" s="2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9"/>
      <c r="D641" s="29"/>
      <c r="E641" s="29"/>
      <c r="F641" s="29"/>
      <c r="G641" s="29"/>
      <c r="H641" s="2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9"/>
      <c r="D642" s="29"/>
      <c r="E642" s="29"/>
      <c r="F642" s="29"/>
      <c r="G642" s="29"/>
      <c r="H642" s="2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/>
      <c r="D647"/>
      <c r="E647"/>
      <c r="F647"/>
      <c r="G647"/>
      <c r="H647"/>
    </row>
    <row r="648" spans="1:42" ht="15.75" customHeight="1" x14ac:dyDescent="0.2">
      <c r="A648"/>
      <c r="C648"/>
      <c r="D648"/>
      <c r="E648"/>
      <c r="F648"/>
      <c r="G648"/>
      <c r="H648"/>
    </row>
    <row r="649" spans="1:42" ht="15.75" customHeight="1" x14ac:dyDescent="0.2">
      <c r="A649"/>
      <c r="C649"/>
      <c r="D649"/>
      <c r="E649"/>
      <c r="F649"/>
      <c r="G649"/>
      <c r="H649"/>
    </row>
    <row r="650" spans="1:42" ht="15.75" customHeight="1" x14ac:dyDescent="0.2">
      <c r="A650"/>
      <c r="C650"/>
      <c r="D650"/>
      <c r="E650"/>
      <c r="F650"/>
      <c r="G650"/>
      <c r="H650"/>
    </row>
    <row r="651" spans="1:42" ht="15.75" customHeight="1" x14ac:dyDescent="0.2">
      <c r="A651"/>
      <c r="C651"/>
      <c r="D651"/>
      <c r="E651"/>
      <c r="F651"/>
      <c r="G651"/>
      <c r="H651"/>
    </row>
    <row r="652" spans="1:42" ht="15.75" customHeight="1" x14ac:dyDescent="0.2">
      <c r="A652"/>
      <c r="C652"/>
      <c r="D652"/>
      <c r="E652"/>
      <c r="F652"/>
      <c r="G652"/>
      <c r="H652"/>
    </row>
    <row r="653" spans="1:42" ht="15.75" customHeight="1" x14ac:dyDescent="0.2">
      <c r="A653"/>
      <c r="C653"/>
      <c r="D653"/>
      <c r="E653"/>
      <c r="F653"/>
      <c r="G653"/>
      <c r="H653"/>
    </row>
    <row r="654" spans="1:42" ht="15.75" customHeight="1" x14ac:dyDescent="0.2">
      <c r="A654"/>
      <c r="C654"/>
      <c r="D654"/>
      <c r="E654"/>
      <c r="F654"/>
      <c r="G654"/>
      <c r="H654"/>
    </row>
    <row r="655" spans="1:42" ht="15.75" customHeight="1" x14ac:dyDescent="0.2">
      <c r="A655"/>
      <c r="C655"/>
      <c r="D655"/>
      <c r="E655"/>
      <c r="F655"/>
      <c r="G655"/>
      <c r="H655"/>
    </row>
    <row r="656" spans="1:42" ht="15.75" customHeight="1" x14ac:dyDescent="0.2">
      <c r="A656"/>
      <c r="C656"/>
      <c r="D656"/>
      <c r="E656"/>
      <c r="F656"/>
      <c r="G656"/>
      <c r="H656"/>
    </row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437" customWidth="1"/>
    <col min="2" max="2" width="10.28515625" style="437" customWidth="1"/>
    <col min="3" max="4" width="10.42578125" style="437" customWidth="1"/>
    <col min="5" max="5" width="9.7109375" style="437" customWidth="1"/>
    <col min="6" max="6" width="9.42578125" style="437" customWidth="1"/>
    <col min="7" max="7" width="9.85546875" style="437" customWidth="1"/>
    <col min="8" max="8" width="10.28515625" style="437" customWidth="1"/>
    <col min="9" max="9" width="9.7109375" style="437" customWidth="1"/>
    <col min="10" max="10" width="9.85546875" style="437" customWidth="1"/>
    <col min="11" max="11" width="10.42578125" style="437" customWidth="1"/>
    <col min="12" max="12" width="9" style="437" customWidth="1"/>
    <col min="13" max="13" width="9.85546875" style="437" customWidth="1"/>
    <col min="14" max="14" width="10.7109375" style="437" customWidth="1"/>
    <col min="15" max="15" width="9.7109375" style="437" customWidth="1"/>
    <col min="16" max="16" width="11.28515625" style="437" customWidth="1"/>
    <col min="17" max="16384" width="9.140625" style="437"/>
  </cols>
  <sheetData>
    <row r="1" spans="1:20" ht="15.75" x14ac:dyDescent="0.25">
      <c r="A1" s="919" t="s">
        <v>723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</row>
    <row r="2" spans="1:20" x14ac:dyDescent="0.25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85" t="s">
        <v>809</v>
      </c>
    </row>
    <row r="3" spans="1:20" ht="15" customHeight="1" x14ac:dyDescent="0.25">
      <c r="A3" s="439" t="s">
        <v>724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</row>
    <row r="4" spans="1:20" x14ac:dyDescent="0.25">
      <c r="A4" s="439" t="s">
        <v>725</v>
      </c>
    </row>
    <row r="5" spans="1:20" x14ac:dyDescent="0.25">
      <c r="A5" s="439" t="s">
        <v>726</v>
      </c>
    </row>
    <row r="6" spans="1:20" x14ac:dyDescent="0.25">
      <c r="A6" s="439" t="s">
        <v>727</v>
      </c>
    </row>
    <row r="7" spans="1:20" ht="15.75" thickBot="1" x14ac:dyDescent="0.3"/>
    <row r="8" spans="1:20" x14ac:dyDescent="0.25">
      <c r="A8" s="920" t="s">
        <v>728</v>
      </c>
      <c r="B8" s="922" t="s">
        <v>729</v>
      </c>
      <c r="C8" s="923"/>
      <c r="D8" s="924"/>
      <c r="E8" s="922" t="s">
        <v>730</v>
      </c>
      <c r="F8" s="923"/>
      <c r="G8" s="924"/>
      <c r="H8" s="922" t="s">
        <v>731</v>
      </c>
      <c r="I8" s="923"/>
      <c r="J8" s="924"/>
      <c r="K8" s="922" t="s">
        <v>732</v>
      </c>
      <c r="L8" s="923"/>
      <c r="M8" s="924"/>
      <c r="N8" s="925" t="s">
        <v>47</v>
      </c>
      <c r="O8" s="925"/>
      <c r="P8" s="926"/>
      <c r="Q8" s="439"/>
      <c r="R8" s="439"/>
      <c r="S8" s="439"/>
    </row>
    <row r="9" spans="1:20" ht="15.75" thickBot="1" x14ac:dyDescent="0.3">
      <c r="A9" s="921"/>
      <c r="B9" s="441" t="s">
        <v>733</v>
      </c>
      <c r="C9" s="441" t="s">
        <v>734</v>
      </c>
      <c r="D9" s="441" t="s">
        <v>735</v>
      </c>
      <c r="E9" s="441" t="s">
        <v>733</v>
      </c>
      <c r="F9" s="441" t="s">
        <v>734</v>
      </c>
      <c r="G9" s="441" t="s">
        <v>735</v>
      </c>
      <c r="H9" s="441" t="s">
        <v>733</v>
      </c>
      <c r="I9" s="441" t="s">
        <v>734</v>
      </c>
      <c r="J9" s="441" t="s">
        <v>735</v>
      </c>
      <c r="K9" s="441" t="s">
        <v>733</v>
      </c>
      <c r="L9" s="441" t="s">
        <v>734</v>
      </c>
      <c r="M9" s="441" t="s">
        <v>735</v>
      </c>
      <c r="N9" s="441" t="s">
        <v>733</v>
      </c>
      <c r="O9" s="441" t="s">
        <v>734</v>
      </c>
      <c r="P9" s="442" t="s">
        <v>735</v>
      </c>
    </row>
    <row r="10" spans="1:20" x14ac:dyDescent="0.25">
      <c r="A10" s="443" t="s">
        <v>736</v>
      </c>
      <c r="B10" s="444">
        <v>3472866</v>
      </c>
      <c r="C10" s="444">
        <v>937674</v>
      </c>
      <c r="D10" s="444">
        <f>SUM(B10:C10)</f>
        <v>4410540</v>
      </c>
      <c r="E10" s="444">
        <v>7725555</v>
      </c>
      <c r="F10" s="444">
        <v>2085900</v>
      </c>
      <c r="G10" s="444">
        <f>SUM(E10:F10)</f>
        <v>9811455</v>
      </c>
      <c r="H10" s="444">
        <v>52964743</v>
      </c>
      <c r="I10" s="444">
        <v>14300481</v>
      </c>
      <c r="J10" s="444">
        <f>SUM(H10:I10)</f>
        <v>67265224</v>
      </c>
      <c r="K10" s="444">
        <v>32800000</v>
      </c>
      <c r="L10" s="444">
        <v>8856000</v>
      </c>
      <c r="M10" s="444">
        <f>SUM(K10:L10)</f>
        <v>41656000</v>
      </c>
      <c r="N10" s="444">
        <f>SUM(K10+H10+E10+B10)</f>
        <v>96963164</v>
      </c>
      <c r="O10" s="444">
        <f>SUM(L10+I10+F10+C10)</f>
        <v>26180055</v>
      </c>
      <c r="P10" s="444">
        <f>SUM(M10+J10+G10+D10)</f>
        <v>123143219</v>
      </c>
      <c r="Q10" s="445"/>
      <c r="R10" s="445"/>
      <c r="S10" s="445"/>
      <c r="T10" s="445"/>
    </row>
    <row r="11" spans="1:20" x14ac:dyDescent="0.25">
      <c r="A11" s="443" t="s">
        <v>736</v>
      </c>
      <c r="B11" s="446">
        <v>430635392</v>
      </c>
      <c r="C11" s="446">
        <v>116271555</v>
      </c>
      <c r="D11" s="446">
        <f t="shared" ref="D11:D25" si="0">SUM(B11:C11)</f>
        <v>546906947</v>
      </c>
      <c r="E11" s="446">
        <v>3282500</v>
      </c>
      <c r="F11" s="446">
        <v>886275</v>
      </c>
      <c r="G11" s="446">
        <f t="shared" ref="G11:G25" si="1">SUM(E11:F11)</f>
        <v>4168775</v>
      </c>
      <c r="H11" s="446">
        <v>11795100</v>
      </c>
      <c r="I11" s="446">
        <v>3184676</v>
      </c>
      <c r="J11" s="446">
        <f t="shared" ref="J11:J25" si="2">SUM(H11:I11)</f>
        <v>14979776</v>
      </c>
      <c r="K11" s="446">
        <v>45872441</v>
      </c>
      <c r="L11" s="446">
        <v>12385559</v>
      </c>
      <c r="M11" s="446">
        <f t="shared" ref="M11:M25" si="3">SUM(K11:L11)</f>
        <v>58258000</v>
      </c>
      <c r="N11" s="446">
        <f t="shared" ref="N11:N25" si="4">SUM(K11+H11+E11+B11)</f>
        <v>491585433</v>
      </c>
      <c r="O11" s="446">
        <f t="shared" ref="O11:O25" si="5">SUM(L11+I11+F11+C11)</f>
        <v>132728065</v>
      </c>
      <c r="P11" s="446">
        <f t="shared" ref="P11:P25" si="6">SUM(M11+J11+G11+D11)</f>
        <v>624313498</v>
      </c>
      <c r="Q11" s="445"/>
      <c r="R11" s="445"/>
      <c r="S11" s="445"/>
      <c r="T11" s="445"/>
    </row>
    <row r="12" spans="1:20" x14ac:dyDescent="0.25">
      <c r="A12" s="443" t="s">
        <v>736</v>
      </c>
      <c r="B12" s="446">
        <v>13891465</v>
      </c>
      <c r="C12" s="446">
        <v>3750695</v>
      </c>
      <c r="D12" s="446">
        <f t="shared" si="0"/>
        <v>17642160</v>
      </c>
      <c r="E12" s="446">
        <v>56551000</v>
      </c>
      <c r="F12" s="446">
        <v>15268770</v>
      </c>
      <c r="G12" s="446">
        <f t="shared" si="1"/>
        <v>71819770</v>
      </c>
      <c r="H12" s="446">
        <v>9500000</v>
      </c>
      <c r="I12" s="446">
        <v>2565000</v>
      </c>
      <c r="J12" s="446">
        <f t="shared" si="2"/>
        <v>12065000</v>
      </c>
      <c r="K12" s="446">
        <v>48540158</v>
      </c>
      <c r="L12" s="446">
        <v>13105842</v>
      </c>
      <c r="M12" s="446">
        <f t="shared" si="3"/>
        <v>61646000</v>
      </c>
      <c r="N12" s="446">
        <f t="shared" si="4"/>
        <v>128482623</v>
      </c>
      <c r="O12" s="446">
        <f t="shared" si="5"/>
        <v>34690307</v>
      </c>
      <c r="P12" s="446">
        <f t="shared" si="6"/>
        <v>163172930</v>
      </c>
      <c r="Q12" s="445"/>
      <c r="R12" s="445"/>
      <c r="S12" s="445"/>
      <c r="T12" s="445"/>
    </row>
    <row r="13" spans="1:20" x14ac:dyDescent="0.25">
      <c r="A13" s="443" t="s">
        <v>736</v>
      </c>
      <c r="B13" s="446">
        <v>23181381</v>
      </c>
      <c r="C13" s="446">
        <v>6258972</v>
      </c>
      <c r="D13" s="446">
        <f t="shared" si="0"/>
        <v>29440353</v>
      </c>
      <c r="E13" s="446">
        <v>0</v>
      </c>
      <c r="F13" s="446">
        <v>0</v>
      </c>
      <c r="G13" s="446">
        <f t="shared" si="1"/>
        <v>0</v>
      </c>
      <c r="H13" s="446">
        <v>22000000</v>
      </c>
      <c r="I13" s="446">
        <v>5940000</v>
      </c>
      <c r="J13" s="446">
        <f t="shared" si="2"/>
        <v>27940000</v>
      </c>
      <c r="K13" s="446">
        <v>8500000</v>
      </c>
      <c r="L13" s="446">
        <v>2295000</v>
      </c>
      <c r="M13" s="446">
        <f t="shared" si="3"/>
        <v>10795000</v>
      </c>
      <c r="N13" s="446">
        <f t="shared" si="4"/>
        <v>53681381</v>
      </c>
      <c r="O13" s="446">
        <f t="shared" si="5"/>
        <v>14493972</v>
      </c>
      <c r="P13" s="446">
        <f t="shared" si="6"/>
        <v>68175353</v>
      </c>
      <c r="Q13" s="445"/>
      <c r="R13" s="445"/>
      <c r="S13" s="445"/>
      <c r="T13" s="445"/>
    </row>
    <row r="14" spans="1:20" x14ac:dyDescent="0.25">
      <c r="A14" s="447" t="s">
        <v>736</v>
      </c>
      <c r="B14" s="448">
        <v>0</v>
      </c>
      <c r="C14" s="448">
        <v>0</v>
      </c>
      <c r="D14" s="448">
        <f t="shared" si="0"/>
        <v>0</v>
      </c>
      <c r="E14" s="448">
        <v>0</v>
      </c>
      <c r="F14" s="448">
        <v>0</v>
      </c>
      <c r="G14" s="448">
        <f t="shared" si="1"/>
        <v>0</v>
      </c>
      <c r="H14" s="448">
        <v>0</v>
      </c>
      <c r="I14" s="448">
        <v>0</v>
      </c>
      <c r="J14" s="448">
        <f t="shared" si="2"/>
        <v>0</v>
      </c>
      <c r="K14" s="448">
        <v>31842520</v>
      </c>
      <c r="L14" s="448">
        <v>8597480</v>
      </c>
      <c r="M14" s="448">
        <f t="shared" si="3"/>
        <v>40440000</v>
      </c>
      <c r="N14" s="448">
        <f t="shared" si="4"/>
        <v>31842520</v>
      </c>
      <c r="O14" s="448">
        <f t="shared" si="5"/>
        <v>8597480</v>
      </c>
      <c r="P14" s="448">
        <f t="shared" si="6"/>
        <v>40440000</v>
      </c>
      <c r="Q14" s="445"/>
      <c r="R14" s="445"/>
      <c r="S14" s="445"/>
      <c r="T14" s="445"/>
    </row>
    <row r="15" spans="1:20" x14ac:dyDescent="0.25">
      <c r="A15" s="449" t="s">
        <v>737</v>
      </c>
      <c r="B15" s="450">
        <f>SUM(B10:B14)</f>
        <v>471181104</v>
      </c>
      <c r="C15" s="450">
        <f>SUM(C10:C14)</f>
        <v>127218896</v>
      </c>
      <c r="D15" s="450">
        <f>SUM(D10:D14)</f>
        <v>598400000</v>
      </c>
      <c r="E15" s="450">
        <f t="shared" ref="E15:P15" si="7">SUM(E10:E14)</f>
        <v>67559055</v>
      </c>
      <c r="F15" s="450">
        <f t="shared" si="7"/>
        <v>18240945</v>
      </c>
      <c r="G15" s="450">
        <f t="shared" si="7"/>
        <v>85800000</v>
      </c>
      <c r="H15" s="450">
        <f t="shared" si="7"/>
        <v>96259843</v>
      </c>
      <c r="I15" s="450">
        <f t="shared" si="7"/>
        <v>25990157</v>
      </c>
      <c r="J15" s="450">
        <f t="shared" si="7"/>
        <v>122250000</v>
      </c>
      <c r="K15" s="450">
        <f t="shared" si="7"/>
        <v>167555119</v>
      </c>
      <c r="L15" s="450">
        <f t="shared" si="7"/>
        <v>45239881</v>
      </c>
      <c r="M15" s="450">
        <f t="shared" si="7"/>
        <v>212795000</v>
      </c>
      <c r="N15" s="450">
        <f t="shared" si="7"/>
        <v>802555121</v>
      </c>
      <c r="O15" s="450">
        <f t="shared" si="7"/>
        <v>216689879</v>
      </c>
      <c r="P15" s="450">
        <f t="shared" si="7"/>
        <v>1019245000</v>
      </c>
      <c r="Q15" s="445"/>
      <c r="R15" s="445"/>
      <c r="S15" s="445"/>
      <c r="T15" s="445"/>
    </row>
    <row r="16" spans="1:20" x14ac:dyDescent="0.25">
      <c r="A16" s="451" t="s">
        <v>738</v>
      </c>
      <c r="B16" s="452">
        <v>0</v>
      </c>
      <c r="C16" s="452">
        <v>0</v>
      </c>
      <c r="D16" s="452">
        <f t="shared" si="0"/>
        <v>0</v>
      </c>
      <c r="E16" s="452">
        <v>9448819</v>
      </c>
      <c r="F16" s="452">
        <v>2551181</v>
      </c>
      <c r="G16" s="452">
        <f t="shared" si="1"/>
        <v>12000000</v>
      </c>
      <c r="H16" s="452">
        <v>0</v>
      </c>
      <c r="I16" s="452">
        <v>0</v>
      </c>
      <c r="J16" s="452">
        <f t="shared" si="2"/>
        <v>0</v>
      </c>
      <c r="K16" s="452">
        <v>0</v>
      </c>
      <c r="L16" s="452">
        <v>0</v>
      </c>
      <c r="M16" s="452">
        <f t="shared" si="3"/>
        <v>0</v>
      </c>
      <c r="N16" s="446">
        <f t="shared" si="4"/>
        <v>9448819</v>
      </c>
      <c r="O16" s="446">
        <f t="shared" si="5"/>
        <v>2551181</v>
      </c>
      <c r="P16" s="446">
        <f t="shared" si="6"/>
        <v>12000000</v>
      </c>
      <c r="Q16" s="445"/>
      <c r="R16" s="445"/>
      <c r="S16" s="445"/>
      <c r="T16" s="445"/>
    </row>
    <row r="17" spans="1:21" x14ac:dyDescent="0.25">
      <c r="A17" s="453" t="s">
        <v>739</v>
      </c>
      <c r="B17" s="915">
        <f>6521654-2100000</f>
        <v>4421654</v>
      </c>
      <c r="C17" s="915">
        <f>7228346-5467500-567000</f>
        <v>1193846</v>
      </c>
      <c r="D17" s="454">
        <f t="shared" si="0"/>
        <v>5615500</v>
      </c>
      <c r="E17" s="915">
        <v>779528</v>
      </c>
      <c r="F17" s="915">
        <v>210472</v>
      </c>
      <c r="G17" s="454">
        <f t="shared" si="1"/>
        <v>990000</v>
      </c>
      <c r="H17" s="915">
        <f>4724410-3550000</f>
        <v>1174410</v>
      </c>
      <c r="I17" s="915">
        <f>1275590-958500</f>
        <v>317090</v>
      </c>
      <c r="J17" s="454">
        <f t="shared" si="2"/>
        <v>1491500</v>
      </c>
      <c r="K17" s="915">
        <v>8661417</v>
      </c>
      <c r="L17" s="915">
        <v>2338583</v>
      </c>
      <c r="M17" s="454">
        <f t="shared" si="3"/>
        <v>11000000</v>
      </c>
      <c r="N17" s="444">
        <f t="shared" si="4"/>
        <v>15037009</v>
      </c>
      <c r="O17" s="444">
        <f t="shared" si="5"/>
        <v>4059991</v>
      </c>
      <c r="P17" s="444">
        <f t="shared" si="6"/>
        <v>19097000</v>
      </c>
      <c r="Q17" s="445"/>
      <c r="R17" s="445"/>
      <c r="S17" s="445"/>
      <c r="T17" s="445"/>
    </row>
    <row r="18" spans="1:21" x14ac:dyDescent="0.25">
      <c r="A18" s="455" t="s">
        <v>740</v>
      </c>
      <c r="B18" s="916"/>
      <c r="C18" s="916"/>
      <c r="D18" s="456">
        <f t="shared" si="0"/>
        <v>0</v>
      </c>
      <c r="E18" s="916"/>
      <c r="F18" s="916"/>
      <c r="G18" s="456">
        <f t="shared" si="1"/>
        <v>0</v>
      </c>
      <c r="H18" s="916"/>
      <c r="I18" s="916"/>
      <c r="J18" s="456">
        <f t="shared" si="2"/>
        <v>0</v>
      </c>
      <c r="K18" s="916"/>
      <c r="L18" s="916"/>
      <c r="M18" s="456">
        <f t="shared" si="3"/>
        <v>0</v>
      </c>
      <c r="N18" s="446">
        <f t="shared" si="4"/>
        <v>0</v>
      </c>
      <c r="O18" s="446">
        <f t="shared" si="5"/>
        <v>0</v>
      </c>
      <c r="P18" s="446">
        <f t="shared" si="6"/>
        <v>0</v>
      </c>
      <c r="Q18" s="445"/>
      <c r="R18" s="445"/>
      <c r="S18" s="445"/>
      <c r="T18" s="445"/>
    </row>
    <row r="19" spans="1:21" x14ac:dyDescent="0.25">
      <c r="A19" s="455" t="s">
        <v>741</v>
      </c>
      <c r="B19" s="456">
        <v>20250000</v>
      </c>
      <c r="C19" s="456">
        <v>5467500</v>
      </c>
      <c r="D19" s="456">
        <f t="shared" si="0"/>
        <v>25717500</v>
      </c>
      <c r="E19" s="456">
        <v>3000000</v>
      </c>
      <c r="F19" s="456">
        <v>810000</v>
      </c>
      <c r="G19" s="456">
        <f t="shared" si="1"/>
        <v>3810000</v>
      </c>
      <c r="H19" s="456">
        <v>3550000</v>
      </c>
      <c r="I19" s="456">
        <v>958500</v>
      </c>
      <c r="J19" s="456">
        <f t="shared" si="2"/>
        <v>4508500</v>
      </c>
      <c r="K19" s="916"/>
      <c r="L19" s="916"/>
      <c r="M19" s="456">
        <f t="shared" si="3"/>
        <v>0</v>
      </c>
      <c r="N19" s="446">
        <f t="shared" si="4"/>
        <v>26800000</v>
      </c>
      <c r="O19" s="446">
        <f t="shared" si="5"/>
        <v>7236000</v>
      </c>
      <c r="P19" s="446">
        <f t="shared" si="6"/>
        <v>34036000</v>
      </c>
      <c r="Q19" s="445"/>
      <c r="R19" s="445"/>
      <c r="S19" s="445"/>
      <c r="T19" s="445"/>
    </row>
    <row r="20" spans="1:21" x14ac:dyDescent="0.25">
      <c r="A20" s="455" t="s">
        <v>742</v>
      </c>
      <c r="B20" s="456">
        <v>5354331</v>
      </c>
      <c r="C20" s="456">
        <v>1445669</v>
      </c>
      <c r="D20" s="456">
        <f t="shared" si="0"/>
        <v>6800000</v>
      </c>
      <c r="E20" s="456">
        <v>944882</v>
      </c>
      <c r="F20" s="456">
        <v>255118</v>
      </c>
      <c r="G20" s="456">
        <f t="shared" si="1"/>
        <v>1200000</v>
      </c>
      <c r="H20" s="456">
        <v>1181102</v>
      </c>
      <c r="I20" s="456">
        <v>318898</v>
      </c>
      <c r="J20" s="456">
        <f t="shared" si="2"/>
        <v>1500000</v>
      </c>
      <c r="K20" s="456">
        <v>1732283</v>
      </c>
      <c r="L20" s="456">
        <v>467716</v>
      </c>
      <c r="M20" s="456">
        <f t="shared" si="3"/>
        <v>2199999</v>
      </c>
      <c r="N20" s="446">
        <f t="shared" si="4"/>
        <v>9212598</v>
      </c>
      <c r="O20" s="446">
        <f t="shared" si="5"/>
        <v>2487401</v>
      </c>
      <c r="P20" s="446">
        <f t="shared" si="6"/>
        <v>11699999</v>
      </c>
      <c r="Q20" s="445"/>
      <c r="R20" s="445"/>
      <c r="S20" s="445"/>
      <c r="T20" s="445"/>
    </row>
    <row r="21" spans="1:21" x14ac:dyDescent="0.25">
      <c r="A21" s="455" t="s">
        <v>743</v>
      </c>
      <c r="B21" s="456">
        <v>5354331</v>
      </c>
      <c r="C21" s="456">
        <v>1445669</v>
      </c>
      <c r="D21" s="456">
        <f t="shared" si="0"/>
        <v>6800000</v>
      </c>
      <c r="E21" s="456">
        <v>944882</v>
      </c>
      <c r="F21" s="456">
        <f>(E21*0.27)</f>
        <v>255118.14</v>
      </c>
      <c r="G21" s="456">
        <f>SUM(E21:F21)</f>
        <v>1200000.1400000001</v>
      </c>
      <c r="H21" s="456">
        <v>1200000</v>
      </c>
      <c r="I21" s="456">
        <v>300000</v>
      </c>
      <c r="J21" s="456">
        <f t="shared" si="2"/>
        <v>1500000</v>
      </c>
      <c r="K21" s="456">
        <v>1732283</v>
      </c>
      <c r="L21" s="456">
        <v>467716</v>
      </c>
      <c r="M21" s="456">
        <f t="shared" si="3"/>
        <v>2199999</v>
      </c>
      <c r="N21" s="446">
        <f t="shared" si="4"/>
        <v>9231496</v>
      </c>
      <c r="O21" s="446">
        <f t="shared" si="5"/>
        <v>2468503.14</v>
      </c>
      <c r="P21" s="446">
        <f t="shared" si="6"/>
        <v>11699999.140000001</v>
      </c>
      <c r="Q21" s="445"/>
      <c r="R21" s="445"/>
      <c r="S21" s="445"/>
      <c r="T21" s="445"/>
    </row>
    <row r="22" spans="1:21" x14ac:dyDescent="0.25">
      <c r="A22" s="455" t="s">
        <v>744</v>
      </c>
      <c r="B22" s="456">
        <v>2677165</v>
      </c>
      <c r="C22" s="456">
        <v>722835</v>
      </c>
      <c r="D22" s="456">
        <f t="shared" si="0"/>
        <v>3400000</v>
      </c>
      <c r="E22" s="456">
        <v>472441</v>
      </c>
      <c r="F22" s="456">
        <f>(E22*0.27)</f>
        <v>127559.07</v>
      </c>
      <c r="G22" s="456">
        <f>SUM(E22:F22)</f>
        <v>600000.07000000007</v>
      </c>
      <c r="H22" s="456">
        <v>590551</v>
      </c>
      <c r="I22" s="456">
        <f>(H22*0.27)</f>
        <v>159448.77000000002</v>
      </c>
      <c r="J22" s="456">
        <f t="shared" si="2"/>
        <v>749999.77</v>
      </c>
      <c r="K22" s="456">
        <v>130000</v>
      </c>
      <c r="L22" s="456">
        <v>35100</v>
      </c>
      <c r="M22" s="456">
        <f t="shared" si="3"/>
        <v>165100</v>
      </c>
      <c r="N22" s="446">
        <f t="shared" si="4"/>
        <v>3870157</v>
      </c>
      <c r="O22" s="446">
        <f t="shared" si="5"/>
        <v>1044942.8400000001</v>
      </c>
      <c r="P22" s="446">
        <f t="shared" si="6"/>
        <v>4915099.84</v>
      </c>
      <c r="Q22" s="445"/>
      <c r="R22" s="445"/>
      <c r="S22" s="445"/>
      <c r="T22" s="445"/>
    </row>
    <row r="23" spans="1:21" x14ac:dyDescent="0.25">
      <c r="A23" s="457" t="s">
        <v>745</v>
      </c>
      <c r="B23" s="456">
        <v>2100000</v>
      </c>
      <c r="C23" s="456">
        <v>567000</v>
      </c>
      <c r="D23" s="456">
        <f t="shared" si="0"/>
        <v>2667000</v>
      </c>
      <c r="E23" s="456">
        <v>0</v>
      </c>
      <c r="F23" s="456">
        <v>0</v>
      </c>
      <c r="G23" s="456">
        <f t="shared" si="1"/>
        <v>0</v>
      </c>
      <c r="H23" s="456">
        <v>0</v>
      </c>
      <c r="I23" s="456">
        <v>0</v>
      </c>
      <c r="J23" s="456">
        <f t="shared" si="2"/>
        <v>0</v>
      </c>
      <c r="K23" s="456">
        <v>0</v>
      </c>
      <c r="L23" s="456">
        <v>0</v>
      </c>
      <c r="M23" s="456">
        <f t="shared" si="3"/>
        <v>0</v>
      </c>
      <c r="N23" s="446">
        <f t="shared" si="4"/>
        <v>2100000</v>
      </c>
      <c r="O23" s="446">
        <f t="shared" si="5"/>
        <v>567000</v>
      </c>
      <c r="P23" s="446">
        <f t="shared" si="6"/>
        <v>2667000</v>
      </c>
      <c r="Q23" s="445"/>
      <c r="R23" s="445"/>
      <c r="S23" s="445"/>
      <c r="T23" s="445"/>
    </row>
    <row r="24" spans="1:21" x14ac:dyDescent="0.25">
      <c r="A24" s="458" t="s">
        <v>746</v>
      </c>
      <c r="B24" s="456">
        <v>0</v>
      </c>
      <c r="C24" s="456">
        <v>0</v>
      </c>
      <c r="D24" s="456">
        <f t="shared" si="0"/>
        <v>0</v>
      </c>
      <c r="E24" s="456">
        <v>472441</v>
      </c>
      <c r="F24" s="456">
        <v>127559</v>
      </c>
      <c r="G24" s="456">
        <f t="shared" si="1"/>
        <v>600000</v>
      </c>
      <c r="H24" s="456">
        <v>590551</v>
      </c>
      <c r="I24" s="456">
        <v>159449</v>
      </c>
      <c r="J24" s="456">
        <f t="shared" si="2"/>
        <v>750000</v>
      </c>
      <c r="K24" s="456">
        <v>0</v>
      </c>
      <c r="L24" s="456">
        <v>0</v>
      </c>
      <c r="M24" s="456">
        <f t="shared" si="3"/>
        <v>0</v>
      </c>
      <c r="N24" s="446">
        <f t="shared" si="4"/>
        <v>1062992</v>
      </c>
      <c r="O24" s="446">
        <f t="shared" si="5"/>
        <v>287008</v>
      </c>
      <c r="P24" s="446">
        <f t="shared" si="6"/>
        <v>1350000</v>
      </c>
      <c r="Q24" s="445"/>
      <c r="R24" s="445"/>
      <c r="S24" s="445"/>
      <c r="T24" s="445"/>
    </row>
    <row r="25" spans="1:21" ht="24.75" x14ac:dyDescent="0.25">
      <c r="A25" s="458" t="s">
        <v>747</v>
      </c>
      <c r="B25" s="456">
        <v>0</v>
      </c>
      <c r="C25" s="456">
        <v>0</v>
      </c>
      <c r="D25" s="456">
        <f t="shared" si="0"/>
        <v>0</v>
      </c>
      <c r="E25" s="456">
        <v>0</v>
      </c>
      <c r="F25" s="456">
        <v>0</v>
      </c>
      <c r="G25" s="456">
        <f t="shared" si="1"/>
        <v>0</v>
      </c>
      <c r="H25" s="456">
        <v>0</v>
      </c>
      <c r="I25" s="456">
        <v>0</v>
      </c>
      <c r="J25" s="456">
        <f t="shared" si="2"/>
        <v>0</v>
      </c>
      <c r="K25" s="456">
        <v>100000</v>
      </c>
      <c r="L25" s="456">
        <v>27000</v>
      </c>
      <c r="M25" s="456">
        <f t="shared" si="3"/>
        <v>127000</v>
      </c>
      <c r="N25" s="446">
        <f t="shared" si="4"/>
        <v>100000</v>
      </c>
      <c r="O25" s="446">
        <f t="shared" si="5"/>
        <v>27000</v>
      </c>
      <c r="P25" s="446">
        <f t="shared" si="6"/>
        <v>127000</v>
      </c>
      <c r="Q25" s="445"/>
      <c r="R25" s="445"/>
      <c r="S25" s="445"/>
      <c r="T25" s="445"/>
    </row>
    <row r="26" spans="1:21" ht="24" x14ac:dyDescent="0.25">
      <c r="A26" s="459" t="s">
        <v>748</v>
      </c>
      <c r="B26" s="456">
        <v>10708662</v>
      </c>
      <c r="C26" s="456">
        <v>2891338</v>
      </c>
      <c r="D26" s="456">
        <f>SUM(B26:C26)</f>
        <v>13600000</v>
      </c>
      <c r="E26" s="456">
        <v>7559055</v>
      </c>
      <c r="F26" s="456">
        <f>(E26*0.27)</f>
        <v>2040944.85</v>
      </c>
      <c r="G26" s="456">
        <f>SUM(E26:F26)</f>
        <v>9599999.8499999996</v>
      </c>
      <c r="H26" s="456">
        <v>9448819</v>
      </c>
      <c r="I26" s="456">
        <f>(H26*0.27)</f>
        <v>2551181.1300000004</v>
      </c>
      <c r="J26" s="456">
        <f>SUM(H26:I26)</f>
        <v>12000000.130000001</v>
      </c>
      <c r="K26" s="456">
        <v>636142</v>
      </c>
      <c r="L26" s="456">
        <v>171758</v>
      </c>
      <c r="M26" s="456">
        <f>SUM(K26:L26)</f>
        <v>807900</v>
      </c>
      <c r="N26" s="446">
        <f>SUM(K26+H26+E26+B26)</f>
        <v>28352678</v>
      </c>
      <c r="O26" s="446">
        <f>SUM(L26+I26+F26+C26)</f>
        <v>7655221.9800000004</v>
      </c>
      <c r="P26" s="446">
        <f>SUM(M26+J26+G26+D26)</f>
        <v>36007899.980000004</v>
      </c>
      <c r="Q26" s="445"/>
      <c r="R26" s="445"/>
      <c r="S26" s="445"/>
      <c r="T26" s="445"/>
    </row>
    <row r="27" spans="1:21" x14ac:dyDescent="0.25">
      <c r="A27" s="460" t="s">
        <v>31</v>
      </c>
      <c r="B27" s="461">
        <f>SUM(B17:B26)</f>
        <v>50866143</v>
      </c>
      <c r="C27" s="461">
        <f>SUM(C17:C26)</f>
        <v>13733857</v>
      </c>
      <c r="D27" s="461">
        <f t="shared" ref="D27:P27" si="8">SUM(D17:D26)</f>
        <v>64600000</v>
      </c>
      <c r="E27" s="461">
        <f t="shared" si="8"/>
        <v>14173229</v>
      </c>
      <c r="F27" s="461">
        <f t="shared" si="8"/>
        <v>3826771.0600000005</v>
      </c>
      <c r="G27" s="461">
        <f t="shared" si="8"/>
        <v>18000000.060000002</v>
      </c>
      <c r="H27" s="461">
        <f t="shared" si="8"/>
        <v>17735433</v>
      </c>
      <c r="I27" s="461">
        <f t="shared" si="8"/>
        <v>4764566.9000000004</v>
      </c>
      <c r="J27" s="461">
        <f t="shared" si="8"/>
        <v>22499999.899999999</v>
      </c>
      <c r="K27" s="461">
        <f t="shared" si="8"/>
        <v>12992125</v>
      </c>
      <c r="L27" s="461">
        <f t="shared" si="8"/>
        <v>3507873</v>
      </c>
      <c r="M27" s="461">
        <f t="shared" si="8"/>
        <v>16499998</v>
      </c>
      <c r="N27" s="461">
        <f t="shared" si="8"/>
        <v>95766930</v>
      </c>
      <c r="O27" s="461">
        <f t="shared" si="8"/>
        <v>25833067.960000001</v>
      </c>
      <c r="P27" s="461">
        <f t="shared" si="8"/>
        <v>121599997.96000001</v>
      </c>
      <c r="Q27" s="445"/>
      <c r="R27" s="445"/>
      <c r="S27" s="445"/>
      <c r="T27" s="445"/>
    </row>
    <row r="28" spans="1:21" ht="27.75" customHeight="1" thickBot="1" x14ac:dyDescent="0.3">
      <c r="A28" s="462" t="s">
        <v>749</v>
      </c>
      <c r="B28" s="463">
        <v>1639344</v>
      </c>
      <c r="C28" s="463">
        <v>360656</v>
      </c>
      <c r="D28" s="463">
        <f>SUM(B28:C28)</f>
        <v>2000000</v>
      </c>
      <c r="E28" s="463"/>
      <c r="F28" s="463"/>
      <c r="G28" s="463"/>
      <c r="H28" s="463"/>
      <c r="I28" s="463"/>
      <c r="J28" s="463"/>
      <c r="K28" s="463"/>
      <c r="L28" s="463"/>
      <c r="M28" s="463"/>
      <c r="N28" s="464">
        <f>SUM(K28+H28+E28+B28)</f>
        <v>1639344</v>
      </c>
      <c r="O28" s="464">
        <f>SUM(L28+I28+F28+C28)</f>
        <v>360656</v>
      </c>
      <c r="P28" s="464">
        <f>SUM(M28+J28+G28+D28)</f>
        <v>2000000</v>
      </c>
      <c r="Q28" s="445"/>
      <c r="R28" s="445"/>
      <c r="S28" s="445"/>
      <c r="T28" s="445"/>
    </row>
    <row r="29" spans="1:21" ht="15.75" thickBot="1" x14ac:dyDescent="0.3">
      <c r="A29" s="465" t="s">
        <v>420</v>
      </c>
      <c r="B29" s="466">
        <f>SUM(B15+B16+B27+B28)</f>
        <v>523686591</v>
      </c>
      <c r="C29" s="466">
        <f t="shared" ref="C29:P29" si="9">SUM(C15+C16+C27+C28)</f>
        <v>141313409</v>
      </c>
      <c r="D29" s="466">
        <f t="shared" si="9"/>
        <v>665000000</v>
      </c>
      <c r="E29" s="466">
        <f t="shared" si="9"/>
        <v>91181103</v>
      </c>
      <c r="F29" s="466">
        <f t="shared" si="9"/>
        <v>24618897.060000002</v>
      </c>
      <c r="G29" s="466">
        <f t="shared" si="9"/>
        <v>115800000.06</v>
      </c>
      <c r="H29" s="466">
        <f t="shared" si="9"/>
        <v>113995276</v>
      </c>
      <c r="I29" s="466">
        <f t="shared" si="9"/>
        <v>30754723.899999999</v>
      </c>
      <c r="J29" s="466">
        <f t="shared" si="9"/>
        <v>144749999.90000001</v>
      </c>
      <c r="K29" s="466">
        <f t="shared" si="9"/>
        <v>180547244</v>
      </c>
      <c r="L29" s="466">
        <f t="shared" si="9"/>
        <v>48747754</v>
      </c>
      <c r="M29" s="466">
        <f t="shared" si="9"/>
        <v>229294998</v>
      </c>
      <c r="N29" s="466">
        <f t="shared" si="9"/>
        <v>909410214</v>
      </c>
      <c r="O29" s="466">
        <f t="shared" si="9"/>
        <v>245434783.96000001</v>
      </c>
      <c r="P29" s="467">
        <f t="shared" si="9"/>
        <v>1154844997.96</v>
      </c>
      <c r="Q29" s="445"/>
      <c r="R29" s="445"/>
      <c r="S29" s="468"/>
      <c r="T29" s="468"/>
    </row>
    <row r="30" spans="1:21" ht="24.75" x14ac:dyDescent="0.25">
      <c r="A30" s="469" t="s">
        <v>750</v>
      </c>
      <c r="B30" s="470"/>
      <c r="C30" s="471"/>
      <c r="D30" s="472">
        <f>SUM(B29:C29)</f>
        <v>665000000</v>
      </c>
      <c r="E30" s="472"/>
      <c r="F30" s="473"/>
      <c r="G30" s="474">
        <f>SUM(E29+F29)</f>
        <v>115800000.06</v>
      </c>
      <c r="H30" s="472"/>
      <c r="I30" s="473"/>
      <c r="J30" s="474">
        <f>SUM(H29+I29)</f>
        <v>144749999.90000001</v>
      </c>
      <c r="K30" s="472"/>
      <c r="L30" s="473"/>
      <c r="M30" s="474">
        <f>SUM(K29+L29)</f>
        <v>229294998</v>
      </c>
      <c r="N30" s="917"/>
      <c r="O30" s="918"/>
      <c r="P30" s="474">
        <f>SUM(N29+O29)</f>
        <v>1154844997.96</v>
      </c>
      <c r="Q30" s="445"/>
      <c r="R30" s="445"/>
      <c r="S30" s="468"/>
      <c r="T30" s="468"/>
    </row>
    <row r="31" spans="1:21" x14ac:dyDescent="0.25">
      <c r="A31" s="455" t="s">
        <v>751</v>
      </c>
      <c r="B31" s="475"/>
      <c r="C31" s="476"/>
      <c r="D31" s="477">
        <v>633766800</v>
      </c>
      <c r="E31" s="478"/>
      <c r="F31" s="479"/>
      <c r="G31" s="477">
        <v>104400000</v>
      </c>
      <c r="H31" s="478"/>
      <c r="I31" s="479"/>
      <c r="J31" s="477">
        <v>130500000</v>
      </c>
      <c r="K31" s="478"/>
      <c r="L31" s="479"/>
      <c r="M31" s="477">
        <v>226929899</v>
      </c>
      <c r="N31" s="477"/>
      <c r="O31" s="477"/>
      <c r="P31" s="477">
        <f>SUM(D31+G31+J31+M31)</f>
        <v>1095596699</v>
      </c>
      <c r="Q31" s="480"/>
      <c r="R31" s="480"/>
    </row>
    <row r="32" spans="1:21" x14ac:dyDescent="0.25">
      <c r="A32" s="481" t="s">
        <v>752</v>
      </c>
      <c r="B32" s="482"/>
      <c r="C32" s="483"/>
      <c r="D32" s="484">
        <f>SUM(D30-D31)</f>
        <v>31233200</v>
      </c>
      <c r="E32" s="485"/>
      <c r="F32" s="486"/>
      <c r="G32" s="484">
        <f>SUM(G30-G31)</f>
        <v>11400000.060000002</v>
      </c>
      <c r="H32" s="485"/>
      <c r="I32" s="486"/>
      <c r="J32" s="484">
        <f>SUM(J30-J31)</f>
        <v>14249999.900000006</v>
      </c>
      <c r="K32" s="485"/>
      <c r="L32" s="486"/>
      <c r="M32" s="484">
        <f>SUM(M30-M31)</f>
        <v>2365099</v>
      </c>
      <c r="N32" s="484"/>
      <c r="O32" s="484"/>
      <c r="P32" s="484">
        <f>SUM(P30-P31)</f>
        <v>59248298.960000038</v>
      </c>
      <c r="Q32" s="480"/>
      <c r="R32" s="480"/>
      <c r="S32" s="480"/>
      <c r="T32" s="480"/>
      <c r="U32" s="480"/>
    </row>
    <row r="33" spans="1:21" x14ac:dyDescent="0.25">
      <c r="B33" s="480"/>
      <c r="C33" s="480"/>
      <c r="D33" s="445">
        <f>SUM(B29:C29)</f>
        <v>665000000</v>
      </c>
      <c r="E33" s="480"/>
      <c r="F33" s="480"/>
      <c r="G33" s="445">
        <f>SUM(G15+G16+G17+G18+G19+G20+G21+G22+G23+G24+G25+G28+G26)</f>
        <v>115800000.05999999</v>
      </c>
      <c r="H33" s="480"/>
      <c r="I33" s="480"/>
      <c r="J33" s="445">
        <f>SUM(J15+J16+J17+J18+J19+J20+J21+J22+J23+J24+J25+J28+J26)</f>
        <v>144749999.90000001</v>
      </c>
      <c r="K33" s="480"/>
      <c r="L33" s="480"/>
      <c r="M33" s="445">
        <f>SUM(M15+M16+M17+M18+M19+M20+M21+M22+M23+M24+M25+M28+M26)</f>
        <v>229294998</v>
      </c>
      <c r="N33" s="445"/>
      <c r="O33" s="445"/>
      <c r="P33" s="487">
        <f>SUM(N29:O29)</f>
        <v>1154844997.96</v>
      </c>
      <c r="Q33" s="480"/>
      <c r="R33" s="480"/>
      <c r="S33" s="480"/>
      <c r="T33" s="480"/>
      <c r="U33" s="480"/>
    </row>
    <row r="34" spans="1:21" x14ac:dyDescent="0.25"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8">
        <f>SUM(D32+G32+J32+M32)</f>
        <v>59248298.960000008</v>
      </c>
      <c r="Q34" s="480"/>
      <c r="R34" s="480"/>
      <c r="S34" s="480"/>
      <c r="T34" s="480"/>
      <c r="U34" s="480"/>
    </row>
    <row r="35" spans="1:21" ht="27" thickBot="1" x14ac:dyDescent="0.3">
      <c r="A35" s="489" t="s">
        <v>753</v>
      </c>
      <c r="B35" s="445">
        <f>(D35/1.27)</f>
        <v>28577874.015748031</v>
      </c>
      <c r="C35" s="445">
        <f>(B35*0.27)</f>
        <v>7716025.9842519686</v>
      </c>
      <c r="D35" s="445">
        <v>36293900</v>
      </c>
      <c r="E35" s="445">
        <f>(G35/1.27)</f>
        <v>3165000</v>
      </c>
      <c r="F35" s="445">
        <f>(E35*0.27)</f>
        <v>854550</v>
      </c>
      <c r="G35" s="445">
        <v>4019550</v>
      </c>
      <c r="H35" s="445">
        <f>(J35/1.27)</f>
        <v>3985000</v>
      </c>
      <c r="I35" s="445">
        <f>(H35*0.27)</f>
        <v>1075950</v>
      </c>
      <c r="J35" s="445">
        <v>5060950</v>
      </c>
      <c r="K35" s="445">
        <f>(M35/1.27)</f>
        <v>6067007.8740157476</v>
      </c>
      <c r="L35" s="445">
        <f>(K35*0.27)</f>
        <v>1638092.125984252</v>
      </c>
      <c r="M35" s="445">
        <v>7705100</v>
      </c>
      <c r="N35" s="490">
        <f>(P35/1.27)</f>
        <v>41794881.88976378</v>
      </c>
      <c r="O35" s="490">
        <f>(N35*0.27)</f>
        <v>11284618.110236222</v>
      </c>
      <c r="P35" s="490">
        <f>SUM(D35+G35+J35+M35)</f>
        <v>53079500</v>
      </c>
    </row>
    <row r="36" spans="1:21" ht="27" thickBot="1" x14ac:dyDescent="0.3">
      <c r="A36" s="491" t="s">
        <v>754</v>
      </c>
      <c r="B36" s="445">
        <f t="shared" ref="B36:M36" si="10">SUM(B27-B35)</f>
        <v>22288268.984251969</v>
      </c>
      <c r="C36" s="445">
        <f t="shared" si="10"/>
        <v>6017831.0157480314</v>
      </c>
      <c r="D36" s="445">
        <f t="shared" si="10"/>
        <v>28306100</v>
      </c>
      <c r="E36" s="445">
        <f t="shared" si="10"/>
        <v>11008229</v>
      </c>
      <c r="F36" s="445">
        <f t="shared" si="10"/>
        <v>2972221.0600000005</v>
      </c>
      <c r="G36" s="445">
        <f t="shared" si="10"/>
        <v>13980450.060000002</v>
      </c>
      <c r="H36" s="445">
        <f t="shared" si="10"/>
        <v>13750433</v>
      </c>
      <c r="I36" s="445">
        <f t="shared" si="10"/>
        <v>3688616.9000000004</v>
      </c>
      <c r="J36" s="445">
        <f t="shared" si="10"/>
        <v>17439049.899999999</v>
      </c>
      <c r="K36" s="445">
        <f t="shared" si="10"/>
        <v>6925117.1259842524</v>
      </c>
      <c r="L36" s="445">
        <f t="shared" si="10"/>
        <v>1869780.874015748</v>
      </c>
      <c r="M36" s="445">
        <f t="shared" si="10"/>
        <v>8794898</v>
      </c>
      <c r="N36" s="492">
        <f>SUM(B36+E36+H36+K36)</f>
        <v>53972048.11023622</v>
      </c>
      <c r="O36" s="493">
        <f>SUM(C36+F36+I36+L36)</f>
        <v>14548449.849763781</v>
      </c>
      <c r="P36" s="494">
        <f>SUM(D36+G36+J36+M36)</f>
        <v>68520497.960000008</v>
      </c>
    </row>
    <row r="37" spans="1:21" x14ac:dyDescent="0.25"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</row>
    <row r="38" spans="1:21" x14ac:dyDescent="0.25">
      <c r="B38" s="468"/>
      <c r="C38" s="468"/>
      <c r="D38" s="468"/>
      <c r="E38" s="468"/>
      <c r="F38" s="468"/>
      <c r="G38" s="468"/>
      <c r="H38" s="468">
        <v>95970495</v>
      </c>
      <c r="I38" s="468"/>
      <c r="J38" s="468"/>
      <c r="K38" s="468"/>
      <c r="L38" s="468"/>
      <c r="M38" s="468"/>
      <c r="N38" s="468"/>
      <c r="O38" s="468"/>
      <c r="P38" s="468"/>
    </row>
    <row r="39" spans="1:21" x14ac:dyDescent="0.25"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</row>
    <row r="40" spans="1:21" x14ac:dyDescent="0.25">
      <c r="B40" s="468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</row>
    <row r="41" spans="1:21" x14ac:dyDescent="0.25">
      <c r="B41" s="468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97"/>
  <sheetViews>
    <sheetView zoomScale="80" zoomScaleNormal="80" zoomScaleSheetLayoutView="90" workbookViewId="0">
      <selection activeCell="T25" sqref="T25"/>
    </sheetView>
  </sheetViews>
  <sheetFormatPr defaultRowHeight="12.75" x14ac:dyDescent="0.2"/>
  <cols>
    <col min="1" max="1" width="6.28515625" style="2" customWidth="1"/>
    <col min="2" max="2" width="85.140625" customWidth="1"/>
    <col min="3" max="4" width="16.5703125" style="37" customWidth="1"/>
    <col min="5" max="5" width="15.85546875" style="169" hidden="1" customWidth="1"/>
    <col min="6" max="6" width="15.140625" style="37" customWidth="1"/>
    <col min="7" max="7" width="15.140625" style="37" hidden="1" customWidth="1"/>
    <col min="8" max="8" width="13.5703125" style="37" hidden="1" customWidth="1"/>
    <col min="9" max="9" width="14.140625" style="76" hidden="1" customWidth="1"/>
    <col min="10" max="10" width="13.5703125" style="76" hidden="1" customWidth="1"/>
    <col min="11" max="11" width="12.28515625" style="76" hidden="1" customWidth="1"/>
    <col min="12" max="12" width="13.5703125" style="76" hidden="1" customWidth="1"/>
    <col min="13" max="13" width="11.42578125" hidden="1" customWidth="1"/>
    <col min="14" max="14" width="10.28515625" customWidth="1"/>
    <col min="15" max="15" width="14.28515625" customWidth="1"/>
    <col min="16" max="16" width="12.7109375" customWidth="1"/>
    <col min="17" max="22" width="9.140625" customWidth="1"/>
  </cols>
  <sheetData>
    <row r="1" spans="1:19" ht="13.5" customHeight="1" x14ac:dyDescent="0.3">
      <c r="A1" s="56"/>
      <c r="B1" s="34"/>
      <c r="F1" s="181" t="s">
        <v>899</v>
      </c>
      <c r="G1" s="181"/>
      <c r="I1" s="7"/>
      <c r="J1" s="7"/>
      <c r="K1" s="7"/>
      <c r="L1" s="7"/>
      <c r="M1" s="2"/>
      <c r="N1" s="2"/>
    </row>
    <row r="2" spans="1:19" ht="15.75" customHeight="1" x14ac:dyDescent="0.3">
      <c r="A2" s="56"/>
      <c r="B2" s="34"/>
      <c r="F2" s="181" t="str">
        <f>'1.Bev-kiad.'!F2</f>
        <v>a 20/2023.(IX.29.) önkormányzati rendelethez</v>
      </c>
      <c r="G2" s="181"/>
      <c r="I2" s="7"/>
      <c r="J2" s="7"/>
      <c r="K2" s="7"/>
      <c r="L2" s="7"/>
      <c r="M2" s="2"/>
      <c r="N2" s="2"/>
    </row>
    <row r="3" spans="1:19" ht="13.5" customHeight="1" x14ac:dyDescent="0.3">
      <c r="A3" s="56"/>
      <c r="B3" s="34"/>
      <c r="E3" s="181"/>
      <c r="F3" s="181" t="s">
        <v>1313</v>
      </c>
      <c r="G3" s="181"/>
      <c r="I3" s="7"/>
      <c r="J3" s="7"/>
      <c r="K3" s="7"/>
      <c r="L3" s="7"/>
      <c r="M3" s="2"/>
      <c r="N3" s="2"/>
    </row>
    <row r="4" spans="1:19" ht="16.5" customHeight="1" x14ac:dyDescent="0.35">
      <c r="A4" s="758" t="s">
        <v>27</v>
      </c>
      <c r="B4" s="758"/>
      <c r="C4" s="758"/>
      <c r="D4" s="758"/>
      <c r="E4" s="758"/>
      <c r="F4" s="758"/>
      <c r="G4"/>
      <c r="H4"/>
      <c r="I4" s="7"/>
      <c r="J4" s="7"/>
      <c r="K4" s="7"/>
      <c r="L4" s="7"/>
      <c r="M4" s="2"/>
      <c r="N4" s="2"/>
    </row>
    <row r="5" spans="1:19" ht="19.5" x14ac:dyDescent="0.35">
      <c r="A5" s="758" t="s">
        <v>1195</v>
      </c>
      <c r="B5" s="758"/>
      <c r="C5" s="758"/>
      <c r="D5" s="758"/>
      <c r="E5" s="758"/>
      <c r="F5" s="758"/>
      <c r="G5"/>
      <c r="H5"/>
      <c r="I5" s="7"/>
      <c r="J5" s="7"/>
      <c r="K5" s="7"/>
      <c r="L5" s="7"/>
      <c r="M5" s="2"/>
      <c r="N5" s="2"/>
    </row>
    <row r="6" spans="1:19" ht="13.5" thickBot="1" x14ac:dyDescent="0.25">
      <c r="A6" s="56"/>
      <c r="B6" s="1"/>
      <c r="F6" s="181" t="s">
        <v>0</v>
      </c>
      <c r="G6" s="181"/>
      <c r="I6" s="7"/>
      <c r="J6" s="7"/>
      <c r="K6" s="7"/>
      <c r="L6" s="7"/>
      <c r="M6" s="2"/>
      <c r="N6" s="2"/>
    </row>
    <row r="7" spans="1:19" ht="54.75" customHeight="1" thickBot="1" x14ac:dyDescent="0.25">
      <c r="A7" s="217" t="s">
        <v>118</v>
      </c>
      <c r="B7" s="45" t="s">
        <v>208</v>
      </c>
      <c r="C7" s="45" t="str">
        <f>'1.Bev-kiad.'!C7</f>
        <v>2023. évi eredeti előirányzat</v>
      </c>
      <c r="D7" s="45" t="str">
        <f>'1.Bev-kiad.'!D7</f>
        <v>Módosított előirányzat 2023.06.havi</v>
      </c>
      <c r="E7" s="45" t="str">
        <f>'1.Bev-kiad.'!E7</f>
        <v>Módosított előirányzat 2023.07.havi</v>
      </c>
      <c r="F7" s="45" t="str">
        <f>'1.Bev-kiad.'!F7</f>
        <v>Módosított előirányzat 2023.09.havi</v>
      </c>
      <c r="G7" s="311"/>
      <c r="H7" s="46" t="str">
        <f>'1.Bev-kiad.'!H7</f>
        <v>Teljesítés 2021.12.31.</v>
      </c>
      <c r="I7" s="568"/>
      <c r="J7" s="568"/>
      <c r="K7" s="568"/>
      <c r="L7" s="568"/>
      <c r="M7" s="2"/>
      <c r="N7" s="2"/>
    </row>
    <row r="8" spans="1:19" ht="17.25" customHeight="1" x14ac:dyDescent="0.2">
      <c r="A8" s="147" t="s">
        <v>353</v>
      </c>
      <c r="B8" s="226" t="s">
        <v>348</v>
      </c>
      <c r="C8" s="173">
        <f>SUM(C9+C70+C83+C95)</f>
        <v>1275250</v>
      </c>
      <c r="D8" s="173">
        <f>SUM(D9+D70+D83+D95)</f>
        <v>1355801</v>
      </c>
      <c r="E8" s="173">
        <f>SUM(E9+E70+E83+E95)</f>
        <v>1355801</v>
      </c>
      <c r="F8" s="173">
        <f>SUM(F9+F70+F83+F95)</f>
        <v>1448755</v>
      </c>
      <c r="G8" s="173"/>
      <c r="H8" s="173">
        <f>SUM(H9+H70+H83+H95)</f>
        <v>1179694</v>
      </c>
      <c r="I8" s="7"/>
      <c r="J8" s="7"/>
      <c r="K8" s="7"/>
      <c r="L8" s="7"/>
      <c r="M8" s="2"/>
      <c r="N8" s="7"/>
    </row>
    <row r="9" spans="1:19" ht="18" customHeight="1" x14ac:dyDescent="0.25">
      <c r="A9" s="8" t="s">
        <v>120</v>
      </c>
      <c r="B9" s="23" t="s">
        <v>869</v>
      </c>
      <c r="C9" s="159">
        <f>C10+C58</f>
        <v>607198</v>
      </c>
      <c r="D9" s="159">
        <f>D10+D58</f>
        <v>626091</v>
      </c>
      <c r="E9" s="159">
        <f>E10+E58</f>
        <v>626091</v>
      </c>
      <c r="F9" s="159">
        <f>F10+F58</f>
        <v>664235</v>
      </c>
      <c r="G9" s="159"/>
      <c r="H9" s="159">
        <f>H10+H58</f>
        <v>603574</v>
      </c>
      <c r="I9" s="7"/>
      <c r="J9" s="159">
        <f>J10+J58</f>
        <v>664235000</v>
      </c>
      <c r="K9" s="159"/>
      <c r="L9" s="159">
        <f>L10+L58</f>
        <v>664235000</v>
      </c>
      <c r="M9" s="2"/>
      <c r="N9" s="7"/>
      <c r="P9" s="76"/>
      <c r="Q9" s="9"/>
      <c r="R9" s="9"/>
      <c r="S9" s="9"/>
    </row>
    <row r="10" spans="1:19" ht="13.5" customHeight="1" x14ac:dyDescent="0.2">
      <c r="A10" s="8" t="s">
        <v>121</v>
      </c>
      <c r="B10" s="14" t="s">
        <v>926</v>
      </c>
      <c r="C10" s="5">
        <f>C11+C24+C25+C35+C41+C45+C57</f>
        <v>545364</v>
      </c>
      <c r="D10" s="5">
        <f>D11+D24+D25+D35+D41+D45+D57</f>
        <v>564257</v>
      </c>
      <c r="E10" s="5">
        <f>E11+E24+E25+E35+E41+E45+E57</f>
        <v>564257</v>
      </c>
      <c r="F10" s="5">
        <f>F11+F24+F25+F35+F41+F45+F57</f>
        <v>602401</v>
      </c>
      <c r="G10" s="5"/>
      <c r="H10" s="5">
        <f>H11+H24+H25+H35+H41+H45+H57</f>
        <v>545364</v>
      </c>
      <c r="I10" s="7"/>
      <c r="J10" s="5">
        <f>J11+J24+J25+J35+J41+J45+J57</f>
        <v>602400850</v>
      </c>
      <c r="K10" s="5"/>
      <c r="L10" s="5">
        <f>L11+L24+L25+L35+L41+L45+L57</f>
        <v>602400850</v>
      </c>
      <c r="M10" s="2"/>
      <c r="N10" s="7"/>
      <c r="P10" s="76"/>
      <c r="Q10" s="9"/>
      <c r="R10" s="9"/>
      <c r="S10" s="9"/>
    </row>
    <row r="11" spans="1:19" ht="13.5" customHeight="1" x14ac:dyDescent="0.2">
      <c r="A11" s="8" t="s">
        <v>210</v>
      </c>
      <c r="B11" s="272" t="s">
        <v>927</v>
      </c>
      <c r="C11" s="5">
        <f>C12+C20+C21+C23+C22</f>
        <v>215938</v>
      </c>
      <c r="D11" s="5">
        <f>D12+D20+D21+D23+D22</f>
        <v>215938</v>
      </c>
      <c r="E11" s="5">
        <f>E12+E20+E21+E23+E22</f>
        <v>215938</v>
      </c>
      <c r="F11" s="5">
        <f>F12+F20+F21+F23+F22</f>
        <v>228005</v>
      </c>
      <c r="G11" s="5"/>
      <c r="H11" s="5">
        <f>H12+H20+H21+H23+H22</f>
        <v>215938</v>
      </c>
      <c r="I11" s="29"/>
      <c r="J11" s="5">
        <f>J12+J20+J21+J23+J22</f>
        <v>228004202</v>
      </c>
      <c r="K11" s="5">
        <f t="shared" ref="K11:L11" si="0">K12+K20+K21+K23+K22</f>
        <v>0</v>
      </c>
      <c r="L11" s="5">
        <f t="shared" si="0"/>
        <v>228004202</v>
      </c>
      <c r="M11" s="2"/>
      <c r="N11" s="7"/>
      <c r="P11" s="76"/>
      <c r="Q11" s="9"/>
      <c r="R11" s="9"/>
      <c r="S11" s="9"/>
    </row>
    <row r="12" spans="1:19" ht="13.5" customHeight="1" x14ac:dyDescent="0.2">
      <c r="A12" s="8"/>
      <c r="B12" s="151" t="s">
        <v>928</v>
      </c>
      <c r="C12" s="13">
        <f>SUM(C13:C19)</f>
        <v>183418</v>
      </c>
      <c r="D12" s="13">
        <f>SUM(D13:D19)</f>
        <v>183418</v>
      </c>
      <c r="E12" s="13">
        <f>SUM(E13:E19)</f>
        <v>183418</v>
      </c>
      <c r="F12" s="13">
        <f>SUM(F13:F19)</f>
        <v>191545</v>
      </c>
      <c r="G12" s="13"/>
      <c r="H12" s="13">
        <f>SUM(H13:H19)</f>
        <v>183418</v>
      </c>
      <c r="I12" s="7"/>
      <c r="J12" s="13">
        <f>SUM(J13:J19)</f>
        <v>191544191</v>
      </c>
      <c r="K12" s="13"/>
      <c r="L12" s="13">
        <f>SUM(L13:L19)</f>
        <v>191544191</v>
      </c>
      <c r="M12" s="2"/>
      <c r="N12" s="7"/>
      <c r="P12" s="76"/>
      <c r="Q12" s="9"/>
      <c r="R12" s="9"/>
      <c r="S12" s="9"/>
    </row>
    <row r="13" spans="1:19" ht="13.5" customHeight="1" x14ac:dyDescent="0.2">
      <c r="A13" s="8"/>
      <c r="B13" s="151" t="s">
        <v>929</v>
      </c>
      <c r="C13" s="73">
        <f>133919</f>
        <v>133919</v>
      </c>
      <c r="D13" s="73">
        <f>133919</f>
        <v>133919</v>
      </c>
      <c r="E13" s="73">
        <f>133919</f>
        <v>133919</v>
      </c>
      <c r="F13" s="73">
        <f>133919+8127</f>
        <v>142046</v>
      </c>
      <c r="G13" s="73"/>
      <c r="H13" s="73">
        <f>133919</f>
        <v>133919</v>
      </c>
      <c r="I13" s="7"/>
      <c r="J13" s="7">
        <f>133919123+8126573</f>
        <v>142045696</v>
      </c>
      <c r="K13" s="7"/>
      <c r="L13" s="7">
        <f>J13+K13</f>
        <v>142045696</v>
      </c>
      <c r="M13" s="2"/>
      <c r="N13" s="7"/>
      <c r="P13" s="76"/>
      <c r="Q13" s="9"/>
      <c r="R13" s="9"/>
      <c r="S13" s="9"/>
    </row>
    <row r="14" spans="1:19" x14ac:dyDescent="0.2">
      <c r="A14" s="8"/>
      <c r="B14" s="151" t="s">
        <v>963</v>
      </c>
      <c r="C14" s="73">
        <f>8988</f>
        <v>8988</v>
      </c>
      <c r="D14" s="73">
        <f>8988</f>
        <v>8988</v>
      </c>
      <c r="E14" s="73">
        <f>8988</f>
        <v>8988</v>
      </c>
      <c r="F14" s="73">
        <f>8988</f>
        <v>8988</v>
      </c>
      <c r="G14" s="73"/>
      <c r="H14" s="73">
        <f>8988</f>
        <v>8988</v>
      </c>
      <c r="I14" s="29"/>
      <c r="J14" s="7">
        <v>8988200</v>
      </c>
      <c r="K14" s="7"/>
      <c r="L14" s="7">
        <f t="shared" ref="L14:L69" si="1">J14+K14</f>
        <v>8988200</v>
      </c>
      <c r="M14" s="2"/>
      <c r="N14" s="7"/>
      <c r="P14" s="76"/>
      <c r="Q14" s="9"/>
      <c r="R14" s="9"/>
      <c r="S14" s="9"/>
    </row>
    <row r="15" spans="1:19" ht="13.5" customHeight="1" x14ac:dyDescent="0.2">
      <c r="A15" s="8"/>
      <c r="B15" s="151" t="s">
        <v>930</v>
      </c>
      <c r="C15" s="73">
        <f>23852</f>
        <v>23852</v>
      </c>
      <c r="D15" s="73">
        <f>23852</f>
        <v>23852</v>
      </c>
      <c r="E15" s="73">
        <f>23852</f>
        <v>23852</v>
      </c>
      <c r="F15" s="73">
        <f>23852</f>
        <v>23852</v>
      </c>
      <c r="G15" s="73"/>
      <c r="H15" s="73">
        <f>23852</f>
        <v>23852</v>
      </c>
      <c r="I15" s="7"/>
      <c r="J15" s="7">
        <v>23852000</v>
      </c>
      <c r="K15" s="7"/>
      <c r="L15" s="7">
        <f t="shared" si="1"/>
        <v>23852000</v>
      </c>
      <c r="M15" s="2"/>
      <c r="N15" s="7"/>
      <c r="P15" s="76"/>
      <c r="Q15" s="9"/>
      <c r="R15" s="9"/>
      <c r="S15" s="9"/>
    </row>
    <row r="16" spans="1:19" ht="13.5" customHeight="1" x14ac:dyDescent="0.2">
      <c r="A16" s="8"/>
      <c r="B16" s="151" t="s">
        <v>964</v>
      </c>
      <c r="C16" s="73">
        <f>100</f>
        <v>100</v>
      </c>
      <c r="D16" s="73">
        <f>100</f>
        <v>100</v>
      </c>
      <c r="E16" s="73">
        <f>100</f>
        <v>100</v>
      </c>
      <c r="F16" s="73">
        <f>100</f>
        <v>100</v>
      </c>
      <c r="G16" s="73"/>
      <c r="H16" s="73">
        <f>100</f>
        <v>100</v>
      </c>
      <c r="I16" s="7"/>
      <c r="J16" s="7">
        <v>100000</v>
      </c>
      <c r="K16" s="7"/>
      <c r="L16" s="7">
        <f t="shared" si="1"/>
        <v>100000</v>
      </c>
      <c r="M16" s="2"/>
      <c r="N16" s="7"/>
      <c r="P16" s="76"/>
      <c r="Q16" s="9"/>
      <c r="R16" s="9"/>
      <c r="S16" s="9"/>
    </row>
    <row r="17" spans="1:19" ht="13.5" customHeight="1" x14ac:dyDescent="0.2">
      <c r="A17" s="8"/>
      <c r="B17" s="151" t="s">
        <v>965</v>
      </c>
      <c r="C17" s="73">
        <f>8059</f>
        <v>8059</v>
      </c>
      <c r="D17" s="73">
        <f>8059</f>
        <v>8059</v>
      </c>
      <c r="E17" s="73">
        <f>8059</f>
        <v>8059</v>
      </c>
      <c r="F17" s="73">
        <f>8059</f>
        <v>8059</v>
      </c>
      <c r="G17" s="73"/>
      <c r="H17" s="73">
        <f>8059</f>
        <v>8059</v>
      </c>
      <c r="I17" s="7"/>
      <c r="J17" s="7">
        <v>8058295</v>
      </c>
      <c r="K17" s="7"/>
      <c r="L17" s="7">
        <f t="shared" si="1"/>
        <v>8058295</v>
      </c>
      <c r="M17" s="2" t="s">
        <v>1054</v>
      </c>
      <c r="N17" s="7"/>
      <c r="P17" s="76"/>
      <c r="Q17" s="9"/>
      <c r="R17" s="9"/>
      <c r="S17" s="9"/>
    </row>
    <row r="18" spans="1:19" ht="12.75" customHeight="1" x14ac:dyDescent="0.2">
      <c r="A18" s="8"/>
      <c r="B18" s="151" t="s">
        <v>931</v>
      </c>
      <c r="C18" s="73">
        <f>8500</f>
        <v>8500</v>
      </c>
      <c r="D18" s="73">
        <f>8500</f>
        <v>8500</v>
      </c>
      <c r="E18" s="73">
        <f>8500</f>
        <v>8500</v>
      </c>
      <c r="F18" s="73">
        <f>8500</f>
        <v>8500</v>
      </c>
      <c r="G18" s="73"/>
      <c r="H18" s="73">
        <f>8500</f>
        <v>8500</v>
      </c>
      <c r="I18" s="7"/>
      <c r="J18" s="7">
        <v>8500000</v>
      </c>
      <c r="K18" s="7"/>
      <c r="L18" s="7">
        <f t="shared" si="1"/>
        <v>8500000</v>
      </c>
      <c r="M18" s="2"/>
      <c r="N18" s="7"/>
      <c r="P18" s="76"/>
      <c r="Q18" s="9"/>
      <c r="R18" s="9"/>
      <c r="S18" s="9"/>
    </row>
    <row r="19" spans="1:19" ht="12.75" customHeight="1" x14ac:dyDescent="0.2">
      <c r="A19" s="8"/>
      <c r="B19" s="151" t="s">
        <v>932</v>
      </c>
      <c r="C19" s="13">
        <v>0</v>
      </c>
      <c r="D19" s="13">
        <v>0</v>
      </c>
      <c r="E19" s="13">
        <v>0</v>
      </c>
      <c r="F19" s="13">
        <v>0</v>
      </c>
      <c r="G19" s="13"/>
      <c r="H19" s="13">
        <v>0</v>
      </c>
      <c r="I19" s="7"/>
      <c r="J19" s="7"/>
      <c r="K19" s="7"/>
      <c r="L19" s="7">
        <f t="shared" si="1"/>
        <v>0</v>
      </c>
      <c r="M19" s="2"/>
      <c r="N19" s="7"/>
      <c r="P19" s="76"/>
      <c r="Q19" s="9"/>
      <c r="R19" s="9"/>
      <c r="S19" s="9"/>
    </row>
    <row r="20" spans="1:19" x14ac:dyDescent="0.2">
      <c r="A20" s="8"/>
      <c r="B20" s="151" t="s">
        <v>933</v>
      </c>
      <c r="C20" s="13">
        <v>0</v>
      </c>
      <c r="D20" s="13">
        <v>0</v>
      </c>
      <c r="E20" s="13">
        <v>0</v>
      </c>
      <c r="F20" s="13">
        <v>0</v>
      </c>
      <c r="G20" s="13"/>
      <c r="H20" s="13">
        <v>0</v>
      </c>
      <c r="I20" s="7"/>
      <c r="J20" s="7"/>
      <c r="K20" s="7"/>
      <c r="L20" s="7">
        <f t="shared" si="1"/>
        <v>0</v>
      </c>
      <c r="M20" s="2"/>
      <c r="N20" s="7"/>
      <c r="P20" s="76"/>
      <c r="Q20" s="9"/>
      <c r="R20" s="9"/>
      <c r="S20" s="9"/>
    </row>
    <row r="21" spans="1:19" x14ac:dyDescent="0.2">
      <c r="A21" s="8"/>
      <c r="B21" s="151" t="s">
        <v>934</v>
      </c>
      <c r="C21" s="13">
        <v>0</v>
      </c>
      <c r="D21" s="13">
        <v>0</v>
      </c>
      <c r="E21" s="13">
        <v>0</v>
      </c>
      <c r="F21" s="13">
        <v>0</v>
      </c>
      <c r="G21" s="13"/>
      <c r="H21" s="13">
        <v>0</v>
      </c>
      <c r="I21" s="7"/>
      <c r="J21" s="7"/>
      <c r="K21" s="7"/>
      <c r="L21" s="7">
        <f t="shared" si="1"/>
        <v>0</v>
      </c>
      <c r="M21" s="2"/>
      <c r="N21" s="7"/>
      <c r="P21" s="76"/>
      <c r="Q21" s="9"/>
      <c r="R21" s="9"/>
      <c r="S21" s="9"/>
    </row>
    <row r="22" spans="1:19" x14ac:dyDescent="0.2">
      <c r="A22" s="8"/>
      <c r="B22" s="151" t="s">
        <v>1244</v>
      </c>
      <c r="C22" s="13">
        <v>3610</v>
      </c>
      <c r="D22" s="13">
        <v>3610</v>
      </c>
      <c r="E22" s="13">
        <v>3610</v>
      </c>
      <c r="F22" s="13">
        <v>3610</v>
      </c>
      <c r="G22" s="13"/>
      <c r="H22" s="13">
        <v>3610</v>
      </c>
      <c r="I22" s="7"/>
      <c r="J22" s="7">
        <v>3610011</v>
      </c>
      <c r="K22" s="7"/>
      <c r="L22" s="7">
        <f t="shared" ref="L22" si="2">J22+K22</f>
        <v>3610011</v>
      </c>
      <c r="M22" s="2"/>
      <c r="N22" s="7"/>
      <c r="P22" s="76"/>
      <c r="Q22" s="9"/>
      <c r="R22" s="9"/>
      <c r="S22" s="9"/>
    </row>
    <row r="23" spans="1:19" x14ac:dyDescent="0.2">
      <c r="A23" s="8"/>
      <c r="B23" s="151" t="s">
        <v>1249</v>
      </c>
      <c r="C23" s="13">
        <v>28910</v>
      </c>
      <c r="D23" s="13">
        <v>28910</v>
      </c>
      <c r="E23" s="13">
        <v>28910</v>
      </c>
      <c r="F23" s="13">
        <f>28910+3940</f>
        <v>32850</v>
      </c>
      <c r="G23" s="13"/>
      <c r="H23" s="13">
        <v>28910</v>
      </c>
      <c r="I23" s="7"/>
      <c r="J23" s="7">
        <f>28910000+3940000</f>
        <v>32850000</v>
      </c>
      <c r="K23" s="7"/>
      <c r="L23" s="7">
        <f t="shared" si="1"/>
        <v>32850000</v>
      </c>
      <c r="M23" s="2"/>
      <c r="N23" s="7"/>
      <c r="P23" s="76"/>
      <c r="Q23" s="9"/>
      <c r="R23" s="9"/>
      <c r="S23" s="9"/>
    </row>
    <row r="24" spans="1:19" ht="13.5" customHeight="1" x14ac:dyDescent="0.2">
      <c r="A24" s="8" t="s">
        <v>211</v>
      </c>
      <c r="B24" s="14" t="s">
        <v>935</v>
      </c>
      <c r="C24" s="5">
        <f>104531</f>
        <v>104531</v>
      </c>
      <c r="D24" s="5">
        <f>104531</f>
        <v>104531</v>
      </c>
      <c r="E24" s="5">
        <f>104531</f>
        <v>104531</v>
      </c>
      <c r="F24" s="5">
        <f>104531+11654-700</f>
        <v>115485</v>
      </c>
      <c r="G24" s="5"/>
      <c r="H24" s="5">
        <f>104531</f>
        <v>104531</v>
      </c>
      <c r="I24" s="7"/>
      <c r="J24" s="5">
        <f>104530530+11654507-700000</f>
        <v>115485037</v>
      </c>
      <c r="K24" s="5"/>
      <c r="L24" s="5">
        <f t="shared" si="1"/>
        <v>115485037</v>
      </c>
      <c r="M24" s="2"/>
      <c r="N24" s="7"/>
      <c r="P24" s="76"/>
      <c r="Q24" s="9"/>
      <c r="R24" s="9"/>
      <c r="S24" s="9"/>
    </row>
    <row r="25" spans="1:19" ht="13.5" customHeight="1" x14ac:dyDescent="0.2">
      <c r="A25" s="8" t="s">
        <v>212</v>
      </c>
      <c r="B25" s="14" t="s">
        <v>936</v>
      </c>
      <c r="C25" s="5">
        <f>C26+C27+C34</f>
        <v>100962</v>
      </c>
      <c r="D25" s="5">
        <f>D26+D27+D34</f>
        <v>117352</v>
      </c>
      <c r="E25" s="5">
        <f>E26+E27+E34</f>
        <v>117352</v>
      </c>
      <c r="F25" s="5">
        <f>F26+F27+F34</f>
        <v>131922</v>
      </c>
      <c r="G25" s="5"/>
      <c r="H25" s="5">
        <f>H26+H27+H34</f>
        <v>100962</v>
      </c>
      <c r="I25" s="7"/>
      <c r="J25" s="5">
        <f>J26+J27+J34</f>
        <v>131921910</v>
      </c>
      <c r="K25" s="5"/>
      <c r="L25" s="657">
        <f t="shared" ref="L25" si="3">L26+L27+L34</f>
        <v>131921910</v>
      </c>
      <c r="M25" s="2"/>
      <c r="N25" s="7"/>
      <c r="P25" s="76"/>
      <c r="Q25" s="9"/>
      <c r="R25" s="9"/>
      <c r="S25" s="9"/>
    </row>
    <row r="26" spans="1:19" ht="13.5" customHeight="1" x14ac:dyDescent="0.2">
      <c r="A26" s="8"/>
      <c r="B26" s="151" t="s">
        <v>937</v>
      </c>
      <c r="C26" s="13">
        <v>4402</v>
      </c>
      <c r="D26" s="13">
        <v>4402</v>
      </c>
      <c r="E26" s="13">
        <v>4402</v>
      </c>
      <c r="F26" s="13">
        <v>4402</v>
      </c>
      <c r="G26" s="13"/>
      <c r="H26" s="13">
        <v>4402</v>
      </c>
      <c r="I26" s="7"/>
      <c r="J26" s="7">
        <v>4402000</v>
      </c>
      <c r="K26" s="7"/>
      <c r="L26" s="7">
        <f t="shared" si="1"/>
        <v>4402000</v>
      </c>
      <c r="M26" s="2"/>
      <c r="N26" s="7"/>
      <c r="P26" s="76"/>
      <c r="Q26" s="9"/>
      <c r="R26" s="9"/>
      <c r="S26" s="9"/>
    </row>
    <row r="27" spans="1:19" ht="13.5" customHeight="1" x14ac:dyDescent="0.2">
      <c r="A27" s="8"/>
      <c r="B27" s="151" t="s">
        <v>938</v>
      </c>
      <c r="C27" s="13">
        <f>C28+C29+C31+C33</f>
        <v>96560</v>
      </c>
      <c r="D27" s="13">
        <f>D28+D29+D31+D33</f>
        <v>95896</v>
      </c>
      <c r="E27" s="13">
        <f>E28+E29+E31+E33</f>
        <v>95896</v>
      </c>
      <c r="F27" s="13">
        <f>F28+F29+F31+F33</f>
        <v>110466</v>
      </c>
      <c r="G27" s="13"/>
      <c r="H27" s="13">
        <f>H28+H29+H31+H33</f>
        <v>96560</v>
      </c>
      <c r="I27" s="7"/>
      <c r="J27" s="13">
        <f>J28+J29+J31+J33</f>
        <v>110465910</v>
      </c>
      <c r="K27" s="13"/>
      <c r="L27" s="13">
        <f t="shared" ref="L27" si="4">L28+L29+L31+L33</f>
        <v>110465910</v>
      </c>
      <c r="M27" s="2"/>
      <c r="N27" s="7"/>
      <c r="P27" s="76"/>
      <c r="Q27" s="9"/>
      <c r="R27" s="9"/>
      <c r="S27" s="9"/>
    </row>
    <row r="28" spans="1:19" ht="13.5" customHeight="1" x14ac:dyDescent="0.2">
      <c r="A28" s="8"/>
      <c r="B28" s="151" t="s">
        <v>1377</v>
      </c>
      <c r="C28" s="13">
        <f>18464</f>
        <v>18464</v>
      </c>
      <c r="D28" s="13">
        <f>18464</f>
        <v>18464</v>
      </c>
      <c r="E28" s="13">
        <f>18464</f>
        <v>18464</v>
      </c>
      <c r="F28" s="13">
        <f>18464+2877</f>
        <v>21341</v>
      </c>
      <c r="G28" s="13"/>
      <c r="H28" s="13">
        <f>18464</f>
        <v>18464</v>
      </c>
      <c r="I28" s="7"/>
      <c r="J28" s="7">
        <f>18464184+2876616</f>
        <v>21340800</v>
      </c>
      <c r="K28" s="7"/>
      <c r="L28" s="7">
        <f t="shared" si="1"/>
        <v>21340800</v>
      </c>
      <c r="M28" s="2"/>
      <c r="N28" s="7"/>
      <c r="P28" s="76"/>
      <c r="Q28" s="9"/>
      <c r="R28" s="9"/>
      <c r="S28" s="9"/>
    </row>
    <row r="29" spans="1:19" ht="13.5" customHeight="1" x14ac:dyDescent="0.2">
      <c r="A29" s="8"/>
      <c r="B29" s="151" t="s">
        <v>939</v>
      </c>
      <c r="C29" s="13">
        <f>C30</f>
        <v>8857</v>
      </c>
      <c r="D29" s="13">
        <f>D30</f>
        <v>8193</v>
      </c>
      <c r="E29" s="13">
        <f>E30</f>
        <v>8193</v>
      </c>
      <c r="F29" s="13">
        <f>F30</f>
        <v>8837</v>
      </c>
      <c r="G29" s="13"/>
      <c r="H29" s="13">
        <f>H30</f>
        <v>8857</v>
      </c>
      <c r="I29" s="7"/>
      <c r="J29" s="13">
        <f>J30</f>
        <v>8836710</v>
      </c>
      <c r="K29" s="13"/>
      <c r="L29" s="13">
        <f t="shared" ref="L29" si="5">L30</f>
        <v>8836710</v>
      </c>
      <c r="M29" s="2"/>
      <c r="N29" s="7"/>
      <c r="P29" s="76"/>
      <c r="Q29" s="9"/>
      <c r="R29" s="9"/>
      <c r="S29" s="9"/>
    </row>
    <row r="30" spans="1:19" ht="13.5" customHeight="1" x14ac:dyDescent="0.2">
      <c r="A30" s="8"/>
      <c r="B30" s="151" t="s">
        <v>962</v>
      </c>
      <c r="C30" s="13">
        <f>8857</f>
        <v>8857</v>
      </c>
      <c r="D30" s="13">
        <f>8857-664</f>
        <v>8193</v>
      </c>
      <c r="E30" s="13">
        <f>8857-664</f>
        <v>8193</v>
      </c>
      <c r="F30" s="13">
        <f>8857-664+696-52</f>
        <v>8837</v>
      </c>
      <c r="G30" s="13"/>
      <c r="H30" s="13">
        <f>8857</f>
        <v>8857</v>
      </c>
      <c r="I30" s="7"/>
      <c r="J30" s="7">
        <f>8857200-664290+696000-52200</f>
        <v>8836710</v>
      </c>
      <c r="K30" s="7"/>
      <c r="L30" s="7">
        <f t="shared" si="1"/>
        <v>8836710</v>
      </c>
      <c r="N30" s="7"/>
      <c r="P30" s="76"/>
      <c r="Q30" s="9"/>
      <c r="R30" s="9"/>
      <c r="S30" s="9"/>
    </row>
    <row r="31" spans="1:19" ht="13.5" customHeight="1" x14ac:dyDescent="0.2">
      <c r="A31" s="8"/>
      <c r="B31" s="151" t="s">
        <v>940</v>
      </c>
      <c r="C31" s="13">
        <f>C32</f>
        <v>69239</v>
      </c>
      <c r="D31" s="13">
        <f>D32</f>
        <v>69239</v>
      </c>
      <c r="E31" s="13">
        <f>E32</f>
        <v>69239</v>
      </c>
      <c r="F31" s="13">
        <f>F32</f>
        <v>80288</v>
      </c>
      <c r="G31" s="13"/>
      <c r="H31" s="13">
        <f>H32</f>
        <v>69239</v>
      </c>
      <c r="I31" s="7"/>
      <c r="J31" s="13">
        <f>J32</f>
        <v>80288400</v>
      </c>
      <c r="K31" s="13"/>
      <c r="L31" s="13">
        <f t="shared" ref="L31" si="6">L32</f>
        <v>80288400</v>
      </c>
      <c r="N31" s="7"/>
      <c r="P31" s="76"/>
      <c r="Q31" s="9"/>
      <c r="R31" s="9"/>
      <c r="S31" s="9"/>
    </row>
    <row r="32" spans="1:19" ht="13.5" customHeight="1" x14ac:dyDescent="0.2">
      <c r="A32" s="8"/>
      <c r="B32" s="151" t="s">
        <v>941</v>
      </c>
      <c r="C32" s="13">
        <f>69239</f>
        <v>69239</v>
      </c>
      <c r="D32" s="13">
        <f>69239</f>
        <v>69239</v>
      </c>
      <c r="E32" s="13">
        <f>69239</f>
        <v>69239</v>
      </c>
      <c r="F32" s="13">
        <f>69239+11049</f>
        <v>80288</v>
      </c>
      <c r="G32" s="13"/>
      <c r="H32" s="13">
        <f>69239</f>
        <v>69239</v>
      </c>
      <c r="I32" s="7"/>
      <c r="J32" s="7">
        <f>69239200+11049200</f>
        <v>80288400</v>
      </c>
      <c r="K32" s="7"/>
      <c r="L32" s="7">
        <f t="shared" si="1"/>
        <v>80288400</v>
      </c>
      <c r="M32" s="2"/>
      <c r="N32" s="7"/>
      <c r="P32" s="76"/>
      <c r="Q32" s="9"/>
      <c r="R32" s="9"/>
      <c r="S32" s="9"/>
    </row>
    <row r="33" spans="1:19" ht="13.5" customHeight="1" x14ac:dyDescent="0.2">
      <c r="A33" s="8"/>
      <c r="B33" s="151" t="s">
        <v>942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0</v>
      </c>
      <c r="I33" s="7"/>
      <c r="J33" s="7"/>
      <c r="K33" s="7"/>
      <c r="L33" s="7">
        <f t="shared" si="1"/>
        <v>0</v>
      </c>
      <c r="M33" s="2"/>
      <c r="N33" s="7"/>
      <c r="P33" s="76"/>
      <c r="Q33" s="9"/>
      <c r="R33" s="9"/>
      <c r="S33" s="9"/>
    </row>
    <row r="34" spans="1:19" ht="13.5" customHeight="1" x14ac:dyDescent="0.2">
      <c r="A34" s="8"/>
      <c r="B34" s="151" t="s">
        <v>1022</v>
      </c>
      <c r="C34" s="13">
        <v>0</v>
      </c>
      <c r="D34" s="13">
        <v>17054</v>
      </c>
      <c r="E34" s="13">
        <v>17054</v>
      </c>
      <c r="F34" s="13">
        <v>17054</v>
      </c>
      <c r="G34" s="13"/>
      <c r="H34" s="13">
        <v>0</v>
      </c>
      <c r="I34" s="7"/>
      <c r="J34" s="7">
        <v>17054000</v>
      </c>
      <c r="K34" s="7"/>
      <c r="L34" s="7">
        <f t="shared" si="1"/>
        <v>17054000</v>
      </c>
      <c r="M34" s="2"/>
      <c r="N34" s="7"/>
      <c r="P34" s="76"/>
      <c r="Q34" s="9"/>
      <c r="R34" s="9"/>
      <c r="S34" s="9"/>
    </row>
    <row r="35" spans="1:19" ht="13.5" customHeight="1" x14ac:dyDescent="0.2">
      <c r="A35" s="8"/>
      <c r="B35" s="272" t="s">
        <v>943</v>
      </c>
      <c r="C35" s="5">
        <f>C36+C39+C40</f>
        <v>69351</v>
      </c>
      <c r="D35" s="5">
        <f>D36+D39+D40</f>
        <v>69351</v>
      </c>
      <c r="E35" s="5">
        <f>E36+E39+E40</f>
        <v>69351</v>
      </c>
      <c r="F35" s="5">
        <f>F36+F39+F40</f>
        <v>69410</v>
      </c>
      <c r="G35" s="5"/>
      <c r="H35" s="5">
        <f>H36+H39+H40</f>
        <v>69351</v>
      </c>
      <c r="I35" s="7"/>
      <c r="J35" s="5">
        <f>J36+J39+J40</f>
        <v>69410454</v>
      </c>
      <c r="K35" s="5"/>
      <c r="L35" s="657">
        <f t="shared" ref="L35" si="7">L36+L39+L40</f>
        <v>69410454</v>
      </c>
      <c r="M35" s="2"/>
      <c r="N35" s="7"/>
      <c r="P35" s="76"/>
      <c r="Q35" s="9"/>
      <c r="R35" s="9"/>
      <c r="S35" s="9"/>
    </row>
    <row r="36" spans="1:19" ht="13.5" customHeight="1" x14ac:dyDescent="0.2">
      <c r="A36" s="8"/>
      <c r="B36" s="151" t="s">
        <v>944</v>
      </c>
      <c r="C36" s="13">
        <f>C37+C38</f>
        <v>69351</v>
      </c>
      <c r="D36" s="13">
        <f>D37+D38</f>
        <v>69351</v>
      </c>
      <c r="E36" s="13">
        <f>E37+E38</f>
        <v>69351</v>
      </c>
      <c r="F36" s="13">
        <f>F37+F38</f>
        <v>69410</v>
      </c>
      <c r="G36" s="13"/>
      <c r="H36" s="13">
        <f>H37+H38</f>
        <v>69351</v>
      </c>
      <c r="I36" s="7"/>
      <c r="J36" s="13">
        <f>J37+J38</f>
        <v>69410454</v>
      </c>
      <c r="K36" s="13"/>
      <c r="L36" s="13">
        <f t="shared" ref="L36" si="8">L37+L38</f>
        <v>69410454</v>
      </c>
      <c r="M36" s="2"/>
      <c r="N36" s="7"/>
      <c r="P36" s="76"/>
      <c r="Q36" s="9"/>
      <c r="R36" s="9"/>
      <c r="S36" s="9"/>
    </row>
    <row r="37" spans="1:19" ht="13.5" customHeight="1" x14ac:dyDescent="0.2">
      <c r="A37" s="8"/>
      <c r="B37" s="151" t="s">
        <v>945</v>
      </c>
      <c r="C37" s="13">
        <v>27543</v>
      </c>
      <c r="D37" s="13">
        <v>27543</v>
      </c>
      <c r="E37" s="13">
        <v>27543</v>
      </c>
      <c r="F37" s="13">
        <f>27543+2659</f>
        <v>30202</v>
      </c>
      <c r="G37" s="13"/>
      <c r="H37" s="13">
        <v>27543</v>
      </c>
      <c r="I37" s="7"/>
      <c r="J37" s="7">
        <f>27543060+2659140</f>
        <v>30202200</v>
      </c>
      <c r="K37" s="7"/>
      <c r="L37" s="7">
        <f t="shared" si="1"/>
        <v>30202200</v>
      </c>
      <c r="M37" s="2"/>
      <c r="N37" s="7"/>
      <c r="P37" s="76"/>
      <c r="Q37" s="9"/>
      <c r="R37" s="9"/>
      <c r="S37" s="9"/>
    </row>
    <row r="38" spans="1:19" ht="13.5" customHeight="1" x14ac:dyDescent="0.2">
      <c r="A38" s="8"/>
      <c r="B38" s="151" t="s">
        <v>946</v>
      </c>
      <c r="C38" s="13">
        <v>41808</v>
      </c>
      <c r="D38" s="13">
        <v>41808</v>
      </c>
      <c r="E38" s="13">
        <v>41808</v>
      </c>
      <c r="F38" s="13">
        <f>41808-2600</f>
        <v>39208</v>
      </c>
      <c r="G38" s="13"/>
      <c r="H38" s="13">
        <v>41808</v>
      </c>
      <c r="I38" s="7"/>
      <c r="J38" s="7">
        <f>41807722-2599468</f>
        <v>39208254</v>
      </c>
      <c r="K38" s="7"/>
      <c r="L38" s="7">
        <f t="shared" si="1"/>
        <v>39208254</v>
      </c>
      <c r="M38" s="2"/>
      <c r="N38" s="7"/>
      <c r="P38" s="76"/>
      <c r="Q38" s="9"/>
      <c r="R38" s="9"/>
      <c r="S38" s="9"/>
    </row>
    <row r="39" spans="1:19" ht="13.5" hidden="1" customHeight="1" x14ac:dyDescent="0.2">
      <c r="A39" s="8"/>
      <c r="B39" s="151" t="s">
        <v>947</v>
      </c>
      <c r="C39" s="13">
        <v>0</v>
      </c>
      <c r="D39" s="13">
        <v>0</v>
      </c>
      <c r="E39" s="13">
        <v>0</v>
      </c>
      <c r="F39" s="13">
        <v>0</v>
      </c>
      <c r="G39" s="13"/>
      <c r="H39" s="13">
        <v>0</v>
      </c>
      <c r="I39" s="7"/>
      <c r="J39" s="7"/>
      <c r="K39" s="7"/>
      <c r="L39" s="7">
        <f t="shared" si="1"/>
        <v>0</v>
      </c>
      <c r="M39" s="2"/>
      <c r="N39" s="7"/>
      <c r="P39" s="76"/>
      <c r="Q39" s="9"/>
      <c r="R39" s="9"/>
      <c r="S39" s="9"/>
    </row>
    <row r="40" spans="1:19" ht="13.5" hidden="1" customHeight="1" x14ac:dyDescent="0.2">
      <c r="A40" s="8"/>
      <c r="B40" s="151" t="s">
        <v>1019</v>
      </c>
      <c r="C40" s="13"/>
      <c r="D40" s="13"/>
      <c r="E40" s="13"/>
      <c r="F40" s="13"/>
      <c r="G40" s="13"/>
      <c r="H40" s="13"/>
      <c r="I40" s="7"/>
      <c r="J40" s="7"/>
      <c r="K40" s="7"/>
      <c r="L40" s="7">
        <f t="shared" si="1"/>
        <v>0</v>
      </c>
      <c r="M40" s="2"/>
      <c r="N40" s="7"/>
      <c r="P40" s="76"/>
      <c r="Q40" s="9"/>
      <c r="R40" s="9"/>
      <c r="S40" s="9"/>
    </row>
    <row r="41" spans="1:19" ht="13.5" customHeight="1" x14ac:dyDescent="0.2">
      <c r="A41" s="8" t="s">
        <v>213</v>
      </c>
      <c r="B41" s="14" t="s">
        <v>948</v>
      </c>
      <c r="C41" s="6">
        <f>SUM(C42:C44)</f>
        <v>35041</v>
      </c>
      <c r="D41" s="6">
        <f>SUM(D42:D44)</f>
        <v>35041</v>
      </c>
      <c r="E41" s="6">
        <f>SUM(E42:E44)</f>
        <v>35041</v>
      </c>
      <c r="F41" s="6">
        <f>SUM(F42:F44)</f>
        <v>35535</v>
      </c>
      <c r="G41" s="6"/>
      <c r="H41" s="6">
        <f>SUM(H42:H44)</f>
        <v>35041</v>
      </c>
      <c r="I41" s="7"/>
      <c r="J41" s="6">
        <f>SUM(J42:J44)</f>
        <v>35534689</v>
      </c>
      <c r="K41" s="6"/>
      <c r="L41" s="658">
        <f t="shared" ref="L41" si="9">SUM(L42:L44)</f>
        <v>35534689</v>
      </c>
      <c r="M41" s="2"/>
      <c r="N41" s="7"/>
      <c r="P41" s="76"/>
      <c r="Q41" s="9"/>
      <c r="R41" s="9"/>
      <c r="S41" s="9"/>
    </row>
    <row r="42" spans="1:19" ht="13.5" customHeight="1" x14ac:dyDescent="0.2">
      <c r="A42" s="8"/>
      <c r="B42" s="151" t="s">
        <v>968</v>
      </c>
      <c r="C42" s="73">
        <v>5216</v>
      </c>
      <c r="D42" s="73">
        <v>5216</v>
      </c>
      <c r="E42" s="73">
        <v>5216</v>
      </c>
      <c r="F42" s="73">
        <f>5216+494</f>
        <v>5710</v>
      </c>
      <c r="G42" s="73"/>
      <c r="H42" s="73">
        <v>5216</v>
      </c>
      <c r="I42" s="7"/>
      <c r="J42" s="7">
        <f>5216041+494000</f>
        <v>5710041</v>
      </c>
      <c r="K42" s="7"/>
      <c r="L42" s="7">
        <f t="shared" si="1"/>
        <v>5710041</v>
      </c>
      <c r="M42" s="2"/>
      <c r="N42" s="7"/>
      <c r="P42" s="76"/>
      <c r="Q42" s="9"/>
      <c r="R42" s="9"/>
      <c r="S42" s="9"/>
    </row>
    <row r="43" spans="1:19" ht="13.5" customHeight="1" x14ac:dyDescent="0.2">
      <c r="A43" s="8"/>
      <c r="B43" s="151" t="s">
        <v>1020</v>
      </c>
      <c r="C43" s="73">
        <v>26763</v>
      </c>
      <c r="D43" s="73">
        <v>26763</v>
      </c>
      <c r="E43" s="73">
        <v>26763</v>
      </c>
      <c r="F43" s="73">
        <v>26763</v>
      </c>
      <c r="G43" s="73"/>
      <c r="H43" s="73">
        <v>26763</v>
      </c>
      <c r="I43" s="7"/>
      <c r="J43" s="7">
        <v>26762800</v>
      </c>
      <c r="K43" s="7"/>
      <c r="L43" s="7">
        <f t="shared" si="1"/>
        <v>26762800</v>
      </c>
      <c r="M43" s="2"/>
      <c r="N43" s="7"/>
      <c r="P43" s="76"/>
      <c r="Q43" s="9"/>
      <c r="R43" s="9"/>
      <c r="S43" s="9"/>
    </row>
    <row r="44" spans="1:19" ht="13.5" customHeight="1" x14ac:dyDescent="0.2">
      <c r="A44" s="8"/>
      <c r="B44" s="151" t="s">
        <v>1286</v>
      </c>
      <c r="C44" s="73">
        <v>3062</v>
      </c>
      <c r="D44" s="73">
        <v>3062</v>
      </c>
      <c r="E44" s="73">
        <v>3062</v>
      </c>
      <c r="F44" s="73">
        <v>3062</v>
      </c>
      <c r="G44" s="73"/>
      <c r="H44" s="73">
        <v>3062</v>
      </c>
      <c r="I44" s="7"/>
      <c r="J44" s="7">
        <v>3061848</v>
      </c>
      <c r="K44" s="7"/>
      <c r="L44" s="7">
        <f t="shared" si="1"/>
        <v>3061848</v>
      </c>
      <c r="M44" s="7"/>
      <c r="N44" s="7"/>
      <c r="P44" s="76"/>
      <c r="Q44" s="9"/>
      <c r="R44" s="9"/>
      <c r="S44" s="9"/>
    </row>
    <row r="45" spans="1:19" ht="16.5" customHeight="1" x14ac:dyDescent="0.2">
      <c r="A45" s="8" t="s">
        <v>214</v>
      </c>
      <c r="B45" s="14" t="s">
        <v>949</v>
      </c>
      <c r="C45" s="5">
        <f>C46+C51+C55</f>
        <v>17054</v>
      </c>
      <c r="D45" s="5">
        <f>D46+D51+D55</f>
        <v>19557</v>
      </c>
      <c r="E45" s="5">
        <f>E46+E51+E55</f>
        <v>19557</v>
      </c>
      <c r="F45" s="5">
        <f>F46+F51+F55</f>
        <v>19557</v>
      </c>
      <c r="G45" s="5"/>
      <c r="H45" s="5">
        <f>H46+H51+H55</f>
        <v>17054</v>
      </c>
      <c r="I45" s="7"/>
      <c r="J45" s="5">
        <f>J46+J51+J55</f>
        <v>19557630</v>
      </c>
      <c r="K45" s="5"/>
      <c r="L45" s="657">
        <f>L46+L51+L55</f>
        <v>19557630</v>
      </c>
      <c r="M45" s="2"/>
      <c r="N45" s="7"/>
      <c r="P45" s="76"/>
      <c r="Q45" s="9"/>
      <c r="R45" s="9"/>
      <c r="S45" s="9"/>
    </row>
    <row r="46" spans="1:19" ht="14.25" customHeight="1" x14ac:dyDescent="0.2">
      <c r="A46" s="8"/>
      <c r="B46" s="614" t="s">
        <v>950</v>
      </c>
      <c r="C46" s="5">
        <f>C47+C48+C49+C50</f>
        <v>0</v>
      </c>
      <c r="D46" s="5">
        <f>D47+D48+D49+D50</f>
        <v>17450</v>
      </c>
      <c r="E46" s="5">
        <f>E47+E48+E49+E50</f>
        <v>17450</v>
      </c>
      <c r="F46" s="5">
        <f>F47+F48+F49+F50</f>
        <v>17450</v>
      </c>
      <c r="G46" s="5"/>
      <c r="H46" s="5">
        <f>H47+H48+H49+H50</f>
        <v>0</v>
      </c>
      <c r="I46" s="7"/>
      <c r="J46" s="5">
        <f>J47+J48+J49+J50</f>
        <v>17450700</v>
      </c>
      <c r="K46" s="5"/>
      <c r="L46" s="5">
        <f t="shared" ref="L46" si="10">L47+L48+L49+L50</f>
        <v>17450700</v>
      </c>
      <c r="M46" s="2"/>
      <c r="N46" s="7"/>
      <c r="P46" s="76"/>
      <c r="Q46" s="9"/>
      <c r="R46" s="9"/>
      <c r="S46" s="9"/>
    </row>
    <row r="47" spans="1:19" ht="11.25" customHeight="1" x14ac:dyDescent="0.2">
      <c r="A47" s="8"/>
      <c r="B47" s="614" t="s">
        <v>951</v>
      </c>
      <c r="C47" s="13">
        <v>0</v>
      </c>
      <c r="D47" s="13">
        <v>17450</v>
      </c>
      <c r="E47" s="13">
        <v>17450</v>
      </c>
      <c r="F47" s="13">
        <v>17450</v>
      </c>
      <c r="G47" s="13"/>
      <c r="H47" s="13">
        <v>0</v>
      </c>
      <c r="I47" s="7"/>
      <c r="J47" s="7">
        <v>17450700</v>
      </c>
      <c r="K47" s="7"/>
      <c r="L47" s="7">
        <f t="shared" si="1"/>
        <v>17450700</v>
      </c>
      <c r="M47" s="2"/>
      <c r="N47" s="7"/>
      <c r="P47" s="76"/>
      <c r="Q47" s="9"/>
      <c r="R47" s="9"/>
      <c r="S47" s="9"/>
    </row>
    <row r="48" spans="1:19" ht="11.25" customHeight="1" x14ac:dyDescent="0.2">
      <c r="A48" s="8"/>
      <c r="B48" s="615" t="s">
        <v>952</v>
      </c>
      <c r="C48" s="13">
        <v>0</v>
      </c>
      <c r="D48" s="13">
        <v>0</v>
      </c>
      <c r="E48" s="13">
        <v>0</v>
      </c>
      <c r="F48" s="13">
        <v>0</v>
      </c>
      <c r="G48" s="13"/>
      <c r="H48" s="13">
        <v>0</v>
      </c>
      <c r="I48" s="7"/>
      <c r="J48" s="7"/>
      <c r="K48" s="7"/>
      <c r="L48" s="7">
        <f t="shared" si="1"/>
        <v>0</v>
      </c>
      <c r="M48" s="2"/>
      <c r="N48" s="7"/>
      <c r="P48" s="76"/>
      <c r="Q48" s="9"/>
      <c r="R48" s="9"/>
      <c r="S48" s="9"/>
    </row>
    <row r="49" spans="1:19" ht="11.25" customHeight="1" x14ac:dyDescent="0.2">
      <c r="A49" s="8"/>
      <c r="B49" s="614" t="s">
        <v>953</v>
      </c>
      <c r="C49" s="13">
        <v>0</v>
      </c>
      <c r="D49" s="13">
        <v>0</v>
      </c>
      <c r="E49" s="13">
        <v>0</v>
      </c>
      <c r="F49" s="13">
        <v>0</v>
      </c>
      <c r="G49" s="13"/>
      <c r="H49" s="13">
        <v>0</v>
      </c>
      <c r="I49" s="7"/>
      <c r="J49" s="7"/>
      <c r="K49" s="7"/>
      <c r="L49" s="7">
        <f t="shared" si="1"/>
        <v>0</v>
      </c>
      <c r="M49" s="2"/>
      <c r="N49" s="7"/>
      <c r="P49" s="76"/>
      <c r="Q49" s="9"/>
      <c r="R49" s="9"/>
      <c r="S49" s="9"/>
    </row>
    <row r="50" spans="1:19" ht="11.25" customHeight="1" x14ac:dyDescent="0.2">
      <c r="A50" s="8"/>
      <c r="B50" s="614" t="s">
        <v>1038</v>
      </c>
      <c r="C50" s="13">
        <v>0</v>
      </c>
      <c r="D50" s="13">
        <v>0</v>
      </c>
      <c r="E50" s="13">
        <v>0</v>
      </c>
      <c r="F50" s="13">
        <v>0</v>
      </c>
      <c r="G50" s="13"/>
      <c r="H50" s="13">
        <v>0</v>
      </c>
      <c r="I50" s="7"/>
      <c r="J50" s="7">
        <v>0</v>
      </c>
      <c r="K50" s="7"/>
      <c r="L50" s="7">
        <f t="shared" si="1"/>
        <v>0</v>
      </c>
      <c r="M50" s="2"/>
      <c r="N50" s="7"/>
      <c r="P50" s="76"/>
      <c r="Q50" s="9"/>
      <c r="R50" s="9"/>
      <c r="S50" s="9"/>
    </row>
    <row r="51" spans="1:19" ht="11.25" customHeight="1" x14ac:dyDescent="0.2">
      <c r="A51" s="8"/>
      <c r="B51" s="614" t="s">
        <v>958</v>
      </c>
      <c r="C51" s="5">
        <f>C52+C53+C54</f>
        <v>17054</v>
      </c>
      <c r="D51" s="5">
        <f>D52+D53+D54</f>
        <v>2107</v>
      </c>
      <c r="E51" s="5">
        <f>E52+E53+E54</f>
        <v>2107</v>
      </c>
      <c r="F51" s="5">
        <f>F52+F53+F54</f>
        <v>2107</v>
      </c>
      <c r="G51" s="5"/>
      <c r="H51" s="5">
        <f>H52+H53+H54</f>
        <v>17054</v>
      </c>
      <c r="I51" s="7"/>
      <c r="J51" s="5">
        <f>J52+J53+J54</f>
        <v>2106930</v>
      </c>
      <c r="K51" s="5"/>
      <c r="L51" s="5">
        <f t="shared" ref="L51" si="11">L52+L53+L54</f>
        <v>2106930</v>
      </c>
      <c r="M51" s="2"/>
      <c r="N51" s="7"/>
      <c r="P51" s="76"/>
      <c r="Q51" s="9"/>
      <c r="R51" s="9"/>
      <c r="S51" s="9"/>
    </row>
    <row r="52" spans="1:19" x14ac:dyDescent="0.2">
      <c r="A52" s="8"/>
      <c r="B52" s="614" t="s">
        <v>954</v>
      </c>
      <c r="C52" s="13">
        <v>0</v>
      </c>
      <c r="D52" s="13">
        <v>2107</v>
      </c>
      <c r="E52" s="13">
        <v>2107</v>
      </c>
      <c r="F52" s="13">
        <v>2107</v>
      </c>
      <c r="G52" s="13"/>
      <c r="H52" s="13">
        <v>0</v>
      </c>
      <c r="I52" s="7"/>
      <c r="J52" s="7">
        <v>2106930</v>
      </c>
      <c r="K52" s="7"/>
      <c r="L52" s="7">
        <f t="shared" si="1"/>
        <v>2106930</v>
      </c>
      <c r="M52" s="2"/>
      <c r="N52" s="7"/>
      <c r="P52" s="76"/>
      <c r="Q52" s="9"/>
      <c r="R52" s="9"/>
      <c r="S52" s="9"/>
    </row>
    <row r="53" spans="1:19" x14ac:dyDescent="0.2">
      <c r="A53" s="8"/>
      <c r="B53" s="614" t="s">
        <v>957</v>
      </c>
      <c r="C53" s="13">
        <v>17054</v>
      </c>
      <c r="D53" s="13">
        <f>17054-17054</f>
        <v>0</v>
      </c>
      <c r="E53" s="13">
        <f>17054-17054</f>
        <v>0</v>
      </c>
      <c r="F53" s="13">
        <f>17054-17054</f>
        <v>0</v>
      </c>
      <c r="G53" s="13"/>
      <c r="H53" s="13">
        <v>17054</v>
      </c>
      <c r="I53" s="7"/>
      <c r="J53" s="7">
        <f>17054000-17054000</f>
        <v>0</v>
      </c>
      <c r="K53" s="7"/>
      <c r="L53" s="7">
        <f t="shared" si="1"/>
        <v>0</v>
      </c>
      <c r="M53" s="7"/>
      <c r="N53" s="7"/>
      <c r="P53" s="76"/>
      <c r="Q53" s="9"/>
      <c r="R53" s="9"/>
      <c r="S53" s="9"/>
    </row>
    <row r="54" spans="1:19" x14ac:dyDescent="0.2">
      <c r="A54" s="8"/>
      <c r="B54" s="614" t="s">
        <v>955</v>
      </c>
      <c r="C54" s="13">
        <v>0</v>
      </c>
      <c r="D54" s="13">
        <v>0</v>
      </c>
      <c r="E54" s="13">
        <v>0</v>
      </c>
      <c r="F54" s="13">
        <v>0</v>
      </c>
      <c r="G54" s="13"/>
      <c r="H54" s="13">
        <v>0</v>
      </c>
      <c r="I54" s="7"/>
      <c r="J54" s="7"/>
      <c r="K54" s="7"/>
      <c r="L54" s="7">
        <f t="shared" si="1"/>
        <v>0</v>
      </c>
      <c r="M54" s="2"/>
      <c r="N54" s="7"/>
      <c r="P54" s="76"/>
      <c r="Q54" s="9"/>
      <c r="R54" s="9"/>
      <c r="S54" s="9"/>
    </row>
    <row r="55" spans="1:19" x14ac:dyDescent="0.2">
      <c r="A55" s="8"/>
      <c r="B55" s="614" t="s">
        <v>959</v>
      </c>
      <c r="C55" s="5">
        <v>0</v>
      </c>
      <c r="D55" s="5">
        <v>0</v>
      </c>
      <c r="E55" s="5">
        <v>0</v>
      </c>
      <c r="F55" s="5">
        <v>0</v>
      </c>
      <c r="G55" s="5"/>
      <c r="H55" s="5">
        <v>0</v>
      </c>
      <c r="I55" s="7"/>
      <c r="J55" s="7"/>
      <c r="K55" s="7"/>
      <c r="L55" s="7">
        <f t="shared" si="1"/>
        <v>0</v>
      </c>
      <c r="M55" s="2"/>
      <c r="N55" s="7"/>
      <c r="P55" s="76"/>
      <c r="Q55" s="9"/>
      <c r="R55" s="9"/>
      <c r="S55" s="9"/>
    </row>
    <row r="56" spans="1:19" hidden="1" x14ac:dyDescent="0.2">
      <c r="A56" s="8"/>
      <c r="B56" s="614" t="s">
        <v>983</v>
      </c>
      <c r="C56" s="13"/>
      <c r="D56" s="13"/>
      <c r="E56" s="13"/>
      <c r="F56" s="13"/>
      <c r="G56" s="13"/>
      <c r="H56" s="13"/>
      <c r="I56" s="7"/>
      <c r="J56" s="7"/>
      <c r="K56" s="7"/>
      <c r="L56" s="7">
        <f t="shared" si="1"/>
        <v>0</v>
      </c>
      <c r="M56" s="2"/>
      <c r="N56" s="7"/>
      <c r="P56" s="76"/>
      <c r="Q56" s="9"/>
      <c r="R56" s="9"/>
      <c r="S56" s="9"/>
    </row>
    <row r="57" spans="1:19" ht="13.5" customHeight="1" x14ac:dyDescent="0.2">
      <c r="A57" s="8" t="s">
        <v>215</v>
      </c>
      <c r="B57" s="14" t="s">
        <v>1281</v>
      </c>
      <c r="C57" s="5">
        <f>(33-98+1982+136)+(6-10+426+12)</f>
        <v>2487</v>
      </c>
      <c r="D57" s="5">
        <f>(33-98+1982+136)+(6-10+426+12)</f>
        <v>2487</v>
      </c>
      <c r="E57" s="5">
        <f>(33-98+1982+136)+(6-10+426+12)</f>
        <v>2487</v>
      </c>
      <c r="F57" s="5">
        <f>(33-98+1982+136)+(6-10+426+12)</f>
        <v>2487</v>
      </c>
      <c r="G57" s="5"/>
      <c r="H57" s="5">
        <f t="shared" ref="H57" si="12">(33-98+1982+136)+(6-10+426+12)</f>
        <v>2487</v>
      </c>
      <c r="I57" s="7"/>
      <c r="J57" s="5">
        <f>2052860+434068</f>
        <v>2486928</v>
      </c>
      <c r="K57" s="5"/>
      <c r="L57" s="657">
        <f>J57+K57</f>
        <v>2486928</v>
      </c>
      <c r="M57" s="2"/>
      <c r="N57" s="7"/>
      <c r="P57" s="76"/>
      <c r="Q57" s="9"/>
      <c r="R57" s="9"/>
      <c r="S57" s="9"/>
    </row>
    <row r="58" spans="1:19" ht="15" x14ac:dyDescent="0.25">
      <c r="A58" s="8" t="s">
        <v>170</v>
      </c>
      <c r="B58" s="14" t="s">
        <v>956</v>
      </c>
      <c r="C58" s="38">
        <f>SUM(C59:C69)</f>
        <v>61834</v>
      </c>
      <c r="D58" s="38">
        <f>SUM(D59:D69)</f>
        <v>61834</v>
      </c>
      <c r="E58" s="38">
        <f>SUM(E59:E69)</f>
        <v>61834</v>
      </c>
      <c r="F58" s="38">
        <f>SUM(F59:F69)</f>
        <v>61834</v>
      </c>
      <c r="G58" s="38"/>
      <c r="H58" s="38">
        <f>SUM(H59:H69)</f>
        <v>58210</v>
      </c>
      <c r="I58" s="7"/>
      <c r="J58" s="38">
        <f>SUM(J59:J69)</f>
        <v>61834150</v>
      </c>
      <c r="K58" s="38"/>
      <c r="L58" s="38">
        <f t="shared" ref="L58" si="13">SUM(L59:L69)</f>
        <v>61834150</v>
      </c>
      <c r="M58" s="2"/>
      <c r="N58" s="7"/>
      <c r="P58" s="76"/>
      <c r="Q58" s="9"/>
      <c r="R58" s="9"/>
      <c r="S58" s="9"/>
    </row>
    <row r="59" spans="1:19" x14ac:dyDescent="0.2">
      <c r="A59" s="8" t="s">
        <v>125</v>
      </c>
      <c r="B59" s="8" t="s">
        <v>1107</v>
      </c>
      <c r="C59" s="79">
        <f>719*12</f>
        <v>8628</v>
      </c>
      <c r="D59" s="79">
        <f>719*12</f>
        <v>8628</v>
      </c>
      <c r="E59" s="79">
        <f>719*12</f>
        <v>8628</v>
      </c>
      <c r="F59" s="79">
        <f>719*12</f>
        <v>8628</v>
      </c>
      <c r="G59" s="79"/>
      <c r="H59" s="79">
        <f>719*7</f>
        <v>5033</v>
      </c>
      <c r="I59" s="7"/>
      <c r="J59" s="7">
        <f>8628000-82</f>
        <v>8627918</v>
      </c>
      <c r="K59" s="7"/>
      <c r="L59" s="7">
        <f t="shared" si="1"/>
        <v>8627918</v>
      </c>
      <c r="M59" s="2"/>
      <c r="N59" s="7"/>
      <c r="P59" s="76"/>
      <c r="Q59" s="9"/>
      <c r="R59" s="9"/>
      <c r="S59" s="9"/>
    </row>
    <row r="60" spans="1:19" x14ac:dyDescent="0.2">
      <c r="A60" s="8" t="s">
        <v>125</v>
      </c>
      <c r="B60" s="8" t="s">
        <v>1279</v>
      </c>
      <c r="C60" s="79">
        <f>(98+10)+29</f>
        <v>137</v>
      </c>
      <c r="D60" s="79">
        <f>(98+10)+29</f>
        <v>137</v>
      </c>
      <c r="E60" s="79">
        <f>(98+10)+29</f>
        <v>137</v>
      </c>
      <c r="F60" s="79">
        <f>(98+10)+29</f>
        <v>137</v>
      </c>
      <c r="G60" s="79"/>
      <c r="H60" s="79">
        <f t="shared" ref="H60" si="14">98+10</f>
        <v>108</v>
      </c>
      <c r="I60" s="7"/>
      <c r="J60" s="7">
        <f>97680+10332+29220</f>
        <v>137232</v>
      </c>
      <c r="K60" s="7"/>
      <c r="L60" s="7">
        <f t="shared" si="1"/>
        <v>137232</v>
      </c>
      <c r="M60" s="2"/>
      <c r="N60" s="7"/>
      <c r="P60" s="76"/>
      <c r="Q60" s="9"/>
      <c r="R60" s="9"/>
      <c r="S60" s="9"/>
    </row>
    <row r="61" spans="1:19" x14ac:dyDescent="0.2">
      <c r="A61" s="8" t="s">
        <v>125</v>
      </c>
      <c r="B61" s="8" t="s">
        <v>1282</v>
      </c>
      <c r="C61" s="79">
        <f>(2500+2500+2500+13500+(2500+1500)+(2500+3355))+(1500+1500+1500+3000+1500+1500)+7014</f>
        <v>48369</v>
      </c>
      <c r="D61" s="79">
        <f>(2500+2500+2500+13500+(2500+1500)+(2500+3355))+(1500+1500+1500+3000+1500+1500)+7014</f>
        <v>48369</v>
      </c>
      <c r="E61" s="79">
        <f>(2500+2500+2500+13500+(2500+1500)+(2500+3355))+(1500+1500+1500+3000+1500+1500)+7014</f>
        <v>48369</v>
      </c>
      <c r="F61" s="79">
        <f>(2500+2500+2500+13500+(2500+1500)+(2500+3355))+(1500+1500+1500+3000+1500+1500)+7014</f>
        <v>48369</v>
      </c>
      <c r="G61" s="79"/>
      <c r="H61" s="79">
        <f>(2500+2500+2500+13500+(2500+1500)+(2500+3355))+(1500+1500+1500+3000+1500+1500)+7014</f>
        <v>48369</v>
      </c>
      <c r="I61" s="7"/>
      <c r="J61" s="7">
        <v>48369000</v>
      </c>
      <c r="K61" s="7"/>
      <c r="L61" s="7">
        <f t="shared" si="1"/>
        <v>48369000</v>
      </c>
      <c r="M61" s="2"/>
      <c r="N61" s="7"/>
      <c r="P61" s="76"/>
      <c r="Q61" s="9"/>
      <c r="R61" s="9"/>
      <c r="S61" s="9"/>
    </row>
    <row r="62" spans="1:19" x14ac:dyDescent="0.2">
      <c r="A62" s="8" t="s">
        <v>125</v>
      </c>
      <c r="B62" s="8" t="s">
        <v>967</v>
      </c>
      <c r="C62" s="79">
        <v>4000</v>
      </c>
      <c r="D62" s="79">
        <v>4000</v>
      </c>
      <c r="E62" s="79">
        <v>4000</v>
      </c>
      <c r="F62" s="79">
        <v>4000</v>
      </c>
      <c r="G62" s="79"/>
      <c r="H62" s="79">
        <v>4000</v>
      </c>
      <c r="I62" s="7"/>
      <c r="J62" s="7">
        <v>4000000</v>
      </c>
      <c r="K62" s="7"/>
      <c r="L62" s="7">
        <f t="shared" si="1"/>
        <v>4000000</v>
      </c>
      <c r="M62" s="2"/>
      <c r="N62" s="7"/>
      <c r="P62" s="76"/>
      <c r="Q62" s="9"/>
      <c r="R62" s="9"/>
      <c r="S62" s="9"/>
    </row>
    <row r="63" spans="1:19" x14ac:dyDescent="0.2">
      <c r="A63" s="8" t="s">
        <v>125</v>
      </c>
      <c r="B63" s="8" t="s">
        <v>1271</v>
      </c>
      <c r="C63" s="79">
        <v>700</v>
      </c>
      <c r="D63" s="79">
        <v>700</v>
      </c>
      <c r="E63" s="79">
        <v>700</v>
      </c>
      <c r="F63" s="79">
        <v>700</v>
      </c>
      <c r="G63" s="79"/>
      <c r="H63" s="79">
        <v>700</v>
      </c>
      <c r="I63" s="7"/>
      <c r="J63" s="7">
        <v>700000</v>
      </c>
      <c r="K63" s="7"/>
      <c r="L63" s="7">
        <f t="shared" si="1"/>
        <v>700000</v>
      </c>
      <c r="M63" s="2"/>
      <c r="N63" s="7"/>
      <c r="P63" s="76"/>
      <c r="Q63" s="9"/>
      <c r="R63" s="9"/>
      <c r="S63" s="9"/>
    </row>
    <row r="64" spans="1:19" hidden="1" x14ac:dyDescent="0.2">
      <c r="A64" s="8" t="s">
        <v>125</v>
      </c>
      <c r="B64" s="8"/>
      <c r="C64" s="79"/>
      <c r="D64" s="79"/>
      <c r="E64" s="79"/>
      <c r="F64" s="79"/>
      <c r="G64" s="79"/>
      <c r="H64" s="79"/>
      <c r="I64" s="7"/>
      <c r="J64" s="7">
        <v>0</v>
      </c>
      <c r="K64" s="7"/>
      <c r="L64" s="7">
        <f t="shared" si="1"/>
        <v>0</v>
      </c>
      <c r="M64" s="2"/>
      <c r="N64" s="7"/>
      <c r="P64" s="76"/>
      <c r="Q64" s="9"/>
      <c r="R64" s="9"/>
      <c r="S64" s="9"/>
    </row>
    <row r="65" spans="1:19" hidden="1" x14ac:dyDescent="0.2">
      <c r="A65" s="8" t="s">
        <v>125</v>
      </c>
      <c r="B65" s="8"/>
      <c r="C65" s="79"/>
      <c r="D65" s="79"/>
      <c r="E65" s="79"/>
      <c r="F65" s="79"/>
      <c r="G65" s="79"/>
      <c r="H65" s="79"/>
      <c r="I65" s="7"/>
      <c r="J65" s="7">
        <v>0</v>
      </c>
      <c r="K65" s="7"/>
      <c r="L65" s="7">
        <f t="shared" si="1"/>
        <v>0</v>
      </c>
      <c r="M65" s="2"/>
      <c r="N65" s="7"/>
      <c r="P65" s="76"/>
      <c r="Q65" s="9"/>
      <c r="R65" s="9"/>
      <c r="S65" s="9"/>
    </row>
    <row r="66" spans="1:19" hidden="1" x14ac:dyDescent="0.2">
      <c r="A66" s="8" t="s">
        <v>125</v>
      </c>
      <c r="B66" s="8"/>
      <c r="C66" s="79"/>
      <c r="D66" s="79"/>
      <c r="E66" s="79"/>
      <c r="F66" s="79"/>
      <c r="G66" s="79"/>
      <c r="H66" s="79"/>
      <c r="I66" s="7"/>
      <c r="J66" s="7">
        <v>0</v>
      </c>
      <c r="K66" s="7"/>
      <c r="L66" s="7">
        <f t="shared" si="1"/>
        <v>0</v>
      </c>
      <c r="M66" s="2"/>
      <c r="N66" s="7"/>
      <c r="P66" s="76"/>
      <c r="Q66" s="9"/>
      <c r="R66" s="9"/>
      <c r="S66" s="9"/>
    </row>
    <row r="67" spans="1:19" hidden="1" x14ac:dyDescent="0.2">
      <c r="A67" s="8" t="s">
        <v>125</v>
      </c>
      <c r="B67" s="8" t="s">
        <v>1063</v>
      </c>
      <c r="C67" s="79"/>
      <c r="D67" s="79"/>
      <c r="E67" s="79"/>
      <c r="F67" s="79"/>
      <c r="G67" s="79"/>
      <c r="H67" s="79"/>
      <c r="I67" s="7"/>
      <c r="J67" s="7">
        <v>0</v>
      </c>
      <c r="K67" s="7"/>
      <c r="L67" s="7">
        <f t="shared" si="1"/>
        <v>0</v>
      </c>
      <c r="M67" s="2"/>
      <c r="N67" s="7"/>
      <c r="P67" s="76"/>
      <c r="Q67" s="9"/>
      <c r="R67" s="9"/>
      <c r="S67" s="9"/>
    </row>
    <row r="68" spans="1:19" hidden="1" x14ac:dyDescent="0.2">
      <c r="A68" s="8" t="s">
        <v>125</v>
      </c>
      <c r="B68" s="8" t="s">
        <v>1055</v>
      </c>
      <c r="C68" s="39"/>
      <c r="D68" s="39"/>
      <c r="E68" s="39"/>
      <c r="F68" s="39"/>
      <c r="G68" s="39"/>
      <c r="H68" s="39"/>
      <c r="I68" s="164"/>
      <c r="J68" s="7">
        <v>0</v>
      </c>
      <c r="K68" s="7"/>
      <c r="L68" s="7">
        <f t="shared" si="1"/>
        <v>0</v>
      </c>
      <c r="M68" s="2"/>
      <c r="N68" s="7"/>
      <c r="P68" s="76"/>
      <c r="Q68" s="9"/>
      <c r="R68" s="9"/>
      <c r="S68" s="9"/>
    </row>
    <row r="69" spans="1:19" hidden="1" x14ac:dyDescent="0.2">
      <c r="A69" s="8" t="s">
        <v>125</v>
      </c>
      <c r="B69" s="8" t="s">
        <v>1108</v>
      </c>
      <c r="C69" s="39"/>
      <c r="D69" s="39"/>
      <c r="E69" s="39"/>
      <c r="F69" s="39"/>
      <c r="G69" s="39"/>
      <c r="H69" s="39"/>
      <c r="I69" s="164"/>
      <c r="J69" s="7"/>
      <c r="K69" s="7"/>
      <c r="L69" s="7">
        <f t="shared" si="1"/>
        <v>0</v>
      </c>
      <c r="M69" s="2"/>
      <c r="N69" s="7"/>
      <c r="P69" s="76"/>
      <c r="Q69" s="9"/>
      <c r="R69" s="9"/>
      <c r="S69" s="9"/>
    </row>
    <row r="70" spans="1:19" ht="18" customHeight="1" x14ac:dyDescent="0.25">
      <c r="A70" s="14" t="s">
        <v>140</v>
      </c>
      <c r="B70" s="23" t="s">
        <v>228</v>
      </c>
      <c r="C70" s="159">
        <f>SUM(C74+C78+C82)</f>
        <v>468980</v>
      </c>
      <c r="D70" s="159">
        <f>SUM(D74+D78+D82)</f>
        <v>468980</v>
      </c>
      <c r="E70" s="159">
        <f>SUM(E74+E78+E82)</f>
        <v>468980</v>
      </c>
      <c r="F70" s="159">
        <f>SUM(F74+F78+F82)</f>
        <v>518980</v>
      </c>
      <c r="G70" s="159"/>
      <c r="H70" s="159">
        <f>SUM(H74+H78+H82)</f>
        <v>433980</v>
      </c>
      <c r="I70" s="164"/>
      <c r="J70" s="164"/>
      <c r="K70" s="164"/>
      <c r="L70" s="164"/>
      <c r="M70" s="2"/>
      <c r="N70" s="7"/>
      <c r="P70" s="76"/>
      <c r="Q70" s="9"/>
      <c r="R70" s="9"/>
      <c r="S70" s="9"/>
    </row>
    <row r="71" spans="1:19" ht="13.5" hidden="1" customHeight="1" x14ac:dyDescent="0.2">
      <c r="A71" s="8" t="s">
        <v>141</v>
      </c>
      <c r="B71" s="8" t="s">
        <v>147</v>
      </c>
      <c r="C71" s="11"/>
      <c r="D71" s="11"/>
      <c r="E71" s="11"/>
      <c r="F71" s="11"/>
      <c r="G71" s="11"/>
      <c r="H71" s="11"/>
      <c r="I71" s="164"/>
      <c r="J71" s="164"/>
      <c r="K71" s="164"/>
      <c r="L71" s="164"/>
      <c r="M71" s="2"/>
      <c r="N71" s="7"/>
      <c r="P71" s="76"/>
      <c r="Q71" s="9"/>
      <c r="R71" s="9"/>
      <c r="S71" s="9"/>
    </row>
    <row r="72" spans="1:19" ht="13.5" hidden="1" customHeight="1" x14ac:dyDescent="0.2">
      <c r="A72" s="8" t="s">
        <v>142</v>
      </c>
      <c r="B72" s="8" t="s">
        <v>148</v>
      </c>
      <c r="C72" s="11"/>
      <c r="D72" s="11"/>
      <c r="E72" s="11"/>
      <c r="F72" s="11"/>
      <c r="G72" s="11"/>
      <c r="H72" s="11"/>
      <c r="I72" s="164"/>
      <c r="J72" s="164"/>
      <c r="K72" s="164"/>
      <c r="L72" s="164"/>
      <c r="M72" s="2"/>
      <c r="N72" s="7"/>
      <c r="P72" s="76"/>
      <c r="Q72" s="9"/>
      <c r="R72" s="9"/>
      <c r="S72" s="9"/>
    </row>
    <row r="73" spans="1:19" ht="13.5" hidden="1" customHeight="1" x14ac:dyDescent="0.2">
      <c r="A73" s="8" t="s">
        <v>143</v>
      </c>
      <c r="B73" s="20" t="s">
        <v>149</v>
      </c>
      <c r="C73" s="11"/>
      <c r="D73" s="11"/>
      <c r="E73" s="11"/>
      <c r="F73" s="11"/>
      <c r="G73" s="11"/>
      <c r="H73" s="11"/>
      <c r="I73" s="164"/>
      <c r="J73" s="164"/>
      <c r="K73" s="164"/>
      <c r="L73" s="164"/>
      <c r="M73" s="2"/>
      <c r="N73" s="7"/>
      <c r="P73" s="76"/>
      <c r="Q73" s="9"/>
      <c r="R73" s="9"/>
      <c r="S73" s="9"/>
    </row>
    <row r="74" spans="1:19" ht="13.5" customHeight="1" x14ac:dyDescent="0.2">
      <c r="A74" s="8" t="s">
        <v>144</v>
      </c>
      <c r="B74" s="8" t="s">
        <v>446</v>
      </c>
      <c r="C74" s="158">
        <f>SUM(C75:C77)</f>
        <v>350500</v>
      </c>
      <c r="D74" s="158">
        <f>SUM(D75:D77)</f>
        <v>350500</v>
      </c>
      <c r="E74" s="158">
        <f>SUM(E75:E77)</f>
        <v>350500</v>
      </c>
      <c r="F74" s="158">
        <f>SUM(F75:F77)</f>
        <v>350500</v>
      </c>
      <c r="G74" s="158"/>
      <c r="H74" s="158">
        <f>SUM(H75:H77)</f>
        <v>320500</v>
      </c>
      <c r="I74" s="164"/>
      <c r="J74" s="164"/>
      <c r="K74" s="164"/>
      <c r="L74" s="164"/>
      <c r="M74" s="2"/>
      <c r="N74" s="7"/>
      <c r="P74" s="76"/>
      <c r="Q74" s="9"/>
      <c r="R74" s="9"/>
      <c r="S74" s="9"/>
    </row>
    <row r="75" spans="1:19" ht="13.5" customHeight="1" x14ac:dyDescent="0.2">
      <c r="A75" s="8"/>
      <c r="B75" s="151" t="s">
        <v>447</v>
      </c>
      <c r="C75" s="39">
        <v>330000</v>
      </c>
      <c r="D75" s="39">
        <v>330000</v>
      </c>
      <c r="E75" s="39">
        <v>330000</v>
      </c>
      <c r="F75" s="39">
        <v>330000</v>
      </c>
      <c r="G75" s="39"/>
      <c r="H75" s="39">
        <v>300000</v>
      </c>
      <c r="I75" s="7"/>
      <c r="J75" s="7"/>
      <c r="K75" s="7"/>
      <c r="L75" s="7"/>
      <c r="M75" s="2"/>
      <c r="N75" s="7"/>
      <c r="P75" s="76"/>
      <c r="Q75" s="9"/>
      <c r="R75" s="9"/>
      <c r="S75" s="9"/>
    </row>
    <row r="76" spans="1:19" ht="13.5" customHeight="1" x14ac:dyDescent="0.2">
      <c r="A76" s="8"/>
      <c r="B76" s="151" t="s">
        <v>764</v>
      </c>
      <c r="C76" s="39">
        <v>9500</v>
      </c>
      <c r="D76" s="39">
        <v>9500</v>
      </c>
      <c r="E76" s="39">
        <v>9500</v>
      </c>
      <c r="F76" s="39">
        <v>9500</v>
      </c>
      <c r="G76" s="39"/>
      <c r="H76" s="39">
        <v>9500</v>
      </c>
      <c r="I76" s="7"/>
      <c r="J76" s="7"/>
      <c r="K76" s="7"/>
      <c r="L76" s="7"/>
      <c r="M76" s="2"/>
      <c r="N76" s="7"/>
      <c r="P76" s="76"/>
      <c r="Q76" s="9"/>
      <c r="R76" s="9"/>
      <c r="S76" s="9"/>
    </row>
    <row r="77" spans="1:19" ht="13.5" customHeight="1" x14ac:dyDescent="0.2">
      <c r="A77" s="8"/>
      <c r="B77" s="151" t="s">
        <v>765</v>
      </c>
      <c r="C77" s="39">
        <v>11000</v>
      </c>
      <c r="D77" s="39">
        <v>11000</v>
      </c>
      <c r="E77" s="39">
        <v>11000</v>
      </c>
      <c r="F77" s="39">
        <v>11000</v>
      </c>
      <c r="G77" s="39"/>
      <c r="H77" s="39">
        <v>11000</v>
      </c>
      <c r="I77" s="7"/>
      <c r="J77" s="7"/>
      <c r="K77" s="7"/>
      <c r="L77" s="7"/>
      <c r="M77" s="2"/>
      <c r="N77" s="7"/>
      <c r="P77" s="76"/>
      <c r="Q77" s="9"/>
      <c r="R77" s="9"/>
      <c r="S77" s="9"/>
    </row>
    <row r="78" spans="1:19" s="50" customFormat="1" ht="13.5" customHeight="1" x14ac:dyDescent="0.2">
      <c r="A78" s="8" t="s">
        <v>145</v>
      </c>
      <c r="B78" s="8" t="s">
        <v>229</v>
      </c>
      <c r="C78" s="6">
        <f>SUM(C79:C81)</f>
        <v>115000</v>
      </c>
      <c r="D78" s="6">
        <f>SUM(D79:D81)</f>
        <v>115000</v>
      </c>
      <c r="E78" s="6">
        <f>SUM(E79:E81)</f>
        <v>115000</v>
      </c>
      <c r="F78" s="6">
        <f>SUM(F79:F81)</f>
        <v>165000</v>
      </c>
      <c r="G78" s="6"/>
      <c r="H78" s="6">
        <f>SUM(H79:H81)</f>
        <v>110000</v>
      </c>
      <c r="I78" s="7"/>
      <c r="J78" s="7"/>
      <c r="K78" s="7"/>
      <c r="L78" s="7"/>
      <c r="M78" s="2"/>
      <c r="N78" s="29"/>
      <c r="O78" s="9"/>
      <c r="P78" s="76"/>
      <c r="Q78" s="9"/>
      <c r="R78" s="9"/>
      <c r="S78" s="9"/>
    </row>
    <row r="79" spans="1:19" s="50" customFormat="1" ht="13.5" customHeight="1" x14ac:dyDescent="0.2">
      <c r="A79" s="8"/>
      <c r="B79" s="151" t="s">
        <v>230</v>
      </c>
      <c r="C79" s="11">
        <v>65000</v>
      </c>
      <c r="D79" s="11">
        <v>65000</v>
      </c>
      <c r="E79" s="11">
        <v>65000</v>
      </c>
      <c r="F79" s="11">
        <f>65000+50000</f>
        <v>115000</v>
      </c>
      <c r="G79" s="11"/>
      <c r="H79" s="11">
        <v>65000</v>
      </c>
      <c r="I79" s="627"/>
      <c r="J79" s="627"/>
      <c r="K79" s="627"/>
      <c r="L79" s="627"/>
      <c r="M79" s="2"/>
      <c r="N79" s="29"/>
      <c r="O79" s="9"/>
      <c r="P79" s="76"/>
      <c r="Q79" s="9"/>
      <c r="R79" s="9"/>
      <c r="S79" s="9"/>
    </row>
    <row r="80" spans="1:19" s="50" customFormat="1" ht="13.5" hidden="1" customHeight="1" x14ac:dyDescent="0.2">
      <c r="A80" s="8"/>
      <c r="B80" s="151" t="s">
        <v>448</v>
      </c>
      <c r="C80" s="11"/>
      <c r="D80" s="11"/>
      <c r="E80" s="11"/>
      <c r="F80" s="11"/>
      <c r="G80" s="11"/>
      <c r="H80" s="11"/>
      <c r="I80" s="7"/>
      <c r="J80" s="7"/>
      <c r="K80" s="7"/>
      <c r="L80" s="7"/>
      <c r="M80" s="2"/>
      <c r="N80" s="29"/>
      <c r="O80" s="9"/>
      <c r="P80" s="76"/>
      <c r="Q80" s="9"/>
      <c r="R80" s="9"/>
      <c r="S80" s="9"/>
    </row>
    <row r="81" spans="1:19" s="50" customFormat="1" ht="13.5" customHeight="1" x14ac:dyDescent="0.2">
      <c r="A81" s="8"/>
      <c r="B81" s="151" t="s">
        <v>984</v>
      </c>
      <c r="C81" s="11">
        <v>50000</v>
      </c>
      <c r="D81" s="11">
        <v>50000</v>
      </c>
      <c r="E81" s="11">
        <v>50000</v>
      </c>
      <c r="F81" s="11">
        <v>50000</v>
      </c>
      <c r="G81" s="11"/>
      <c r="H81" s="11">
        <v>45000</v>
      </c>
      <c r="I81" s="595"/>
      <c r="J81" s="595"/>
      <c r="K81" s="595"/>
      <c r="L81" s="595"/>
      <c r="M81" s="2"/>
      <c r="N81" s="29"/>
      <c r="O81" s="9"/>
      <c r="P81" s="76"/>
      <c r="Q81" s="9"/>
      <c r="R81" s="9"/>
      <c r="S81" s="9"/>
    </row>
    <row r="82" spans="1:19" s="50" customFormat="1" ht="13.5" customHeight="1" x14ac:dyDescent="0.2">
      <c r="A82" s="14" t="s">
        <v>146</v>
      </c>
      <c r="B82" s="208" t="s">
        <v>1230</v>
      </c>
      <c r="C82" s="671">
        <f>2500+980</f>
        <v>3480</v>
      </c>
      <c r="D82" s="671">
        <f>2500+980</f>
        <v>3480</v>
      </c>
      <c r="E82" s="671">
        <f>2500+980</f>
        <v>3480</v>
      </c>
      <c r="F82" s="671">
        <f>2500+980</f>
        <v>3480</v>
      </c>
      <c r="G82" s="671"/>
      <c r="H82" s="671">
        <f>2500+980</f>
        <v>3480</v>
      </c>
      <c r="I82" s="7"/>
      <c r="J82" s="7"/>
      <c r="K82" s="7"/>
      <c r="L82" s="7"/>
      <c r="M82" s="2"/>
      <c r="N82" s="29"/>
      <c r="O82" s="9"/>
      <c r="P82" s="76"/>
      <c r="Q82" s="9"/>
      <c r="R82" s="9"/>
      <c r="S82" s="9"/>
    </row>
    <row r="83" spans="1:19" s="50" customFormat="1" ht="18" customHeight="1" x14ac:dyDescent="0.25">
      <c r="A83" s="14" t="s">
        <v>151</v>
      </c>
      <c r="B83" s="23" t="s">
        <v>231</v>
      </c>
      <c r="C83" s="43">
        <f>SUM(C84:C94)</f>
        <v>159072</v>
      </c>
      <c r="D83" s="43">
        <f>SUM(D84:D94)</f>
        <v>218358</v>
      </c>
      <c r="E83" s="43">
        <f>SUM(E84:E94)</f>
        <v>218358</v>
      </c>
      <c r="F83" s="43">
        <f>SUM(F84:F94)</f>
        <v>222668</v>
      </c>
      <c r="G83" s="43"/>
      <c r="H83" s="43">
        <f>SUM(H84:H94)</f>
        <v>102140</v>
      </c>
      <c r="I83" s="7"/>
      <c r="J83" s="7"/>
      <c r="K83" s="7"/>
      <c r="L83" s="7"/>
      <c r="M83" s="2"/>
      <c r="N83" s="29"/>
      <c r="O83" s="9"/>
      <c r="P83" s="76"/>
      <c r="Q83" s="9"/>
      <c r="R83" s="9"/>
      <c r="S83" s="9"/>
    </row>
    <row r="84" spans="1:19" x14ac:dyDescent="0.2">
      <c r="A84" s="8" t="s">
        <v>154</v>
      </c>
      <c r="B84" s="8" t="s">
        <v>232</v>
      </c>
      <c r="C84" s="13">
        <v>200</v>
      </c>
      <c r="D84" s="13">
        <v>200</v>
      </c>
      <c r="E84" s="13">
        <v>200</v>
      </c>
      <c r="F84" s="13">
        <v>200</v>
      </c>
      <c r="G84" s="13"/>
      <c r="H84" s="13">
        <v>200</v>
      </c>
      <c r="I84" s="7"/>
      <c r="J84" s="7"/>
      <c r="K84" s="7"/>
      <c r="L84" s="7"/>
      <c r="M84" s="2"/>
      <c r="N84" s="29"/>
      <c r="O84" s="9"/>
      <c r="P84" s="76"/>
      <c r="Q84" s="9"/>
      <c r="R84" s="9"/>
      <c r="S84" s="9"/>
    </row>
    <row r="85" spans="1:19" s="50" customFormat="1" x14ac:dyDescent="0.2">
      <c r="A85" s="8" t="s">
        <v>155</v>
      </c>
      <c r="B85" s="8" t="s">
        <v>233</v>
      </c>
      <c r="C85" s="13">
        <v>250</v>
      </c>
      <c r="D85" s="13">
        <v>250</v>
      </c>
      <c r="E85" s="13">
        <v>250</v>
      </c>
      <c r="F85" s="13">
        <v>250</v>
      </c>
      <c r="G85" s="13"/>
      <c r="H85" s="13">
        <v>2200</v>
      </c>
      <c r="I85" s="7"/>
      <c r="J85" s="7"/>
      <c r="K85" s="7"/>
      <c r="L85" s="7"/>
      <c r="M85" s="2"/>
      <c r="N85" s="29"/>
      <c r="O85" s="9"/>
      <c r="P85" s="76"/>
      <c r="Q85" s="9"/>
      <c r="R85" s="9"/>
      <c r="S85" s="9"/>
    </row>
    <row r="86" spans="1:19" s="50" customFormat="1" ht="12.75" customHeight="1" x14ac:dyDescent="0.2">
      <c r="A86" s="8" t="s">
        <v>156</v>
      </c>
      <c r="B86" s="8" t="s">
        <v>234</v>
      </c>
      <c r="C86" s="13">
        <f>2000+13000</f>
        <v>15000</v>
      </c>
      <c r="D86" s="13">
        <f>2000+13000</f>
        <v>15000</v>
      </c>
      <c r="E86" s="13">
        <f>2000+13000</f>
        <v>15000</v>
      </c>
      <c r="F86" s="13">
        <f>2000+13000</f>
        <v>15000</v>
      </c>
      <c r="G86" s="13"/>
      <c r="H86" s="13">
        <v>13000</v>
      </c>
      <c r="I86" s="7"/>
      <c r="J86" s="7"/>
      <c r="K86" s="7"/>
      <c r="L86" s="7"/>
      <c r="M86" s="2"/>
      <c r="N86" s="29"/>
      <c r="O86" s="9"/>
      <c r="P86" s="76"/>
      <c r="Q86" s="9"/>
      <c r="R86" s="9"/>
      <c r="S86" s="9"/>
    </row>
    <row r="87" spans="1:19" ht="13.5" customHeight="1" x14ac:dyDescent="0.2">
      <c r="A87" s="8" t="s">
        <v>157</v>
      </c>
      <c r="B87" s="20" t="s">
        <v>235</v>
      </c>
      <c r="C87" s="13">
        <f>27000+4000+21000</f>
        <v>52000</v>
      </c>
      <c r="D87" s="13">
        <f>27000+4000+21000+60000</f>
        <v>112000</v>
      </c>
      <c r="E87" s="13">
        <f>27000+4000+21000+60000</f>
        <v>112000</v>
      </c>
      <c r="F87" s="13">
        <f>27000+4000+21000+60000</f>
        <v>112000</v>
      </c>
      <c r="G87" s="13"/>
      <c r="H87" s="13">
        <v>27000</v>
      </c>
      <c r="I87" s="677"/>
      <c r="J87" s="7"/>
      <c r="K87" s="7"/>
      <c r="L87" s="7"/>
      <c r="M87" s="2"/>
      <c r="N87" s="29"/>
      <c r="O87" s="9"/>
      <c r="P87" s="76"/>
      <c r="Q87" s="9"/>
      <c r="R87" s="9"/>
      <c r="S87" s="9"/>
    </row>
    <row r="88" spans="1:19" ht="13.5" customHeight="1" x14ac:dyDescent="0.2">
      <c r="A88" s="8" t="s">
        <v>158</v>
      </c>
      <c r="B88" s="20" t="s">
        <v>236</v>
      </c>
      <c r="C88" s="13">
        <v>18600</v>
      </c>
      <c r="D88" s="13">
        <f>18600-1394</f>
        <v>17206</v>
      </c>
      <c r="E88" s="13">
        <f>18600-1394</f>
        <v>17206</v>
      </c>
      <c r="F88" s="13">
        <f>18600-1394</f>
        <v>17206</v>
      </c>
      <c r="G88" s="261"/>
      <c r="H88" s="261">
        <v>13295</v>
      </c>
      <c r="I88" s="672">
        <f>120*249*622.05</f>
        <v>18586854</v>
      </c>
      <c r="J88" s="7">
        <v>8857200</v>
      </c>
      <c r="K88" s="672">
        <f>120*249*444.89</f>
        <v>13293313.199999999</v>
      </c>
      <c r="L88" s="7"/>
      <c r="M88" s="2"/>
      <c r="N88" s="29"/>
      <c r="O88" s="9"/>
      <c r="P88" s="76"/>
      <c r="Q88" s="9"/>
      <c r="R88" s="9"/>
      <c r="S88" s="9"/>
    </row>
    <row r="89" spans="1:19" x14ac:dyDescent="0.2">
      <c r="A89" s="8" t="s">
        <v>162</v>
      </c>
      <c r="B89" s="20" t="s">
        <v>237</v>
      </c>
      <c r="C89" s="13">
        <f>3160+5040</f>
        <v>8200</v>
      </c>
      <c r="D89" s="13">
        <f>3160+(5040-376)</f>
        <v>7824</v>
      </c>
      <c r="E89" s="13">
        <f>3160+(5040-376)</f>
        <v>7824</v>
      </c>
      <c r="F89" s="13">
        <f>3160+(5040-376)</f>
        <v>7824</v>
      </c>
      <c r="G89" s="261"/>
      <c r="H89" s="261">
        <f>3600+3000</f>
        <v>6600</v>
      </c>
      <c r="I89" s="7">
        <f>120*249*167.95</f>
        <v>5018346</v>
      </c>
      <c r="J89" s="7">
        <f>200*0.27+11500*0.27</f>
        <v>3159</v>
      </c>
      <c r="K89" s="7">
        <f>120*249*120.12</f>
        <v>3589185.6</v>
      </c>
      <c r="L89" s="7"/>
      <c r="M89" s="2"/>
      <c r="N89" s="7"/>
      <c r="O89" s="9"/>
      <c r="P89" s="76"/>
      <c r="Q89" s="9"/>
      <c r="R89" s="9"/>
      <c r="S89" s="9"/>
    </row>
    <row r="90" spans="1:19" hidden="1" x14ac:dyDescent="0.2">
      <c r="A90" s="8" t="s">
        <v>164</v>
      </c>
      <c r="B90" s="20" t="s">
        <v>238</v>
      </c>
      <c r="C90" s="13"/>
      <c r="D90" s="13"/>
      <c r="E90" s="13"/>
      <c r="F90" s="13"/>
      <c r="G90" s="13"/>
      <c r="H90" s="13"/>
      <c r="I90" s="7"/>
      <c r="J90" s="7"/>
      <c r="K90" s="7"/>
      <c r="L90" s="7"/>
      <c r="M90" s="2"/>
      <c r="N90" s="29"/>
      <c r="O90" s="9"/>
      <c r="P90" s="76"/>
      <c r="Q90" s="9"/>
      <c r="R90" s="9"/>
      <c r="S90" s="9"/>
    </row>
    <row r="91" spans="1:19" x14ac:dyDescent="0.2">
      <c r="A91" s="208" t="s">
        <v>166</v>
      </c>
      <c r="B91" s="673" t="s">
        <v>1231</v>
      </c>
      <c r="C91" s="674">
        <f>25+1</f>
        <v>26</v>
      </c>
      <c r="D91" s="674">
        <f>25+1</f>
        <v>26</v>
      </c>
      <c r="E91" s="674">
        <f>25+1</f>
        <v>26</v>
      </c>
      <c r="F91" s="674">
        <f>25+1</f>
        <v>26</v>
      </c>
      <c r="G91" s="674"/>
      <c r="H91" s="674">
        <f>25+1</f>
        <v>26</v>
      </c>
      <c r="I91" s="7"/>
      <c r="J91" s="7"/>
      <c r="K91" s="7"/>
      <c r="L91" s="7"/>
      <c r="M91" s="2"/>
      <c r="N91" s="29"/>
      <c r="O91" s="9"/>
      <c r="P91" s="76"/>
      <c r="Q91" s="9"/>
      <c r="R91" s="9"/>
      <c r="S91" s="9"/>
    </row>
    <row r="92" spans="1:19" hidden="1" x14ac:dyDescent="0.2">
      <c r="A92" s="8" t="s">
        <v>168</v>
      </c>
      <c r="B92" s="20" t="s">
        <v>239</v>
      </c>
      <c r="C92" s="13"/>
      <c r="D92" s="13"/>
      <c r="E92" s="13"/>
      <c r="F92" s="13"/>
      <c r="G92" s="13"/>
      <c r="H92" s="13"/>
      <c r="I92" s="7"/>
      <c r="J92" s="7"/>
      <c r="K92" s="7"/>
      <c r="L92" s="7"/>
      <c r="M92" s="2"/>
      <c r="N92" s="29"/>
      <c r="O92" s="9"/>
      <c r="P92" s="76"/>
      <c r="Q92" s="9"/>
      <c r="R92" s="9"/>
      <c r="S92" s="9"/>
    </row>
    <row r="93" spans="1:19" x14ac:dyDescent="0.2">
      <c r="A93" s="8" t="s">
        <v>174</v>
      </c>
      <c r="B93" s="20" t="s">
        <v>390</v>
      </c>
      <c r="C93" s="13">
        <v>0</v>
      </c>
      <c r="D93" s="13">
        <v>0</v>
      </c>
      <c r="E93" s="13">
        <v>0</v>
      </c>
      <c r="F93" s="13">
        <v>0</v>
      </c>
      <c r="G93" s="13"/>
      <c r="H93" s="13">
        <v>0</v>
      </c>
      <c r="I93" s="7"/>
      <c r="J93" s="7"/>
      <c r="K93" s="7"/>
      <c r="L93" s="7"/>
      <c r="M93" s="2"/>
      <c r="N93" s="29"/>
      <c r="O93" s="9"/>
      <c r="P93" s="76"/>
      <c r="Q93" s="9"/>
      <c r="R93" s="9"/>
      <c r="S93" s="9"/>
    </row>
    <row r="94" spans="1:19" x14ac:dyDescent="0.2">
      <c r="A94" s="208" t="s">
        <v>384</v>
      </c>
      <c r="B94" s="673" t="s">
        <v>1232</v>
      </c>
      <c r="C94" s="13">
        <f>(61777+3000)+19</f>
        <v>64796</v>
      </c>
      <c r="D94" s="13">
        <f>(61777+3000+1000)+(19+56)</f>
        <v>65852</v>
      </c>
      <c r="E94" s="13">
        <f>(61777+3000+1000)+(19+56)</f>
        <v>65852</v>
      </c>
      <c r="F94" s="13">
        <f>(61777+3000+1000+4000)+(19+56+310)</f>
        <v>70162</v>
      </c>
      <c r="G94" s="13"/>
      <c r="H94" s="13">
        <f>(37800+2000)+19</f>
        <v>39819</v>
      </c>
      <c r="I94" s="7"/>
      <c r="J94" s="261">
        <f>(37800+2000)+19</f>
        <v>39819</v>
      </c>
      <c r="K94" s="7"/>
      <c r="L94" s="7"/>
      <c r="M94" s="2"/>
      <c r="N94" s="29"/>
      <c r="O94" s="9"/>
      <c r="P94" s="76"/>
      <c r="Q94" s="9"/>
      <c r="R94" s="9"/>
    </row>
    <row r="95" spans="1:19" ht="15.75" x14ac:dyDescent="0.25">
      <c r="A95" s="14" t="s">
        <v>189</v>
      </c>
      <c r="B95" s="23" t="s">
        <v>240</v>
      </c>
      <c r="C95" s="43">
        <f t="shared" ref="C95:D95" si="15">SUM(C99)+C101+C100</f>
        <v>40000</v>
      </c>
      <c r="D95" s="43">
        <f t="shared" si="15"/>
        <v>42372</v>
      </c>
      <c r="E95" s="43">
        <f t="shared" ref="E95" si="16">SUM(E99)+E101+E100</f>
        <v>42372</v>
      </c>
      <c r="F95" s="43">
        <f t="shared" ref="F95" si="17">SUM(F99)+F101+F100</f>
        <v>42872</v>
      </c>
      <c r="G95" s="43"/>
      <c r="H95" s="43">
        <f t="shared" ref="H95" si="18">SUM(H99)+H101+H100</f>
        <v>40000</v>
      </c>
      <c r="I95" s="7"/>
      <c r="J95" s="7"/>
      <c r="K95" s="7"/>
      <c r="L95" s="7"/>
      <c r="M95" s="2"/>
      <c r="N95" s="29"/>
      <c r="O95" s="9"/>
      <c r="P95" s="76"/>
      <c r="Q95" s="9"/>
      <c r="R95" s="9"/>
      <c r="S95" s="9"/>
    </row>
    <row r="96" spans="1:19" hidden="1" x14ac:dyDescent="0.2">
      <c r="A96" s="8" t="s">
        <v>195</v>
      </c>
      <c r="B96" s="20" t="s">
        <v>241</v>
      </c>
      <c r="C96" s="11"/>
      <c r="D96" s="11"/>
      <c r="E96" s="11"/>
      <c r="F96" s="11"/>
      <c r="G96" s="11"/>
      <c r="H96" s="11"/>
      <c r="I96" s="7"/>
      <c r="J96" s="7"/>
      <c r="K96" s="7"/>
      <c r="L96" s="7"/>
      <c r="M96" s="2"/>
      <c r="N96" s="29"/>
      <c r="O96" s="9"/>
      <c r="P96" s="76"/>
      <c r="Q96" s="9"/>
      <c r="R96" s="9"/>
      <c r="S96" s="9"/>
    </row>
    <row r="97" spans="1:19" hidden="1" x14ac:dyDescent="0.2">
      <c r="A97" s="8" t="s">
        <v>196</v>
      </c>
      <c r="B97" s="20" t="s">
        <v>242</v>
      </c>
      <c r="C97" s="11"/>
      <c r="D97" s="11"/>
      <c r="E97" s="11"/>
      <c r="F97" s="11"/>
      <c r="G97" s="11"/>
      <c r="H97" s="11"/>
      <c r="I97" s="7"/>
      <c r="J97" s="7"/>
      <c r="K97" s="7"/>
      <c r="L97" s="7"/>
      <c r="M97" s="2"/>
      <c r="N97" s="29"/>
      <c r="O97" s="9"/>
      <c r="P97" s="76"/>
      <c r="Q97" s="9"/>
      <c r="R97" s="9"/>
      <c r="S97" s="9"/>
    </row>
    <row r="98" spans="1:19" hidden="1" x14ac:dyDescent="0.2">
      <c r="A98" s="8" t="s">
        <v>197</v>
      </c>
      <c r="B98" s="20" t="s">
        <v>243</v>
      </c>
      <c r="C98" s="5"/>
      <c r="D98" s="5"/>
      <c r="E98" s="5"/>
      <c r="F98" s="5"/>
      <c r="G98" s="5"/>
      <c r="H98" s="5"/>
      <c r="I98" s="7"/>
      <c r="J98" s="7"/>
      <c r="K98" s="7"/>
      <c r="L98" s="7"/>
      <c r="M98" s="2"/>
      <c r="N98" s="29"/>
      <c r="O98" s="9"/>
      <c r="P98" s="76"/>
      <c r="Q98" s="9"/>
      <c r="R98" s="9"/>
      <c r="S98" s="9"/>
    </row>
    <row r="99" spans="1:19" x14ac:dyDescent="0.2">
      <c r="A99" s="8" t="s">
        <v>391</v>
      </c>
      <c r="B99" s="8" t="s">
        <v>1196</v>
      </c>
      <c r="C99" s="674">
        <v>40000</v>
      </c>
      <c r="D99" s="674">
        <v>40000</v>
      </c>
      <c r="E99" s="674">
        <v>40000</v>
      </c>
      <c r="F99" s="674">
        <v>40000</v>
      </c>
      <c r="G99" s="674"/>
      <c r="H99" s="674">
        <v>40000</v>
      </c>
      <c r="I99" s="7"/>
      <c r="J99" s="13">
        <f>(61777+3000+1000)</f>
        <v>65777</v>
      </c>
      <c r="K99" s="7"/>
      <c r="L99" s="7"/>
      <c r="M99" s="2"/>
      <c r="N99" s="29"/>
      <c r="O99" s="9"/>
      <c r="P99" s="76"/>
      <c r="Q99" s="9"/>
      <c r="R99" s="9"/>
      <c r="S99" s="9"/>
    </row>
    <row r="100" spans="1:19" x14ac:dyDescent="0.2">
      <c r="A100" s="8" t="s">
        <v>391</v>
      </c>
      <c r="B100" s="8" t="s">
        <v>1288</v>
      </c>
      <c r="C100" s="13">
        <v>0</v>
      </c>
      <c r="D100" s="13">
        <v>2372</v>
      </c>
      <c r="E100" s="13">
        <v>2372</v>
      </c>
      <c r="F100" s="13">
        <v>2372</v>
      </c>
      <c r="G100" s="13"/>
      <c r="H100" s="13">
        <v>0</v>
      </c>
      <c r="I100" s="7"/>
      <c r="J100" s="7"/>
      <c r="K100" s="7"/>
      <c r="L100" s="7"/>
      <c r="M100" s="2"/>
      <c r="N100" s="29"/>
      <c r="O100" s="9"/>
      <c r="P100" s="76"/>
      <c r="Q100" s="9"/>
      <c r="R100" s="9"/>
      <c r="S100" s="9"/>
    </row>
    <row r="101" spans="1:19" x14ac:dyDescent="0.2">
      <c r="A101" s="8" t="s">
        <v>391</v>
      </c>
      <c r="B101" s="8" t="s">
        <v>1414</v>
      </c>
      <c r="C101" s="13">
        <v>0</v>
      </c>
      <c r="D101" s="13">
        <v>0</v>
      </c>
      <c r="E101" s="13">
        <v>0</v>
      </c>
      <c r="F101" s="13">
        <v>500</v>
      </c>
      <c r="G101" s="13"/>
      <c r="H101" s="13">
        <v>0</v>
      </c>
      <c r="I101" s="7"/>
      <c r="J101" s="7"/>
      <c r="K101" s="7"/>
      <c r="L101" s="7"/>
      <c r="M101" s="2"/>
      <c r="N101" s="29"/>
      <c r="O101" s="9"/>
      <c r="P101" s="76"/>
      <c r="Q101" s="9"/>
      <c r="R101" s="9"/>
      <c r="S101" s="9"/>
    </row>
    <row r="102" spans="1:19" ht="24" customHeight="1" x14ac:dyDescent="0.25">
      <c r="A102" s="25" t="s">
        <v>191</v>
      </c>
      <c r="B102" s="172" t="s">
        <v>339</v>
      </c>
      <c r="C102" s="43">
        <f>SUM(C103)</f>
        <v>205553</v>
      </c>
      <c r="D102" s="43">
        <f>SUM(D103)</f>
        <v>205553</v>
      </c>
      <c r="E102" s="43">
        <f>SUM(E103)</f>
        <v>205553</v>
      </c>
      <c r="F102" s="43">
        <f>SUM(F103)</f>
        <v>205553</v>
      </c>
      <c r="G102" s="43"/>
      <c r="H102" s="43">
        <f>SUM(H103)</f>
        <v>202337</v>
      </c>
      <c r="I102" s="7"/>
      <c r="J102" s="7"/>
      <c r="K102" s="7"/>
      <c r="L102" s="7"/>
      <c r="M102" s="2"/>
      <c r="N102" s="29"/>
      <c r="O102" s="9"/>
      <c r="P102" s="76"/>
      <c r="Q102" s="9"/>
      <c r="R102" s="9"/>
      <c r="S102" s="9"/>
    </row>
    <row r="103" spans="1:19" ht="13.5" customHeight="1" x14ac:dyDescent="0.25">
      <c r="A103" s="25"/>
      <c r="B103" s="23" t="str">
        <f>'1.Bev-kiad.'!B55</f>
        <v xml:space="preserve">   1. Belföldi finanszírozás bevételei</v>
      </c>
      <c r="C103" s="160">
        <f>SUM(C104+C109)</f>
        <v>205553</v>
      </c>
      <c r="D103" s="160">
        <f>SUM(D104+D109)</f>
        <v>205553</v>
      </c>
      <c r="E103" s="160">
        <f>SUM(E104+E109)</f>
        <v>205553</v>
      </c>
      <c r="F103" s="160">
        <f>SUM(F104+F109)</f>
        <v>205553</v>
      </c>
      <c r="G103" s="160"/>
      <c r="H103" s="160">
        <f>SUM(H104+H109)</f>
        <v>202337</v>
      </c>
      <c r="I103" s="7"/>
      <c r="J103" s="7"/>
      <c r="K103" s="7"/>
      <c r="L103" s="7"/>
      <c r="M103" s="2"/>
      <c r="N103" s="29"/>
      <c r="O103" s="9"/>
      <c r="P103" s="76"/>
      <c r="Q103" s="9"/>
      <c r="R103" s="9"/>
      <c r="S103" s="9"/>
    </row>
    <row r="104" spans="1:19" x14ac:dyDescent="0.2">
      <c r="A104" s="25"/>
      <c r="B104" s="31" t="str">
        <f>'1.Bev-kiad.'!B56</f>
        <v xml:space="preserve">        1.1. Előző év költségvetési maradványának igénybevétele</v>
      </c>
      <c r="C104" s="13">
        <f>(189486+16067)</f>
        <v>205553</v>
      </c>
      <c r="D104" s="13">
        <f>(189486+16067)</f>
        <v>205553</v>
      </c>
      <c r="E104" s="13">
        <f>(189486+16067)</f>
        <v>205553</v>
      </c>
      <c r="F104" s="13">
        <f>(189486+16067)</f>
        <v>205553</v>
      </c>
      <c r="G104" s="13"/>
      <c r="H104" s="13">
        <f>186270+16067</f>
        <v>202337</v>
      </c>
      <c r="I104" s="7"/>
      <c r="J104" s="7"/>
      <c r="K104" s="7"/>
      <c r="L104" s="7"/>
      <c r="M104" s="2"/>
      <c r="N104" s="29"/>
      <c r="O104" s="9"/>
      <c r="P104" s="76"/>
      <c r="Q104" s="9"/>
      <c r="R104" s="9"/>
      <c r="S104" s="9"/>
    </row>
    <row r="105" spans="1:19" hidden="1" x14ac:dyDescent="0.2">
      <c r="A105" s="25"/>
      <c r="B105" s="146" t="s">
        <v>836</v>
      </c>
      <c r="C105" s="13">
        <f>(381956+18883+19378+10058+5652-'3.felh'!C39+4167-34702+40056)</f>
        <v>293336</v>
      </c>
      <c r="D105" s="13">
        <f>(381956+18883+19378+10058+5652-'3.felh'!D39+4167-34702+40056)</f>
        <v>293336</v>
      </c>
      <c r="E105" s="13">
        <f>(381956+18883+19378+10058+5652-'3.felh'!E39+4167-34702+40056)</f>
        <v>293336</v>
      </c>
      <c r="F105" s="13">
        <f>(381956+18883+19378+10058+5652-'3.felh'!F39+4167-34702+40056)</f>
        <v>293336</v>
      </c>
      <c r="G105" s="13"/>
      <c r="H105" s="13">
        <f>(381956+18883+19378+10058+5652-'3.felh'!H39+4167-34702+40056)</f>
        <v>293336</v>
      </c>
      <c r="I105" s="7"/>
      <c r="J105" s="7"/>
      <c r="K105" s="7"/>
      <c r="L105" s="7"/>
      <c r="M105" s="2"/>
      <c r="N105" s="29"/>
      <c r="O105" s="9"/>
      <c r="P105" s="76"/>
      <c r="Q105" s="9"/>
      <c r="R105" s="9"/>
      <c r="S105" s="9"/>
    </row>
    <row r="106" spans="1:19" hidden="1" x14ac:dyDescent="0.2">
      <c r="A106" s="25"/>
      <c r="B106" s="146"/>
      <c r="C106" s="13"/>
      <c r="D106" s="13"/>
      <c r="E106" s="13"/>
      <c r="F106" s="13"/>
      <c r="G106" s="13"/>
      <c r="H106" s="13"/>
      <c r="I106" s="7"/>
      <c r="J106" s="7"/>
      <c r="K106" s="7"/>
      <c r="L106" s="7"/>
      <c r="M106" s="2"/>
      <c r="N106" s="29"/>
      <c r="O106" s="9"/>
      <c r="P106" s="76"/>
      <c r="Q106" s="9"/>
      <c r="R106" s="9"/>
      <c r="S106" s="9"/>
    </row>
    <row r="107" spans="1:19" hidden="1" x14ac:dyDescent="0.2">
      <c r="A107" s="25"/>
      <c r="B107" s="146" t="s">
        <v>833</v>
      </c>
      <c r="C107" s="13"/>
      <c r="D107" s="13"/>
      <c r="E107" s="13"/>
      <c r="F107" s="13"/>
      <c r="G107" s="13"/>
      <c r="H107" s="13"/>
      <c r="I107" s="7"/>
      <c r="J107" s="7"/>
      <c r="K107" s="7"/>
      <c r="L107" s="7"/>
      <c r="M107" s="2"/>
      <c r="N107" s="29"/>
      <c r="O107" s="9"/>
      <c r="P107" s="76"/>
      <c r="Q107" s="9"/>
      <c r="R107" s="9"/>
      <c r="S107" s="9"/>
    </row>
    <row r="108" spans="1:19" hidden="1" x14ac:dyDescent="0.2">
      <c r="A108" s="25"/>
      <c r="B108" s="146" t="s">
        <v>831</v>
      </c>
      <c r="C108" s="13">
        <f>(32623-4167)</f>
        <v>28456</v>
      </c>
      <c r="D108" s="13">
        <f>(32623-4167)</f>
        <v>28456</v>
      </c>
      <c r="E108" s="13">
        <f>(32623-4167)</f>
        <v>28456</v>
      </c>
      <c r="F108" s="13">
        <f>(32623-4167)</f>
        <v>28456</v>
      </c>
      <c r="G108" s="13"/>
      <c r="H108" s="13">
        <f>(32623-4167)</f>
        <v>28456</v>
      </c>
      <c r="I108" s="7"/>
      <c r="J108" s="7"/>
      <c r="K108" s="7"/>
      <c r="L108" s="7"/>
      <c r="M108" s="2"/>
      <c r="N108" s="29"/>
      <c r="O108" s="9"/>
      <c r="P108" s="76"/>
      <c r="Q108" s="9"/>
      <c r="R108" s="9"/>
      <c r="S108" s="9"/>
    </row>
    <row r="109" spans="1:19" ht="13.5" customHeight="1" x14ac:dyDescent="0.2">
      <c r="A109" s="25"/>
      <c r="B109" s="146" t="s">
        <v>487</v>
      </c>
      <c r="C109" s="13">
        <v>0</v>
      </c>
      <c r="D109" s="13">
        <v>0</v>
      </c>
      <c r="E109" s="13">
        <v>0</v>
      </c>
      <c r="F109" s="13">
        <v>0</v>
      </c>
      <c r="G109" s="13"/>
      <c r="H109" s="13">
        <v>0</v>
      </c>
      <c r="I109" s="7"/>
      <c r="J109" s="7"/>
      <c r="K109" s="7"/>
      <c r="L109" s="7"/>
      <c r="M109" s="2"/>
      <c r="N109" s="29"/>
      <c r="O109" s="9"/>
      <c r="P109" s="76"/>
      <c r="Q109" s="9"/>
      <c r="R109" s="9"/>
      <c r="S109" s="9"/>
    </row>
    <row r="110" spans="1:19" ht="13.5" customHeight="1" thickBot="1" x14ac:dyDescent="0.3">
      <c r="A110" s="25"/>
      <c r="B110" s="23" t="s">
        <v>430</v>
      </c>
      <c r="C110" s="160">
        <v>0</v>
      </c>
      <c r="D110" s="160">
        <v>0</v>
      </c>
      <c r="E110" s="160">
        <v>0</v>
      </c>
      <c r="F110" s="160">
        <v>0</v>
      </c>
      <c r="G110" s="160"/>
      <c r="H110" s="160">
        <v>0</v>
      </c>
      <c r="I110" s="7"/>
      <c r="J110" s="7"/>
      <c r="K110" s="7"/>
      <c r="L110" s="7"/>
      <c r="M110" s="2"/>
      <c r="N110" s="29"/>
      <c r="O110" s="9"/>
      <c r="P110" s="76"/>
      <c r="Q110" s="9"/>
      <c r="R110" s="9"/>
      <c r="S110" s="9"/>
    </row>
    <row r="111" spans="1:19" ht="13.5" hidden="1" customHeight="1" thickBot="1" x14ac:dyDescent="0.25">
      <c r="A111" s="632"/>
      <c r="B111" s="12" t="s">
        <v>1292</v>
      </c>
      <c r="C111" s="13">
        <v>0</v>
      </c>
      <c r="D111" s="13">
        <v>0</v>
      </c>
      <c r="E111" s="13">
        <v>0</v>
      </c>
      <c r="F111" s="13">
        <v>0</v>
      </c>
      <c r="G111" s="13"/>
      <c r="H111" s="13">
        <v>0</v>
      </c>
      <c r="I111" s="7"/>
      <c r="J111" s="7"/>
      <c r="K111" s="7"/>
      <c r="L111" s="7"/>
      <c r="M111" s="2"/>
      <c r="N111" s="29"/>
      <c r="O111" s="9"/>
      <c r="P111" s="76"/>
      <c r="Q111" s="9"/>
      <c r="R111" s="9"/>
      <c r="S111" s="9"/>
    </row>
    <row r="112" spans="1:19" ht="19.5" customHeight="1" thickBot="1" x14ac:dyDescent="0.4">
      <c r="A112" s="215"/>
      <c r="B112" s="216" t="s">
        <v>376</v>
      </c>
      <c r="C112" s="179">
        <f>SUM(C8+C102)</f>
        <v>1480803</v>
      </c>
      <c r="D112" s="179">
        <f>SUM(D8+D102)</f>
        <v>1561354</v>
      </c>
      <c r="E112" s="179">
        <f>SUM(E8+E102)</f>
        <v>1561354</v>
      </c>
      <c r="F112" s="179">
        <f>SUM(F8+F102)</f>
        <v>1654308</v>
      </c>
      <c r="G112" s="179"/>
      <c r="H112" s="179">
        <f>SUM(H8+H102)</f>
        <v>1382031</v>
      </c>
      <c r="I112" s="7"/>
      <c r="J112" s="7"/>
      <c r="K112" s="7"/>
      <c r="L112" s="7"/>
      <c r="M112" s="2"/>
      <c r="N112" s="29"/>
      <c r="O112" s="9"/>
      <c r="P112" s="76"/>
      <c r="Q112" s="9"/>
      <c r="R112" s="9"/>
      <c r="S112" s="9"/>
    </row>
    <row r="113" spans="1:19" ht="18" customHeight="1" x14ac:dyDescent="0.25">
      <c r="A113" s="147" t="s">
        <v>352</v>
      </c>
      <c r="B113" s="225" t="s">
        <v>349</v>
      </c>
      <c r="C113" s="174">
        <f>SUM(C114+C117+C120+C123+C124)</f>
        <v>1412678</v>
      </c>
      <c r="D113" s="174">
        <f>SUM(D114+D117+D120+D123+D124)</f>
        <v>1555090</v>
      </c>
      <c r="E113" s="174">
        <f>SUM(E114+E117+E120+E123+E124)</f>
        <v>1555090</v>
      </c>
      <c r="F113" s="174">
        <f>SUM(F114+F117+F120+F123+F124)</f>
        <v>1648601</v>
      </c>
      <c r="G113" s="174"/>
      <c r="H113" s="174" t="e">
        <f>SUM(H114+H117+H120+H123+H124)</f>
        <v>#REF!</v>
      </c>
      <c r="I113" s="29"/>
      <c r="J113" s="29"/>
      <c r="K113" s="29"/>
      <c r="L113" s="29"/>
      <c r="M113" s="2"/>
      <c r="N113" s="28"/>
      <c r="O113" s="9"/>
      <c r="P113" s="76"/>
      <c r="Q113" s="9"/>
      <c r="R113" s="9"/>
      <c r="S113" s="9"/>
    </row>
    <row r="114" spans="1:19" ht="18" customHeight="1" x14ac:dyDescent="0.25">
      <c r="A114" s="14" t="s">
        <v>216</v>
      </c>
      <c r="B114" s="23" t="s">
        <v>244</v>
      </c>
      <c r="C114" s="148">
        <f>SUM(C115:C116)</f>
        <v>259913</v>
      </c>
      <c r="D114" s="148">
        <f>SUM(D115:D116)</f>
        <v>262853</v>
      </c>
      <c r="E114" s="148">
        <f>SUM(E115:E116)</f>
        <v>262853</v>
      </c>
      <c r="F114" s="148">
        <f>SUM(F115:F116)</f>
        <v>262853</v>
      </c>
      <c r="G114" s="148"/>
      <c r="H114" s="148">
        <f>SUM(H115:H116)</f>
        <v>200866</v>
      </c>
      <c r="I114" s="315"/>
      <c r="J114" s="315"/>
      <c r="K114" s="315"/>
      <c r="L114" s="315"/>
      <c r="M114" s="2"/>
      <c r="N114" s="28"/>
      <c r="O114" s="9"/>
      <c r="P114" s="76"/>
      <c r="Q114" s="9"/>
      <c r="R114" s="9"/>
      <c r="S114" s="9"/>
    </row>
    <row r="115" spans="1:19" ht="13.5" customHeight="1" x14ac:dyDescent="0.2">
      <c r="A115" s="14"/>
      <c r="B115" s="228" t="s">
        <v>408</v>
      </c>
      <c r="C115" s="196">
        <f>SUM('8.Önk.'!BK28)</f>
        <v>52402</v>
      </c>
      <c r="D115" s="196">
        <f>SUM('8.Önk.'!BL28)</f>
        <v>55342</v>
      </c>
      <c r="E115" s="196">
        <f>SUM('8.Önk.'!BM28)</f>
        <v>55342</v>
      </c>
      <c r="F115" s="196">
        <f>SUM('8.Önk.'!BN28)</f>
        <v>55342</v>
      </c>
      <c r="G115" s="196"/>
      <c r="H115" s="196">
        <f>SUM('8.Önk.'!BP28)</f>
        <v>46254</v>
      </c>
      <c r="I115" s="7"/>
      <c r="J115" s="7"/>
      <c r="K115" s="315"/>
      <c r="L115" s="7"/>
      <c r="M115" s="2"/>
      <c r="N115" s="28"/>
      <c r="O115" s="9"/>
      <c r="P115" s="76"/>
      <c r="Q115" s="9"/>
      <c r="R115" s="9"/>
      <c r="S115" s="9"/>
    </row>
    <row r="116" spans="1:19" ht="13.5" customHeight="1" x14ac:dyDescent="0.2">
      <c r="A116" s="14"/>
      <c r="B116" s="228" t="s">
        <v>450</v>
      </c>
      <c r="C116" s="196">
        <f>SUM('9.Hivatal'!T23)</f>
        <v>207511</v>
      </c>
      <c r="D116" s="196">
        <f>SUM('9.Hivatal'!U23)</f>
        <v>207511</v>
      </c>
      <c r="E116" s="196">
        <f>SUM('9.Hivatal'!V23)</f>
        <v>207511</v>
      </c>
      <c r="F116" s="196">
        <f>SUM('9.Hivatal'!W23)</f>
        <v>207511</v>
      </c>
      <c r="G116" s="196"/>
      <c r="H116" s="196">
        <f>SUM('9.Hivatal'!Y23)</f>
        <v>154612</v>
      </c>
      <c r="I116" s="7"/>
      <c r="J116" s="7"/>
      <c r="K116" s="315"/>
      <c r="L116" s="7"/>
      <c r="M116" s="2"/>
      <c r="N116" s="28"/>
      <c r="O116" s="9"/>
      <c r="P116" s="76"/>
      <c r="Q116" s="9"/>
      <c r="R116" s="9"/>
      <c r="S116" s="9"/>
    </row>
    <row r="117" spans="1:19" ht="18" customHeight="1" x14ac:dyDescent="0.25">
      <c r="A117" s="14" t="s">
        <v>217</v>
      </c>
      <c r="B117" s="23" t="s">
        <v>245</v>
      </c>
      <c r="C117" s="148">
        <f>SUM(C118:C119)</f>
        <v>34055</v>
      </c>
      <c r="D117" s="148">
        <f>SUM(D118:D119)</f>
        <v>34399</v>
      </c>
      <c r="E117" s="148">
        <f>SUM(E118:E119)</f>
        <v>34399</v>
      </c>
      <c r="F117" s="148">
        <f>SUM(F118:F119)</f>
        <v>34399</v>
      </c>
      <c r="G117" s="148"/>
      <c r="H117" s="148">
        <f>SUM(H118:H119)</f>
        <v>33881</v>
      </c>
      <c r="I117" s="7"/>
      <c r="J117" s="7"/>
      <c r="K117" s="315"/>
      <c r="L117" s="7"/>
      <c r="M117" s="2"/>
      <c r="N117" s="28"/>
      <c r="O117" s="9"/>
      <c r="P117" s="76"/>
      <c r="Q117" s="9"/>
      <c r="R117" s="9"/>
      <c r="S117" s="9"/>
    </row>
    <row r="118" spans="1:19" ht="13.5" customHeight="1" x14ac:dyDescent="0.2">
      <c r="A118" s="14"/>
      <c r="B118" s="228" t="s">
        <v>409</v>
      </c>
      <c r="C118" s="196">
        <f>SUM('8.Önk.'!BK32)</f>
        <v>7120</v>
      </c>
      <c r="D118" s="196">
        <f>SUM('8.Önk.'!BL32)</f>
        <v>7464</v>
      </c>
      <c r="E118" s="196">
        <f>SUM('8.Önk.'!BM32)</f>
        <v>7464</v>
      </c>
      <c r="F118" s="196">
        <f>SUM('8.Önk.'!BN32)</f>
        <v>7464</v>
      </c>
      <c r="G118" s="196"/>
      <c r="H118" s="196">
        <f>SUM('8.Önk.'!BP32)</f>
        <v>6431</v>
      </c>
      <c r="I118" s="7"/>
      <c r="J118" s="7"/>
      <c r="K118" s="315"/>
      <c r="L118" s="7"/>
      <c r="M118" s="2"/>
      <c r="N118" s="28"/>
      <c r="O118" s="9"/>
      <c r="P118" s="76"/>
      <c r="Q118" s="9"/>
      <c r="R118" s="9"/>
      <c r="S118" s="9"/>
    </row>
    <row r="119" spans="1:19" ht="13.5" customHeight="1" x14ac:dyDescent="0.2">
      <c r="A119" s="14"/>
      <c r="B119" s="228" t="s">
        <v>449</v>
      </c>
      <c r="C119" s="196">
        <f>SUM('9.Hivatal'!T26)</f>
        <v>26935</v>
      </c>
      <c r="D119" s="196">
        <f>SUM('9.Hivatal'!U26)</f>
        <v>26935</v>
      </c>
      <c r="E119" s="196">
        <f>SUM('9.Hivatal'!V26)</f>
        <v>26935</v>
      </c>
      <c r="F119" s="196">
        <f>SUM('9.Hivatal'!W26)</f>
        <v>26935</v>
      </c>
      <c r="G119" s="196"/>
      <c r="H119" s="196">
        <f>SUM('9.Hivatal'!Y26)</f>
        <v>27450</v>
      </c>
      <c r="I119" s="7"/>
      <c r="J119" s="7"/>
      <c r="K119" s="315"/>
      <c r="L119" s="7"/>
      <c r="M119" s="2"/>
      <c r="N119" s="28"/>
      <c r="O119" s="9"/>
      <c r="P119" s="76"/>
      <c r="Q119" s="9"/>
      <c r="R119" s="9"/>
      <c r="S119" s="9"/>
    </row>
    <row r="120" spans="1:19" ht="18" customHeight="1" x14ac:dyDescent="0.25">
      <c r="A120" s="14" t="s">
        <v>218</v>
      </c>
      <c r="B120" s="23" t="s">
        <v>246</v>
      </c>
      <c r="C120" s="36">
        <f>SUM(C121:C122)</f>
        <v>480535</v>
      </c>
      <c r="D120" s="36">
        <f>SUM(D121:D122)</f>
        <v>541166</v>
      </c>
      <c r="E120" s="36">
        <f>SUM(E121:E122)</f>
        <v>541166</v>
      </c>
      <c r="F120" s="36">
        <f>SUM(F121:F122)</f>
        <v>555922</v>
      </c>
      <c r="G120" s="36"/>
      <c r="H120" s="36">
        <f>SUM(H121:H122)</f>
        <v>139278</v>
      </c>
      <c r="I120" s="7"/>
      <c r="J120" s="7"/>
      <c r="K120" s="315"/>
      <c r="L120" s="7"/>
      <c r="M120" s="2"/>
      <c r="N120" s="28"/>
      <c r="O120" s="9"/>
      <c r="P120" s="76"/>
      <c r="Q120" s="9"/>
      <c r="R120" s="9"/>
      <c r="S120" s="9"/>
    </row>
    <row r="121" spans="1:19" ht="13.5" customHeight="1" x14ac:dyDescent="0.2">
      <c r="A121" s="8"/>
      <c r="B121" s="228" t="s">
        <v>409</v>
      </c>
      <c r="C121" s="176">
        <f>SUM('8.Önk.'!BK92)</f>
        <v>443776</v>
      </c>
      <c r="D121" s="176">
        <f>SUM('8.Önk.'!BL92)</f>
        <v>504351</v>
      </c>
      <c r="E121" s="176">
        <f>SUM('8.Önk.'!BM92)</f>
        <v>504351</v>
      </c>
      <c r="F121" s="176">
        <f>SUM('8.Önk.'!BN92)</f>
        <v>512670</v>
      </c>
      <c r="G121" s="176"/>
      <c r="H121" s="176">
        <f>SUM('8.Önk.'!BP92)</f>
        <v>120942</v>
      </c>
      <c r="I121" s="7"/>
      <c r="J121" s="7"/>
      <c r="K121" s="315"/>
      <c r="L121" s="7"/>
      <c r="M121" s="2"/>
      <c r="N121" s="28"/>
      <c r="O121" s="9"/>
      <c r="P121" s="76"/>
      <c r="Q121" s="9"/>
      <c r="R121" s="9"/>
      <c r="S121" s="9"/>
    </row>
    <row r="122" spans="1:19" ht="13.5" customHeight="1" x14ac:dyDescent="0.2">
      <c r="A122" s="8"/>
      <c r="B122" s="228" t="s">
        <v>449</v>
      </c>
      <c r="C122" s="176">
        <f>SUM('9.Hivatal'!T73)</f>
        <v>36759</v>
      </c>
      <c r="D122" s="176">
        <f>SUM('9.Hivatal'!U73)</f>
        <v>36815</v>
      </c>
      <c r="E122" s="176">
        <f>SUM('9.Hivatal'!V73)</f>
        <v>36815</v>
      </c>
      <c r="F122" s="176">
        <f>SUM('9.Hivatal'!W73)</f>
        <v>43252</v>
      </c>
      <c r="G122" s="176"/>
      <c r="H122" s="176">
        <f>SUM('9.Hivatal'!Y73)</f>
        <v>18336</v>
      </c>
      <c r="I122" s="7"/>
      <c r="J122" s="7"/>
      <c r="K122" s="315"/>
      <c r="L122" s="7"/>
      <c r="M122" s="2"/>
      <c r="N122" s="28"/>
      <c r="O122" s="9"/>
      <c r="P122" s="76"/>
      <c r="Q122" s="9"/>
      <c r="R122" s="9"/>
      <c r="S122" s="9"/>
    </row>
    <row r="123" spans="1:19" ht="18" customHeight="1" x14ac:dyDescent="0.25">
      <c r="A123" s="14" t="s">
        <v>219</v>
      </c>
      <c r="B123" s="23" t="s">
        <v>439</v>
      </c>
      <c r="C123" s="36">
        <f>SUM('8.Önk.'!BK93)</f>
        <v>11500</v>
      </c>
      <c r="D123" s="36">
        <f>SUM('8.Önk.'!BL93)</f>
        <v>11500</v>
      </c>
      <c r="E123" s="36">
        <f>SUM('8.Önk.'!BM93)</f>
        <v>11500</v>
      </c>
      <c r="F123" s="36">
        <f>SUM('8.Önk.'!BN93)</f>
        <v>11500</v>
      </c>
      <c r="G123" s="36"/>
      <c r="H123" s="36">
        <f>SUM('8.Önk.'!BP93)</f>
        <v>300</v>
      </c>
      <c r="I123" s="7"/>
      <c r="J123" s="7"/>
      <c r="K123" s="315"/>
      <c r="L123" s="7"/>
      <c r="M123" s="2"/>
      <c r="N123" s="28"/>
      <c r="O123" s="9"/>
      <c r="P123" s="76"/>
      <c r="Q123" s="9"/>
      <c r="R123" s="9"/>
      <c r="S123" s="9"/>
    </row>
    <row r="124" spans="1:19" ht="18" customHeight="1" x14ac:dyDescent="0.25">
      <c r="A124" s="14" t="s">
        <v>220</v>
      </c>
      <c r="B124" s="23" t="s">
        <v>331</v>
      </c>
      <c r="C124" s="36">
        <f>SUM(C125:C126)</f>
        <v>626675</v>
      </c>
      <c r="D124" s="36">
        <f>SUM(D125:D126)</f>
        <v>705172</v>
      </c>
      <c r="E124" s="36">
        <f>SUM(E125:E126)</f>
        <v>705172</v>
      </c>
      <c r="F124" s="36">
        <f>SUM(F125:F126)</f>
        <v>783927</v>
      </c>
      <c r="G124" s="36"/>
      <c r="H124" s="36" t="e">
        <f>SUM(H125:H126)</f>
        <v>#REF!</v>
      </c>
      <c r="I124" s="7"/>
      <c r="J124" s="7"/>
      <c r="K124" s="315"/>
      <c r="L124" s="7"/>
      <c r="M124" s="2"/>
      <c r="N124" s="28"/>
      <c r="O124" s="9"/>
      <c r="P124" s="76"/>
      <c r="Q124" s="9"/>
      <c r="R124" s="9"/>
      <c r="S124" s="9"/>
    </row>
    <row r="125" spans="1:19" ht="15" customHeight="1" thickBot="1" x14ac:dyDescent="0.25">
      <c r="A125" s="14"/>
      <c r="B125" s="8" t="s">
        <v>1291</v>
      </c>
      <c r="C125" s="32">
        <f>SUM('4. Átadott p.eszk.'!B67)</f>
        <v>496283</v>
      </c>
      <c r="D125" s="32">
        <f>SUM('4. Átadott p.eszk.'!C67)</f>
        <v>516269</v>
      </c>
      <c r="E125" s="32">
        <f>SUM('4. Átadott p.eszk.'!D67)</f>
        <v>516269</v>
      </c>
      <c r="F125" s="32">
        <f>SUM('4. Átadott p.eszk.'!E67)</f>
        <v>542862</v>
      </c>
      <c r="G125" s="675"/>
      <c r="H125" s="675" t="e">
        <f>SUM('4. Átadott p.eszk.'!G67)+512</f>
        <v>#REF!</v>
      </c>
      <c r="I125" s="7"/>
      <c r="J125" s="7"/>
      <c r="K125" s="315"/>
      <c r="L125" s="7"/>
      <c r="M125" s="2"/>
      <c r="N125" s="28"/>
      <c r="O125" s="9"/>
      <c r="P125" s="76"/>
      <c r="Q125" s="9"/>
      <c r="R125" s="9"/>
      <c r="S125" s="9"/>
    </row>
    <row r="126" spans="1:19" ht="15" customHeight="1" thickBot="1" x14ac:dyDescent="0.25">
      <c r="A126" s="14"/>
      <c r="B126" s="8" t="s">
        <v>332</v>
      </c>
      <c r="C126" s="678">
        <v>130392</v>
      </c>
      <c r="D126" s="678">
        <f>130392-9525-1143+(-10900+25500+6885-8087)+1000-854-169-1500-488-179-29-2000+60000</f>
        <v>188903</v>
      </c>
      <c r="E126" s="678">
        <f>130392-9525-1143+(-10900+25500+6885-8087)+1000-854-169-1500-488-179-29-2000+60000</f>
        <v>188903</v>
      </c>
      <c r="F126" s="678">
        <f>(130392-9525-1143+(-10900+25500+6885-8087)+1000-854-169-1500-488-179-29-2000+60000)-1105-2563-950+3940+50000+4000-1160</f>
        <v>241065</v>
      </c>
      <c r="G126" s="542"/>
      <c r="H126" s="542">
        <f t="shared" ref="H126" si="19">50000+41565</f>
        <v>91565</v>
      </c>
      <c r="I126" s="7">
        <f>F126-D126</f>
        <v>52162</v>
      </c>
      <c r="J126" s="7"/>
      <c r="K126" s="315"/>
      <c r="L126" s="7"/>
      <c r="M126" s="2"/>
      <c r="N126" s="28"/>
      <c r="O126" s="9"/>
      <c r="P126" s="76"/>
      <c r="Q126" s="9"/>
      <c r="R126" s="9"/>
      <c r="S126" s="9"/>
    </row>
    <row r="127" spans="1:19" hidden="1" x14ac:dyDescent="0.2">
      <c r="A127" s="14"/>
      <c r="B127" s="151" t="s">
        <v>823</v>
      </c>
      <c r="C127" s="117"/>
      <c r="D127" s="117"/>
      <c r="E127" s="117"/>
      <c r="F127" s="73"/>
      <c r="G127" s="73"/>
      <c r="H127" s="73"/>
      <c r="I127" s="7"/>
      <c r="J127" s="7"/>
      <c r="K127" s="315"/>
      <c r="L127" s="7"/>
      <c r="M127" s="2"/>
      <c r="N127" s="28"/>
      <c r="O127" s="9"/>
      <c r="P127" s="76"/>
      <c r="Q127" s="9"/>
      <c r="R127" s="9"/>
      <c r="S127" s="9"/>
    </row>
    <row r="128" spans="1:19" ht="17.25" customHeight="1" x14ac:dyDescent="0.25">
      <c r="A128" s="14" t="s">
        <v>206</v>
      </c>
      <c r="B128" s="172" t="s">
        <v>343</v>
      </c>
      <c r="C128" s="43">
        <f t="shared" ref="C128:H129" si="20">SUM(C129)</f>
        <v>19840</v>
      </c>
      <c r="D128" s="43">
        <f t="shared" si="20"/>
        <v>19840</v>
      </c>
      <c r="E128" s="43">
        <f t="shared" si="20"/>
        <v>19840</v>
      </c>
      <c r="F128" s="43">
        <f t="shared" si="20"/>
        <v>19840</v>
      </c>
      <c r="G128" s="43"/>
      <c r="H128" s="43">
        <f t="shared" si="20"/>
        <v>19840</v>
      </c>
      <c r="I128" s="7"/>
      <c r="J128" s="7"/>
      <c r="K128" s="315"/>
      <c r="L128" s="7"/>
      <c r="M128" s="2"/>
      <c r="N128" s="28"/>
      <c r="O128" s="9"/>
      <c r="P128" s="76"/>
      <c r="Q128" s="9"/>
      <c r="R128" s="9"/>
      <c r="S128" s="9"/>
    </row>
    <row r="129" spans="1:19" ht="15" customHeight="1" x14ac:dyDescent="0.25">
      <c r="A129" s="14"/>
      <c r="B129" s="189" t="s">
        <v>378</v>
      </c>
      <c r="C129" s="43">
        <f t="shared" si="20"/>
        <v>19840</v>
      </c>
      <c r="D129" s="43">
        <f t="shared" si="20"/>
        <v>19840</v>
      </c>
      <c r="E129" s="43">
        <f t="shared" si="20"/>
        <v>19840</v>
      </c>
      <c r="F129" s="43">
        <f t="shared" si="20"/>
        <v>19840</v>
      </c>
      <c r="G129" s="43"/>
      <c r="H129" s="43">
        <f t="shared" si="20"/>
        <v>19840</v>
      </c>
      <c r="I129" s="7"/>
      <c r="J129" s="7"/>
      <c r="K129" s="315"/>
      <c r="L129" s="7"/>
      <c r="M129" s="2"/>
      <c r="N129" s="28"/>
      <c r="O129" s="9"/>
      <c r="P129" s="76"/>
      <c r="Q129" s="9"/>
      <c r="R129" s="9"/>
      <c r="S129" s="9"/>
    </row>
    <row r="130" spans="1:19" ht="13.5" customHeight="1" thickBot="1" x14ac:dyDescent="0.25">
      <c r="A130" s="14" t="s">
        <v>385</v>
      </c>
      <c r="B130" s="8" t="s">
        <v>389</v>
      </c>
      <c r="C130" s="13">
        <v>19840</v>
      </c>
      <c r="D130" s="13">
        <v>19840</v>
      </c>
      <c r="E130" s="13">
        <v>19840</v>
      </c>
      <c r="F130" s="13">
        <v>19840</v>
      </c>
      <c r="G130" s="13"/>
      <c r="H130" s="13">
        <v>19840</v>
      </c>
      <c r="I130" s="7">
        <v>19839902</v>
      </c>
      <c r="J130" s="7"/>
      <c r="K130" s="315"/>
      <c r="L130" s="7"/>
      <c r="M130" s="2"/>
      <c r="N130" s="28"/>
      <c r="O130" s="9"/>
      <c r="P130" s="76"/>
      <c r="Q130" s="9"/>
      <c r="R130" s="9"/>
      <c r="S130" s="9"/>
    </row>
    <row r="131" spans="1:19" ht="15" hidden="1" customHeight="1" thickBot="1" x14ac:dyDescent="0.3">
      <c r="A131" s="14"/>
      <c r="B131" s="189" t="s">
        <v>380</v>
      </c>
      <c r="C131" s="43"/>
      <c r="D131" s="43"/>
      <c r="E131" s="43"/>
      <c r="F131" s="43"/>
      <c r="G131" s="43"/>
      <c r="H131" s="43"/>
      <c r="I131" s="7"/>
      <c r="J131" s="7"/>
      <c r="K131" s="315"/>
      <c r="L131" s="7"/>
      <c r="M131" s="2"/>
      <c r="N131" s="28"/>
      <c r="O131" s="9"/>
      <c r="P131" s="76"/>
      <c r="Q131" s="9"/>
      <c r="R131" s="9"/>
      <c r="S131" s="9"/>
    </row>
    <row r="132" spans="1:19" ht="15" hidden="1" customHeight="1" thickBot="1" x14ac:dyDescent="0.3">
      <c r="A132" s="22"/>
      <c r="B132" s="186" t="s">
        <v>381</v>
      </c>
      <c r="C132" s="171"/>
      <c r="D132" s="171"/>
      <c r="E132" s="171"/>
      <c r="F132" s="171"/>
      <c r="G132" s="171"/>
      <c r="H132" s="171"/>
      <c r="I132" s="7"/>
      <c r="J132" s="7"/>
      <c r="K132" s="315"/>
      <c r="L132" s="7"/>
      <c r="M132" s="2"/>
      <c r="N132" s="28"/>
      <c r="O132" s="9"/>
      <c r="P132" s="76"/>
      <c r="Q132" s="9"/>
      <c r="R132" s="9"/>
      <c r="S132" s="9"/>
    </row>
    <row r="133" spans="1:19" ht="21.75" customHeight="1" thickBot="1" x14ac:dyDescent="0.4">
      <c r="A133" s="215"/>
      <c r="B133" s="216" t="s">
        <v>32</v>
      </c>
      <c r="C133" s="179">
        <f>SUM(C113+C128)</f>
        <v>1432518</v>
      </c>
      <c r="D133" s="179">
        <f>SUM(D113+D128)</f>
        <v>1574930</v>
      </c>
      <c r="E133" s="179">
        <f>SUM(E113+E128)</f>
        <v>1574930</v>
      </c>
      <c r="F133" s="179">
        <f>SUM(F113+F128)</f>
        <v>1668441</v>
      </c>
      <c r="G133" s="755"/>
      <c r="H133" s="48" t="e">
        <f>SUM(H113+H128)</f>
        <v>#REF!</v>
      </c>
      <c r="I133" s="7"/>
      <c r="J133" s="7"/>
      <c r="K133" s="315"/>
      <c r="L133" s="7"/>
      <c r="M133" s="2"/>
      <c r="N133" s="28"/>
      <c r="O133" s="9"/>
      <c r="P133" s="76"/>
      <c r="Q133" s="9"/>
      <c r="R133" s="9"/>
      <c r="S133" s="9"/>
    </row>
    <row r="134" spans="1:19" ht="15.75" hidden="1" customHeight="1" x14ac:dyDescent="0.2">
      <c r="B134" s="90" t="s">
        <v>880</v>
      </c>
      <c r="C134" s="7">
        <f>SUM(C8-C114-C117-C120-C125-C123-C130+C126)</f>
        <v>103516</v>
      </c>
      <c r="D134" s="7">
        <f>SUM(D8-D114-D117-D120-D125-D123-D130+D126)</f>
        <v>158677</v>
      </c>
      <c r="E134" s="263" t="e">
        <f>SUM(E8-E114-E117-E120-E125-E123+'8.Önk.'!#REF!+'8.Önk.'!#REF!+'8.Önk.'!#REF!+'8.Önk.'!I70)</f>
        <v>#REF!</v>
      </c>
      <c r="F134" s="263" t="e">
        <f>SUM(F8-F114-F117-F120-F125-F123+'8.Önk.'!#REF!+'8.Önk.'!#REF!+'8.Önk.'!#REF!+'8.Önk.'!J70)</f>
        <v>#REF!</v>
      </c>
      <c r="G134" s="263"/>
      <c r="H134" s="263" t="e">
        <f>SUM(H8-H114-H117-H120-H125-H123+'8.Önk.'!#REF!+'8.Önk.'!#REF!+'8.Önk.'!#REF!+'8.Önk.'!K70)</f>
        <v>#REF!</v>
      </c>
      <c r="I134" s="164"/>
      <c r="J134" s="164"/>
      <c r="K134" s="315"/>
      <c r="L134" s="164"/>
      <c r="M134" s="2"/>
      <c r="N134" s="28"/>
      <c r="O134" s="9"/>
      <c r="P134" s="9"/>
      <c r="Q134" s="9"/>
      <c r="R134" s="9"/>
      <c r="S134" s="9"/>
    </row>
    <row r="135" spans="1:19" ht="15.75" hidden="1" customHeight="1" x14ac:dyDescent="0.2">
      <c r="B135" s="90" t="s">
        <v>980</v>
      </c>
      <c r="C135" s="7">
        <f>SUM('8.Önk.'!O140)</f>
        <v>71827</v>
      </c>
      <c r="D135" s="7">
        <f>SUM('8.Önk.'!P139)</f>
        <v>0</v>
      </c>
      <c r="E135" s="263"/>
      <c r="F135" s="263"/>
      <c r="G135" s="263"/>
      <c r="H135" s="263"/>
      <c r="I135" s="7"/>
      <c r="J135" s="7"/>
      <c r="K135" s="315"/>
      <c r="L135" s="7"/>
      <c r="M135" s="2"/>
      <c r="N135" s="28"/>
      <c r="O135" s="9"/>
      <c r="P135" s="9"/>
      <c r="Q135" s="9"/>
      <c r="R135" s="9"/>
      <c r="S135" s="9"/>
    </row>
    <row r="136" spans="1:19" ht="15.75" hidden="1" customHeight="1" x14ac:dyDescent="0.2">
      <c r="B136" s="90" t="s">
        <v>981</v>
      </c>
      <c r="C136" s="7" t="e">
        <f>SUM('8.Önk.'!#REF!+'8.Önk.'!#REF!)</f>
        <v>#REF!</v>
      </c>
      <c r="D136" s="7" t="e">
        <f>SUM('8.Önk.'!AZ109+'8.Önk.'!#REF!)</f>
        <v>#REF!</v>
      </c>
      <c r="E136" s="263"/>
      <c r="F136" s="263"/>
      <c r="G136" s="263"/>
      <c r="H136" s="263"/>
      <c r="I136" s="7"/>
      <c r="J136" s="7"/>
      <c r="K136" s="315"/>
      <c r="L136" s="7"/>
      <c r="M136" s="2"/>
      <c r="N136" s="28"/>
      <c r="O136" s="9"/>
      <c r="P136" s="9"/>
      <c r="Q136" s="9"/>
      <c r="R136" s="9"/>
      <c r="S136" s="9"/>
    </row>
    <row r="137" spans="1:19" ht="15.75" hidden="1" customHeight="1" x14ac:dyDescent="0.2">
      <c r="B137" s="90" t="s">
        <v>986</v>
      </c>
      <c r="C137" s="546" t="e">
        <f>SUM(C134+C135+C136)</f>
        <v>#REF!</v>
      </c>
      <c r="D137" s="546" t="e">
        <f>SUM(D134+D135+D136)</f>
        <v>#REF!</v>
      </c>
      <c r="E137" s="263"/>
      <c r="F137" s="263"/>
      <c r="G137" s="263"/>
      <c r="H137" s="263"/>
      <c r="I137" s="7"/>
      <c r="J137" s="7"/>
      <c r="K137" s="315"/>
      <c r="L137" s="7"/>
      <c r="M137" s="2"/>
      <c r="N137" s="28"/>
      <c r="O137" s="9"/>
      <c r="P137" s="9"/>
      <c r="Q137" s="9"/>
      <c r="R137" s="9"/>
      <c r="S137" s="9"/>
    </row>
    <row r="138" spans="1:19" ht="15.75" customHeight="1" x14ac:dyDescent="0.2">
      <c r="C138" s="7"/>
      <c r="D138" s="2"/>
      <c r="E138" s="90"/>
      <c r="F138" s="2"/>
      <c r="G138" s="2"/>
      <c r="H138" s="2"/>
      <c r="I138" s="7"/>
      <c r="J138" s="7"/>
      <c r="K138" s="315"/>
      <c r="L138" s="7"/>
      <c r="M138" s="2"/>
      <c r="N138" s="28"/>
      <c r="O138" s="9"/>
      <c r="P138" s="9"/>
      <c r="Q138" s="9"/>
      <c r="R138" s="9"/>
      <c r="S138" s="9"/>
    </row>
    <row r="139" spans="1:19" ht="15.75" customHeight="1" x14ac:dyDescent="0.2">
      <c r="C139" s="2"/>
      <c r="D139" s="2"/>
      <c r="E139" s="90"/>
      <c r="F139" s="2"/>
      <c r="G139" s="2"/>
      <c r="H139" s="2"/>
      <c r="I139" s="7"/>
      <c r="J139" s="7"/>
      <c r="K139" s="315"/>
      <c r="L139" s="7"/>
      <c r="M139" s="2"/>
      <c r="N139" s="28"/>
      <c r="O139" s="9"/>
      <c r="P139" s="9"/>
      <c r="Q139" s="9"/>
      <c r="R139" s="9"/>
      <c r="S139" s="9"/>
    </row>
    <row r="140" spans="1:19" ht="15.75" customHeight="1" x14ac:dyDescent="0.2">
      <c r="C140" s="2"/>
      <c r="D140" s="2"/>
      <c r="E140" s="90"/>
      <c r="F140" s="2"/>
      <c r="G140" s="2"/>
      <c r="H140" s="2"/>
      <c r="I140" s="7"/>
      <c r="J140" s="7"/>
      <c r="K140" s="315"/>
      <c r="L140" s="7"/>
      <c r="M140" s="2"/>
      <c r="N140" s="28"/>
      <c r="O140" s="9"/>
      <c r="P140" s="9"/>
      <c r="Q140" s="9"/>
      <c r="R140" s="9"/>
      <c r="S140" s="9"/>
    </row>
    <row r="141" spans="1:19" ht="15.75" customHeight="1" x14ac:dyDescent="0.2">
      <c r="C141" s="2"/>
      <c r="D141" s="2"/>
      <c r="E141" s="90"/>
      <c r="F141" s="2"/>
      <c r="G141" s="2"/>
      <c r="H141" s="2"/>
      <c r="I141" s="7"/>
      <c r="J141" s="7"/>
      <c r="K141" s="7"/>
      <c r="L141" s="7"/>
      <c r="M141" s="2"/>
      <c r="N141" s="28"/>
      <c r="O141" s="9"/>
      <c r="P141" s="9"/>
      <c r="Q141" s="9"/>
      <c r="R141" s="9"/>
      <c r="S141" s="9"/>
    </row>
    <row r="142" spans="1:19" ht="15.75" customHeight="1" x14ac:dyDescent="0.2">
      <c r="B142" s="2"/>
      <c r="C142" s="2"/>
      <c r="D142" s="2"/>
      <c r="E142" s="90"/>
      <c r="F142" s="2"/>
      <c r="G142" s="2"/>
      <c r="H142" s="2"/>
      <c r="I142" s="7"/>
      <c r="J142" s="7"/>
      <c r="K142" s="7"/>
      <c r="L142" s="7"/>
      <c r="M142" s="2"/>
      <c r="N142" s="28"/>
      <c r="O142" s="9"/>
      <c r="P142" s="9"/>
      <c r="Q142" s="9"/>
      <c r="R142" s="9"/>
      <c r="S142" s="9"/>
    </row>
    <row r="143" spans="1:19" ht="15.75" customHeight="1" x14ac:dyDescent="0.2">
      <c r="B143" s="2"/>
      <c r="C143" s="2"/>
      <c r="D143" s="2"/>
      <c r="E143" s="90"/>
      <c r="F143" s="2"/>
      <c r="G143" s="2"/>
      <c r="H143" s="2"/>
      <c r="I143" s="7"/>
      <c r="J143" s="7"/>
      <c r="K143" s="7"/>
      <c r="L143" s="7"/>
      <c r="M143" s="2"/>
      <c r="N143" s="28"/>
      <c r="O143" s="9"/>
      <c r="P143" s="9"/>
      <c r="Q143" s="9"/>
      <c r="R143" s="9"/>
      <c r="S143" s="9"/>
    </row>
    <row r="144" spans="1:19" ht="15.75" customHeight="1" x14ac:dyDescent="0.2">
      <c r="B144" s="2"/>
      <c r="C144" s="2"/>
      <c r="D144" s="2"/>
      <c r="E144" s="90"/>
      <c r="F144" s="2"/>
      <c r="G144" s="2"/>
      <c r="H144" s="2"/>
      <c r="I144" s="7"/>
      <c r="J144" s="7"/>
      <c r="K144" s="7"/>
      <c r="L144" s="7"/>
      <c r="M144" s="2"/>
      <c r="N144" s="28"/>
      <c r="O144" s="9"/>
      <c r="P144" s="9"/>
      <c r="Q144" s="9"/>
      <c r="R144" s="9"/>
      <c r="S144" s="9"/>
    </row>
    <row r="145" spans="2:19" ht="15.75" customHeight="1" x14ac:dyDescent="0.2">
      <c r="B145" s="2"/>
      <c r="C145" s="2"/>
      <c r="D145" s="2"/>
      <c r="E145" s="90"/>
      <c r="F145" s="2"/>
      <c r="G145" s="2"/>
      <c r="H145" s="2"/>
      <c r="I145" s="7"/>
      <c r="J145" s="7"/>
      <c r="K145" s="7"/>
      <c r="L145" s="7"/>
      <c r="M145" s="2"/>
      <c r="N145" s="28"/>
      <c r="O145" s="9"/>
      <c r="P145" s="9"/>
      <c r="Q145" s="9"/>
      <c r="R145" s="9"/>
      <c r="S145" s="9"/>
    </row>
    <row r="146" spans="2:19" ht="15.75" customHeight="1" x14ac:dyDescent="0.2">
      <c r="B146" s="2"/>
      <c r="C146" s="2"/>
      <c r="D146" s="2"/>
      <c r="E146" s="90"/>
      <c r="F146" s="2"/>
      <c r="G146" s="2"/>
      <c r="H146" s="2"/>
      <c r="I146" s="7"/>
      <c r="J146" s="7"/>
      <c r="K146" s="7"/>
      <c r="L146" s="7"/>
      <c r="M146" s="2"/>
      <c r="N146" s="28"/>
      <c r="O146" s="9"/>
      <c r="P146" s="9"/>
      <c r="Q146" s="9"/>
      <c r="R146" s="9"/>
      <c r="S146" s="9"/>
    </row>
    <row r="147" spans="2:19" ht="15.75" customHeight="1" x14ac:dyDescent="0.2">
      <c r="B147" s="2"/>
      <c r="C147" s="2"/>
      <c r="D147" s="2"/>
      <c r="E147" s="90"/>
      <c r="F147" s="2"/>
      <c r="G147" s="2"/>
      <c r="H147" s="2"/>
      <c r="I147" s="7"/>
      <c r="J147" s="7"/>
      <c r="K147" s="7"/>
      <c r="L147" s="7"/>
      <c r="M147" s="2"/>
      <c r="N147" s="28"/>
      <c r="O147" s="9"/>
      <c r="P147" s="9"/>
      <c r="Q147" s="9"/>
      <c r="R147" s="9"/>
      <c r="S147" s="9"/>
    </row>
    <row r="148" spans="2:19" ht="15.75" customHeight="1" x14ac:dyDescent="0.2">
      <c r="B148" s="2"/>
      <c r="C148" s="2"/>
      <c r="D148" s="2"/>
      <c r="E148" s="90"/>
      <c r="F148" s="2"/>
      <c r="G148" s="2"/>
      <c r="H148" s="2"/>
      <c r="I148" s="7"/>
      <c r="J148" s="7"/>
      <c r="K148" s="7"/>
      <c r="L148" s="7"/>
      <c r="M148" s="2"/>
      <c r="N148" s="28"/>
      <c r="O148" s="9"/>
      <c r="P148" s="9"/>
      <c r="Q148" s="9"/>
      <c r="R148" s="9"/>
      <c r="S148" s="9"/>
    </row>
    <row r="149" spans="2:19" ht="15.75" customHeight="1" x14ac:dyDescent="0.2">
      <c r="B149" s="2"/>
      <c r="C149" s="2"/>
      <c r="D149" s="2"/>
      <c r="E149" s="90"/>
      <c r="F149" s="2"/>
      <c r="G149" s="2"/>
      <c r="H149" s="2"/>
      <c r="I149" s="7"/>
      <c r="J149" s="7"/>
      <c r="K149" s="7"/>
      <c r="L149" s="7"/>
      <c r="M149" s="2"/>
      <c r="N149" s="28"/>
      <c r="O149" s="9"/>
      <c r="P149" s="9"/>
      <c r="Q149" s="9"/>
      <c r="R149" s="9"/>
      <c r="S149" s="9"/>
    </row>
    <row r="150" spans="2:19" ht="15.75" customHeight="1" x14ac:dyDescent="0.2">
      <c r="B150" s="2"/>
      <c r="C150" s="2"/>
      <c r="D150" s="2"/>
      <c r="E150" s="90"/>
      <c r="F150" s="2"/>
      <c r="G150" s="2"/>
      <c r="H150" s="2"/>
      <c r="I150" s="7"/>
      <c r="J150" s="7"/>
      <c r="K150" s="7"/>
      <c r="L150" s="7"/>
      <c r="M150" s="2"/>
      <c r="N150" s="28"/>
      <c r="O150" s="9"/>
      <c r="P150" s="9"/>
      <c r="Q150" s="9"/>
      <c r="R150" s="9"/>
      <c r="S150" s="9"/>
    </row>
    <row r="151" spans="2:19" ht="15.75" customHeight="1" x14ac:dyDescent="0.2">
      <c r="B151" s="2"/>
      <c r="C151" s="2"/>
      <c r="D151" s="2"/>
      <c r="E151" s="90"/>
      <c r="F151" s="2"/>
      <c r="G151" s="2"/>
      <c r="H151" s="2"/>
      <c r="I151" s="7"/>
      <c r="J151" s="7"/>
      <c r="K151" s="7"/>
      <c r="L151" s="7"/>
      <c r="M151" s="2"/>
      <c r="N151" s="28"/>
      <c r="O151" s="9"/>
      <c r="P151" s="9"/>
      <c r="Q151" s="9"/>
      <c r="R151" s="9"/>
      <c r="S151" s="9"/>
    </row>
    <row r="152" spans="2:19" ht="15.75" customHeight="1" x14ac:dyDescent="0.2">
      <c r="B152" s="2"/>
      <c r="C152" s="2"/>
      <c r="D152" s="2"/>
      <c r="E152" s="90"/>
      <c r="F152" s="2"/>
      <c r="G152" s="2"/>
      <c r="H152" s="2"/>
      <c r="I152" s="7"/>
      <c r="J152" s="7"/>
      <c r="K152" s="7"/>
      <c r="L152" s="7"/>
      <c r="M152" s="2"/>
      <c r="N152" s="28"/>
      <c r="O152" s="9"/>
      <c r="P152" s="9"/>
      <c r="Q152" s="9"/>
      <c r="R152" s="9"/>
      <c r="S152" s="9"/>
    </row>
    <row r="153" spans="2:19" ht="15.75" customHeight="1" x14ac:dyDescent="0.2">
      <c r="B153" s="2"/>
      <c r="C153" s="2"/>
      <c r="D153" s="2"/>
      <c r="E153" s="90"/>
      <c r="F153" s="2"/>
      <c r="G153" s="2"/>
      <c r="H153" s="2"/>
      <c r="I153" s="7"/>
      <c r="J153" s="7"/>
      <c r="K153" s="7"/>
      <c r="L153" s="7"/>
      <c r="M153" s="2"/>
      <c r="N153" s="2"/>
    </row>
    <row r="154" spans="2:19" ht="15.75" customHeight="1" x14ac:dyDescent="0.2">
      <c r="B154" s="2"/>
      <c r="C154" s="2"/>
      <c r="D154" s="2"/>
      <c r="E154" s="90"/>
      <c r="F154" s="2"/>
      <c r="G154" s="2"/>
      <c r="H154" s="2"/>
      <c r="I154" s="7"/>
      <c r="J154" s="7"/>
      <c r="K154" s="7"/>
      <c r="L154" s="7"/>
      <c r="M154" s="2"/>
      <c r="N154" s="2"/>
    </row>
    <row r="155" spans="2:19" ht="15.75" customHeight="1" x14ac:dyDescent="0.2">
      <c r="B155" s="2"/>
      <c r="C155" s="2"/>
      <c r="D155" s="2"/>
      <c r="E155" s="90"/>
      <c r="F155" s="2"/>
      <c r="G155" s="2"/>
      <c r="H155" s="2"/>
      <c r="I155" s="7"/>
      <c r="J155" s="7"/>
      <c r="K155" s="7"/>
      <c r="L155" s="7"/>
      <c r="M155" s="2"/>
      <c r="N155" s="2"/>
    </row>
    <row r="156" spans="2:19" ht="15.75" customHeight="1" x14ac:dyDescent="0.2">
      <c r="B156" s="2"/>
      <c r="C156" s="2"/>
      <c r="D156" s="2"/>
      <c r="E156" s="90"/>
      <c r="F156" s="2"/>
      <c r="G156" s="2"/>
      <c r="H156" s="2"/>
      <c r="I156" s="7"/>
      <c r="J156" s="7"/>
      <c r="K156" s="7"/>
      <c r="L156" s="7"/>
      <c r="M156" s="2"/>
      <c r="N156" s="2"/>
    </row>
    <row r="157" spans="2:19" ht="15.75" customHeight="1" x14ac:dyDescent="0.2">
      <c r="B157" s="2"/>
      <c r="C157" s="2"/>
      <c r="D157" s="2"/>
      <c r="E157" s="90"/>
      <c r="F157" s="2"/>
      <c r="G157" s="2"/>
      <c r="H157" s="2"/>
      <c r="I157" s="7"/>
      <c r="J157" s="7"/>
      <c r="K157" s="7"/>
      <c r="L157" s="7"/>
      <c r="M157" s="2"/>
      <c r="N157" s="2"/>
    </row>
    <row r="158" spans="2:19" ht="15.75" customHeight="1" x14ac:dyDescent="0.2">
      <c r="B158" s="2"/>
      <c r="C158" s="2"/>
      <c r="D158" s="2"/>
      <c r="E158" s="90"/>
      <c r="F158" s="2"/>
      <c r="G158" s="2"/>
      <c r="H158" s="2"/>
      <c r="I158" s="7"/>
      <c r="J158" s="7"/>
      <c r="K158" s="7"/>
      <c r="L158" s="7"/>
      <c r="M158" s="2"/>
      <c r="N158" s="2"/>
    </row>
    <row r="159" spans="2:19" ht="15.75" customHeight="1" x14ac:dyDescent="0.2">
      <c r="B159" s="2"/>
      <c r="C159" s="2"/>
      <c r="D159" s="2"/>
      <c r="E159" s="90"/>
      <c r="F159" s="2"/>
      <c r="G159" s="2"/>
      <c r="H159" s="2"/>
      <c r="I159" s="7"/>
      <c r="J159" s="7"/>
      <c r="K159" s="7"/>
      <c r="L159" s="7"/>
      <c r="M159" s="2"/>
      <c r="N159" s="2"/>
    </row>
    <row r="160" spans="2:19" ht="15.75" customHeight="1" x14ac:dyDescent="0.2">
      <c r="B160" s="2"/>
      <c r="C160" s="2"/>
      <c r="D160" s="2"/>
      <c r="E160" s="90"/>
      <c r="F160" s="2"/>
      <c r="G160" s="2"/>
      <c r="H160" s="2"/>
      <c r="I160" s="7"/>
      <c r="J160" s="7"/>
      <c r="K160" s="7"/>
      <c r="L160" s="7"/>
      <c r="M160" s="2"/>
      <c r="N160" s="2"/>
    </row>
    <row r="161" spans="2:14" ht="15.75" customHeight="1" x14ac:dyDescent="0.2">
      <c r="B161" s="2"/>
      <c r="C161" s="2"/>
      <c r="D161" s="2"/>
      <c r="E161" s="90"/>
      <c r="F161" s="2"/>
      <c r="G161" s="2"/>
      <c r="H161" s="2"/>
      <c r="I161" s="7"/>
      <c r="J161" s="7"/>
      <c r="K161" s="7"/>
      <c r="L161" s="7"/>
      <c r="M161" s="2"/>
      <c r="N161" s="2"/>
    </row>
    <row r="162" spans="2:14" ht="15.75" customHeight="1" x14ac:dyDescent="0.2">
      <c r="B162" s="2"/>
      <c r="C162" s="2"/>
      <c r="D162" s="2"/>
      <c r="E162" s="90"/>
      <c r="F162" s="2"/>
      <c r="G162" s="2"/>
      <c r="H162" s="2"/>
      <c r="I162" s="7"/>
      <c r="J162" s="7"/>
      <c r="K162" s="7"/>
      <c r="L162" s="7"/>
      <c r="M162" s="2"/>
      <c r="N162" s="2"/>
    </row>
    <row r="163" spans="2:14" ht="15.75" customHeight="1" x14ac:dyDescent="0.2">
      <c r="B163" s="2"/>
      <c r="C163" s="2"/>
      <c r="D163" s="2"/>
      <c r="E163" s="90"/>
      <c r="F163" s="2"/>
      <c r="G163" s="2"/>
      <c r="H163" s="2"/>
      <c r="I163" s="7"/>
      <c r="J163" s="7"/>
      <c r="K163" s="7"/>
      <c r="L163" s="7"/>
      <c r="M163" s="2"/>
      <c r="N163" s="2"/>
    </row>
    <row r="164" spans="2:14" ht="15.75" customHeight="1" x14ac:dyDescent="0.2">
      <c r="B164" s="2"/>
      <c r="C164" s="2"/>
      <c r="D164" s="2"/>
      <c r="E164" s="90"/>
      <c r="F164" s="2"/>
      <c r="G164" s="2"/>
      <c r="H164" s="2"/>
      <c r="I164" s="7"/>
      <c r="J164" s="7"/>
      <c r="K164" s="7"/>
      <c r="L164" s="7"/>
      <c r="M164" s="2"/>
      <c r="N164" s="2"/>
    </row>
    <row r="165" spans="2:14" ht="15.75" customHeight="1" x14ac:dyDescent="0.2">
      <c r="B165" s="2"/>
      <c r="C165" s="2"/>
      <c r="D165" s="2"/>
      <c r="E165" s="90"/>
      <c r="F165" s="2"/>
      <c r="G165" s="2"/>
      <c r="H165" s="2"/>
      <c r="I165" s="7"/>
      <c r="J165" s="7"/>
      <c r="K165" s="7"/>
      <c r="L165" s="7"/>
      <c r="M165" s="2"/>
      <c r="N165" s="2"/>
    </row>
    <row r="166" spans="2:14" ht="15.75" customHeight="1" x14ac:dyDescent="0.2">
      <c r="B166" s="2"/>
      <c r="C166" s="2"/>
      <c r="D166" s="2"/>
      <c r="E166" s="90"/>
      <c r="F166" s="2"/>
      <c r="G166" s="2"/>
      <c r="H166" s="2"/>
      <c r="I166" s="7"/>
      <c r="J166" s="7"/>
      <c r="K166" s="7"/>
      <c r="L166" s="7"/>
      <c r="M166" s="2"/>
      <c r="N166" s="2"/>
    </row>
    <row r="167" spans="2:14" ht="15.75" customHeight="1" x14ac:dyDescent="0.2">
      <c r="B167" s="2"/>
      <c r="C167" s="2"/>
      <c r="D167" s="2"/>
      <c r="E167" s="90"/>
      <c r="F167" s="2"/>
      <c r="G167" s="2"/>
      <c r="H167" s="2"/>
      <c r="I167" s="7"/>
      <c r="J167" s="7"/>
      <c r="K167" s="7"/>
      <c r="L167" s="7"/>
      <c r="M167" s="2"/>
      <c r="N167" s="2"/>
    </row>
    <row r="168" spans="2:14" ht="15.75" customHeight="1" x14ac:dyDescent="0.2">
      <c r="B168" s="2"/>
      <c r="C168" s="2"/>
      <c r="D168" s="2"/>
      <c r="E168" s="90"/>
      <c r="F168" s="2"/>
      <c r="G168" s="2"/>
      <c r="H168" s="2"/>
      <c r="I168" s="7"/>
      <c r="J168" s="7"/>
      <c r="K168" s="7"/>
      <c r="L168" s="7"/>
      <c r="M168" s="2"/>
      <c r="N168" s="2"/>
    </row>
    <row r="169" spans="2:14" ht="15.75" customHeight="1" x14ac:dyDescent="0.2">
      <c r="B169" s="2"/>
      <c r="C169" s="2"/>
      <c r="D169" s="2"/>
      <c r="E169" s="90"/>
      <c r="F169" s="2"/>
      <c r="G169" s="2"/>
      <c r="H169" s="2"/>
      <c r="I169" s="7"/>
      <c r="J169" s="7"/>
      <c r="K169" s="7"/>
      <c r="L169" s="7"/>
      <c r="M169" s="2"/>
      <c r="N169" s="2"/>
    </row>
    <row r="170" spans="2:14" ht="15.75" customHeight="1" x14ac:dyDescent="0.2">
      <c r="B170" s="2"/>
      <c r="C170" s="2"/>
      <c r="D170" s="2"/>
      <c r="E170" s="90"/>
      <c r="F170" s="2"/>
      <c r="G170" s="2"/>
      <c r="H170" s="2"/>
      <c r="I170" s="7"/>
      <c r="J170" s="7"/>
      <c r="K170" s="7"/>
      <c r="L170" s="7"/>
      <c r="M170" s="2"/>
      <c r="N170" s="2"/>
    </row>
    <row r="171" spans="2:14" ht="15.75" customHeight="1" x14ac:dyDescent="0.2">
      <c r="B171" s="2"/>
      <c r="C171" s="2"/>
      <c r="D171" s="2"/>
      <c r="E171" s="90"/>
      <c r="F171" s="2"/>
      <c r="G171" s="2"/>
      <c r="H171" s="2"/>
      <c r="I171" s="7"/>
      <c r="J171" s="7"/>
      <c r="K171" s="7"/>
      <c r="L171" s="7"/>
      <c r="M171" s="2"/>
      <c r="N171" s="2"/>
    </row>
    <row r="172" spans="2:14" ht="15.75" customHeight="1" x14ac:dyDescent="0.2">
      <c r="B172" s="2"/>
      <c r="C172" s="2"/>
      <c r="D172" s="2"/>
      <c r="E172" s="90"/>
      <c r="F172" s="2"/>
      <c r="G172" s="2"/>
      <c r="H172" s="2"/>
      <c r="I172" s="7"/>
      <c r="J172" s="7"/>
      <c r="K172" s="7"/>
      <c r="L172" s="7"/>
      <c r="M172" s="2"/>
      <c r="N172" s="2"/>
    </row>
    <row r="173" spans="2:14" ht="15.75" customHeight="1" x14ac:dyDescent="0.2">
      <c r="B173" s="2"/>
      <c r="C173" s="2"/>
      <c r="D173" s="2"/>
      <c r="E173" s="90"/>
      <c r="F173" s="2"/>
      <c r="G173" s="2"/>
      <c r="H173" s="2"/>
      <c r="I173" s="7"/>
      <c r="J173" s="7"/>
      <c r="K173" s="7"/>
      <c r="L173" s="7"/>
      <c r="M173" s="2"/>
      <c r="N173" s="2"/>
    </row>
    <row r="174" spans="2:14" ht="15.75" customHeight="1" x14ac:dyDescent="0.2">
      <c r="B174" s="2"/>
      <c r="C174" s="2"/>
      <c r="D174" s="2"/>
      <c r="E174" s="90"/>
      <c r="F174" s="2"/>
      <c r="G174" s="2"/>
      <c r="H174" s="2"/>
      <c r="I174" s="7"/>
      <c r="J174" s="7"/>
      <c r="K174" s="7"/>
      <c r="L174" s="7"/>
      <c r="M174" s="2"/>
      <c r="N174" s="2"/>
    </row>
    <row r="175" spans="2:14" ht="15.75" customHeight="1" x14ac:dyDescent="0.2">
      <c r="B175" s="2"/>
      <c r="C175" s="2"/>
      <c r="D175" s="2"/>
      <c r="E175" s="90"/>
      <c r="F175" s="2"/>
      <c r="G175" s="2"/>
      <c r="H175" s="2"/>
      <c r="I175" s="7"/>
      <c r="J175" s="7"/>
      <c r="K175" s="7"/>
      <c r="L175" s="7"/>
      <c r="M175" s="2"/>
      <c r="N175" s="2"/>
    </row>
    <row r="176" spans="2:14" ht="15.75" customHeight="1" x14ac:dyDescent="0.2">
      <c r="B176" s="2"/>
      <c r="C176" s="2"/>
      <c r="D176" s="2"/>
      <c r="E176" s="90"/>
      <c r="F176" s="2"/>
      <c r="G176" s="2"/>
      <c r="H176" s="2"/>
      <c r="I176" s="7"/>
      <c r="J176" s="7"/>
      <c r="K176" s="7"/>
      <c r="L176" s="7"/>
      <c r="M176" s="2"/>
      <c r="N176" s="2"/>
    </row>
    <row r="177" spans="2:14" ht="15.75" customHeight="1" x14ac:dyDescent="0.2">
      <c r="B177" s="2"/>
      <c r="C177" s="2"/>
      <c r="D177" s="2"/>
      <c r="E177" s="90"/>
      <c r="F177" s="2"/>
      <c r="G177" s="2"/>
      <c r="H177" s="2"/>
      <c r="I177" s="7"/>
      <c r="J177" s="7"/>
      <c r="K177" s="7"/>
      <c r="L177" s="7"/>
      <c r="M177" s="2"/>
      <c r="N177" s="2"/>
    </row>
    <row r="178" spans="2:14" ht="15.75" customHeight="1" x14ac:dyDescent="0.2">
      <c r="B178" s="2"/>
      <c r="C178" s="2"/>
      <c r="D178" s="2"/>
      <c r="E178" s="90"/>
      <c r="F178" s="2"/>
      <c r="G178" s="2"/>
      <c r="H178" s="2"/>
      <c r="I178" s="7"/>
      <c r="J178" s="7"/>
      <c r="K178" s="7"/>
      <c r="L178" s="7"/>
      <c r="M178" s="2"/>
      <c r="N178" s="2"/>
    </row>
    <row r="179" spans="2:14" ht="15.75" customHeight="1" x14ac:dyDescent="0.2">
      <c r="B179" s="2"/>
      <c r="C179" s="2"/>
      <c r="D179" s="2"/>
      <c r="E179" s="90"/>
      <c r="F179" s="2"/>
      <c r="G179" s="2"/>
      <c r="H179" s="2"/>
      <c r="I179" s="7"/>
      <c r="J179" s="7"/>
      <c r="K179" s="7"/>
      <c r="L179" s="7"/>
      <c r="M179" s="2"/>
      <c r="N179" s="2"/>
    </row>
    <row r="180" spans="2:14" ht="15.75" customHeight="1" x14ac:dyDescent="0.2">
      <c r="B180" s="2"/>
      <c r="C180" s="2"/>
      <c r="D180" s="2"/>
      <c r="E180" s="90"/>
      <c r="F180" s="2"/>
      <c r="G180" s="2"/>
      <c r="H180" s="2"/>
      <c r="I180" s="7"/>
      <c r="J180" s="7"/>
      <c r="K180" s="7"/>
      <c r="L180" s="7"/>
      <c r="M180" s="2"/>
      <c r="N180" s="2"/>
    </row>
    <row r="181" spans="2:14" ht="15.75" customHeight="1" x14ac:dyDescent="0.2">
      <c r="B181" s="2"/>
      <c r="C181" s="2"/>
      <c r="D181" s="2"/>
      <c r="E181" s="90"/>
      <c r="F181" s="2"/>
      <c r="G181" s="2"/>
      <c r="H181" s="2"/>
      <c r="I181" s="7"/>
      <c r="J181" s="7"/>
      <c r="K181" s="7"/>
      <c r="L181" s="7"/>
      <c r="M181" s="2"/>
      <c r="N181" s="2"/>
    </row>
    <row r="182" spans="2:14" ht="15.75" customHeight="1" x14ac:dyDescent="0.2">
      <c r="B182" s="2"/>
      <c r="C182" s="2"/>
      <c r="D182" s="2"/>
      <c r="E182" s="90"/>
      <c r="F182" s="2"/>
      <c r="G182" s="2"/>
      <c r="H182" s="2"/>
      <c r="I182" s="7"/>
      <c r="J182" s="7"/>
      <c r="K182" s="7"/>
      <c r="L182" s="7"/>
      <c r="M182" s="2"/>
      <c r="N182" s="2"/>
    </row>
    <row r="183" spans="2:14" ht="15.75" customHeight="1" x14ac:dyDescent="0.2">
      <c r="B183" s="2"/>
      <c r="C183" s="2"/>
      <c r="D183" s="2"/>
      <c r="E183" s="90"/>
      <c r="F183" s="2"/>
      <c r="G183" s="2"/>
      <c r="H183" s="2"/>
      <c r="I183" s="7"/>
      <c r="J183" s="7"/>
      <c r="K183" s="7"/>
      <c r="L183" s="7"/>
      <c r="M183" s="2"/>
      <c r="N183" s="2"/>
    </row>
    <row r="184" spans="2:14" ht="15.75" customHeight="1" x14ac:dyDescent="0.2">
      <c r="B184" s="2"/>
      <c r="C184" s="2"/>
      <c r="D184" s="2"/>
      <c r="E184" s="90"/>
      <c r="F184" s="2"/>
      <c r="G184" s="2"/>
      <c r="H184" s="2"/>
      <c r="I184" s="7"/>
      <c r="J184" s="7"/>
      <c r="K184" s="7"/>
      <c r="L184" s="7"/>
      <c r="M184" s="2"/>
      <c r="N184" s="2"/>
    </row>
    <row r="185" spans="2:14" ht="15.75" customHeight="1" x14ac:dyDescent="0.2">
      <c r="B185" s="2"/>
      <c r="C185" s="2"/>
      <c r="D185" s="2"/>
      <c r="E185" s="90"/>
      <c r="F185" s="2"/>
      <c r="G185" s="2"/>
      <c r="H185" s="2"/>
      <c r="I185" s="7"/>
      <c r="J185" s="7"/>
      <c r="K185" s="7"/>
      <c r="L185" s="7"/>
      <c r="M185" s="2"/>
      <c r="N185" s="2"/>
    </row>
    <row r="186" spans="2:14" ht="15.75" customHeight="1" x14ac:dyDescent="0.2">
      <c r="B186" s="2"/>
      <c r="C186" s="2"/>
      <c r="D186" s="2"/>
      <c r="E186" s="90"/>
      <c r="F186" s="2"/>
      <c r="G186" s="2"/>
      <c r="H186" s="2"/>
      <c r="I186" s="7"/>
      <c r="J186" s="7"/>
      <c r="K186" s="7"/>
      <c r="L186" s="7"/>
      <c r="M186" s="2"/>
      <c r="N186" s="2"/>
    </row>
    <row r="187" spans="2:14" ht="15.75" customHeight="1" x14ac:dyDescent="0.2">
      <c r="B187" s="2"/>
      <c r="C187" s="2"/>
      <c r="D187" s="2"/>
      <c r="E187" s="90"/>
      <c r="F187" s="2"/>
      <c r="G187" s="2"/>
      <c r="H187" s="2"/>
      <c r="I187" s="7"/>
      <c r="J187" s="7"/>
      <c r="K187" s="7"/>
      <c r="L187" s="7"/>
      <c r="M187" s="2"/>
      <c r="N187" s="2"/>
    </row>
    <row r="188" spans="2:14" ht="15.75" customHeight="1" x14ac:dyDescent="0.2">
      <c r="B188" s="2"/>
      <c r="C188" s="2"/>
      <c r="D188" s="2"/>
      <c r="E188" s="90"/>
      <c r="F188" s="2"/>
      <c r="G188" s="2"/>
      <c r="H188" s="2"/>
      <c r="I188" s="7"/>
      <c r="J188" s="7"/>
      <c r="K188" s="7"/>
      <c r="L188" s="7"/>
      <c r="M188" s="2"/>
      <c r="N188" s="2"/>
    </row>
    <row r="189" spans="2:14" ht="15.75" customHeight="1" x14ac:dyDescent="0.2">
      <c r="B189" s="2"/>
      <c r="C189" s="2"/>
      <c r="D189" s="2"/>
      <c r="E189" s="90"/>
      <c r="F189" s="2"/>
      <c r="G189" s="2"/>
      <c r="H189" s="2"/>
      <c r="I189" s="7"/>
      <c r="J189" s="7"/>
      <c r="K189" s="7"/>
      <c r="L189" s="7"/>
      <c r="M189" s="2"/>
      <c r="N189" s="2"/>
    </row>
    <row r="190" spans="2:14" ht="15.75" customHeight="1" x14ac:dyDescent="0.2">
      <c r="B190" s="2"/>
      <c r="C190" s="2"/>
      <c r="D190" s="2"/>
      <c r="E190" s="90"/>
      <c r="F190" s="2"/>
      <c r="G190" s="2"/>
      <c r="H190" s="2"/>
      <c r="I190" s="7"/>
      <c r="J190" s="7"/>
      <c r="K190" s="7"/>
      <c r="L190" s="7"/>
      <c r="M190" s="2"/>
      <c r="N190" s="2"/>
    </row>
    <row r="191" spans="2:14" ht="15.75" customHeight="1" x14ac:dyDescent="0.2">
      <c r="B191" s="2"/>
      <c r="C191" s="2"/>
      <c r="D191" s="2"/>
      <c r="E191" s="90"/>
      <c r="F191" s="2"/>
      <c r="G191" s="2"/>
      <c r="H191" s="2"/>
      <c r="I191" s="7"/>
      <c r="J191" s="7"/>
      <c r="K191" s="7"/>
      <c r="L191" s="7"/>
      <c r="M191" s="2"/>
      <c r="N191" s="2"/>
    </row>
    <row r="192" spans="2:14" ht="15.75" customHeight="1" x14ac:dyDescent="0.2">
      <c r="B192" s="2"/>
      <c r="C192" s="2"/>
      <c r="D192" s="2"/>
      <c r="E192" s="90"/>
      <c r="F192" s="2"/>
      <c r="G192" s="2"/>
      <c r="H192" s="2"/>
      <c r="I192" s="7"/>
      <c r="J192" s="7"/>
      <c r="K192" s="7"/>
      <c r="L192" s="7"/>
      <c r="M192" s="2"/>
      <c r="N192" s="2"/>
    </row>
    <row r="193" spans="2:14" ht="15.75" customHeight="1" x14ac:dyDescent="0.2">
      <c r="B193" s="2"/>
      <c r="C193" s="2"/>
      <c r="D193" s="2"/>
      <c r="E193" s="90"/>
      <c r="F193" s="2"/>
      <c r="G193" s="2"/>
      <c r="H193" s="2"/>
      <c r="I193" s="7"/>
      <c r="J193" s="7"/>
      <c r="K193" s="7"/>
      <c r="L193" s="7"/>
      <c r="M193" s="2"/>
      <c r="N193" s="2"/>
    </row>
    <row r="194" spans="2:14" ht="15.75" customHeight="1" x14ac:dyDescent="0.2">
      <c r="B194" s="2"/>
      <c r="C194" s="2"/>
      <c r="D194" s="2"/>
      <c r="E194" s="90"/>
      <c r="F194" s="2"/>
      <c r="G194" s="2"/>
      <c r="H194" s="2"/>
      <c r="I194" s="7"/>
      <c r="J194" s="7"/>
      <c r="K194" s="7"/>
      <c r="L194" s="7"/>
      <c r="M194" s="2"/>
      <c r="N194" s="2"/>
    </row>
    <row r="195" spans="2:14" ht="15.75" customHeight="1" x14ac:dyDescent="0.2">
      <c r="B195" s="2"/>
      <c r="C195" s="2"/>
      <c r="D195" s="2"/>
      <c r="E195" s="90"/>
      <c r="F195" s="2"/>
      <c r="G195" s="2"/>
      <c r="H195" s="2"/>
      <c r="I195" s="7"/>
      <c r="J195" s="7"/>
      <c r="K195" s="7"/>
      <c r="L195" s="7"/>
      <c r="M195" s="2"/>
      <c r="N195" s="2"/>
    </row>
    <row r="196" spans="2:14" ht="15.75" customHeight="1" x14ac:dyDescent="0.2">
      <c r="B196" s="2"/>
      <c r="C196" s="2"/>
      <c r="D196" s="2"/>
      <c r="E196" s="90"/>
      <c r="F196" s="2"/>
      <c r="G196" s="2"/>
      <c r="H196" s="2"/>
      <c r="I196" s="7"/>
      <c r="J196" s="7"/>
      <c r="K196" s="7"/>
      <c r="L196" s="7"/>
      <c r="M196" s="2"/>
      <c r="N196" s="2"/>
    </row>
    <row r="197" spans="2:14" ht="15.75" customHeight="1" x14ac:dyDescent="0.2">
      <c r="B197" s="2"/>
      <c r="C197" s="2"/>
      <c r="D197" s="2"/>
      <c r="E197" s="90"/>
      <c r="F197" s="2"/>
      <c r="G197" s="2"/>
      <c r="H197" s="2"/>
      <c r="I197" s="7"/>
      <c r="J197" s="7"/>
      <c r="K197" s="7"/>
      <c r="L197" s="7"/>
      <c r="M197" s="2"/>
      <c r="N197" s="2"/>
    </row>
    <row r="198" spans="2:14" ht="15.75" customHeight="1" x14ac:dyDescent="0.2">
      <c r="B198" s="2"/>
      <c r="C198" s="2"/>
      <c r="D198" s="2"/>
      <c r="E198" s="90"/>
      <c r="F198" s="2"/>
      <c r="G198" s="2"/>
      <c r="H198" s="2"/>
      <c r="I198" s="7"/>
      <c r="J198" s="7"/>
      <c r="K198" s="7"/>
      <c r="L198" s="7"/>
      <c r="M198" s="2"/>
      <c r="N198" s="2"/>
    </row>
    <row r="199" spans="2:14" ht="15.75" customHeight="1" x14ac:dyDescent="0.2">
      <c r="B199" s="2"/>
      <c r="C199" s="2"/>
      <c r="D199" s="2"/>
      <c r="E199" s="90"/>
      <c r="F199" s="2"/>
      <c r="G199" s="2"/>
      <c r="H199" s="2"/>
      <c r="I199" s="7"/>
      <c r="J199" s="7"/>
      <c r="K199" s="7"/>
      <c r="L199" s="7"/>
      <c r="M199" s="2"/>
      <c r="N199" s="2"/>
    </row>
    <row r="200" spans="2:14" ht="15.75" customHeight="1" x14ac:dyDescent="0.2">
      <c r="B200" s="2"/>
      <c r="C200" s="2"/>
      <c r="D200" s="2"/>
      <c r="E200" s="90"/>
      <c r="F200" s="2"/>
      <c r="G200" s="2"/>
      <c r="H200" s="2"/>
      <c r="I200" s="7"/>
      <c r="J200" s="7"/>
      <c r="K200" s="7"/>
      <c r="L200" s="7"/>
      <c r="M200" s="2"/>
      <c r="N200" s="2"/>
    </row>
    <row r="201" spans="2:14" ht="15.75" customHeight="1" x14ac:dyDescent="0.2">
      <c r="B201" s="2"/>
      <c r="C201" s="2"/>
      <c r="D201" s="2"/>
      <c r="E201" s="90"/>
      <c r="F201" s="2"/>
      <c r="G201" s="2"/>
      <c r="H201" s="2"/>
      <c r="I201" s="7"/>
      <c r="J201" s="7"/>
      <c r="K201" s="7"/>
      <c r="L201" s="7"/>
      <c r="M201" s="2"/>
      <c r="N201" s="2"/>
    </row>
    <row r="202" spans="2:14" ht="15.75" customHeight="1" x14ac:dyDescent="0.2">
      <c r="B202" s="2"/>
      <c r="C202" s="2"/>
      <c r="D202" s="2"/>
      <c r="E202" s="90"/>
      <c r="F202" s="2"/>
      <c r="G202" s="2"/>
      <c r="H202" s="2"/>
      <c r="I202" s="7"/>
      <c r="J202" s="7"/>
      <c r="K202" s="7"/>
      <c r="L202" s="7"/>
      <c r="M202" s="2"/>
      <c r="N202" s="2"/>
    </row>
    <row r="203" spans="2:14" ht="15.75" customHeight="1" x14ac:dyDescent="0.2">
      <c r="B203" s="2"/>
      <c r="C203" s="2"/>
      <c r="D203" s="2"/>
      <c r="E203" s="90"/>
      <c r="F203" s="2"/>
      <c r="G203" s="2"/>
      <c r="H203" s="2"/>
      <c r="I203" s="7"/>
      <c r="J203" s="7"/>
      <c r="K203" s="7"/>
      <c r="L203" s="7"/>
      <c r="M203" s="2"/>
      <c r="N203" s="2"/>
    </row>
    <row r="204" spans="2:14" ht="15.75" customHeight="1" x14ac:dyDescent="0.2">
      <c r="B204" s="2"/>
      <c r="C204" s="2"/>
      <c r="D204" s="2"/>
      <c r="E204" s="90"/>
      <c r="F204" s="2"/>
      <c r="G204" s="2"/>
      <c r="H204" s="2"/>
      <c r="I204" s="7"/>
      <c r="J204" s="7"/>
      <c r="K204" s="7"/>
      <c r="L204" s="7"/>
      <c r="M204" s="2"/>
      <c r="N204" s="2"/>
    </row>
    <row r="205" spans="2:14" ht="15.75" customHeight="1" x14ac:dyDescent="0.2">
      <c r="B205" s="2"/>
      <c r="C205" s="2"/>
      <c r="D205" s="2"/>
      <c r="E205" s="90"/>
      <c r="F205" s="2"/>
      <c r="G205" s="2"/>
      <c r="H205" s="2"/>
      <c r="I205" s="7"/>
      <c r="J205" s="7"/>
      <c r="K205" s="7"/>
      <c r="L205" s="7"/>
      <c r="M205" s="2"/>
      <c r="N205" s="2"/>
    </row>
    <row r="206" spans="2:14" ht="15.75" customHeight="1" x14ac:dyDescent="0.2">
      <c r="B206" s="2"/>
      <c r="C206" s="2"/>
      <c r="D206" s="2"/>
      <c r="E206" s="90"/>
      <c r="F206" s="2"/>
      <c r="G206" s="2"/>
      <c r="H206" s="2"/>
      <c r="I206" s="7"/>
      <c r="J206" s="7"/>
      <c r="K206" s="7"/>
      <c r="L206" s="7"/>
      <c r="M206" s="2"/>
      <c r="N206" s="2"/>
    </row>
    <row r="207" spans="2:14" ht="15.75" customHeight="1" x14ac:dyDescent="0.2">
      <c r="B207" s="2"/>
      <c r="C207" s="2"/>
      <c r="D207" s="2"/>
      <c r="E207" s="90"/>
      <c r="F207" s="2"/>
      <c r="G207" s="2"/>
      <c r="H207" s="2"/>
      <c r="I207" s="7"/>
      <c r="J207" s="7"/>
      <c r="K207" s="7"/>
      <c r="L207" s="7"/>
      <c r="M207" s="2"/>
      <c r="N207" s="2"/>
    </row>
    <row r="208" spans="2:14" ht="15.75" customHeight="1" x14ac:dyDescent="0.2">
      <c r="B208" s="2"/>
      <c r="C208" s="2"/>
      <c r="D208" s="2"/>
      <c r="E208" s="90"/>
      <c r="F208" s="2"/>
      <c r="G208" s="2"/>
      <c r="H208" s="2"/>
      <c r="I208" s="7"/>
      <c r="J208" s="7"/>
      <c r="K208" s="7"/>
      <c r="L208" s="7"/>
      <c r="M208" s="2"/>
      <c r="N208" s="2"/>
    </row>
    <row r="209" spans="2:14" ht="15.75" customHeight="1" x14ac:dyDescent="0.2">
      <c r="B209" s="2"/>
      <c r="C209" s="2"/>
      <c r="D209" s="2"/>
      <c r="E209" s="90"/>
      <c r="F209" s="2"/>
      <c r="G209" s="2"/>
      <c r="H209" s="2"/>
      <c r="I209" s="7"/>
      <c r="J209" s="7"/>
      <c r="K209" s="7"/>
      <c r="L209" s="7"/>
      <c r="M209" s="2"/>
      <c r="N209" s="2"/>
    </row>
    <row r="210" spans="2:14" ht="15.75" customHeight="1" x14ac:dyDescent="0.2">
      <c r="B210" s="2"/>
      <c r="C210" s="2"/>
      <c r="D210" s="2"/>
      <c r="E210" s="90"/>
      <c r="F210" s="2"/>
      <c r="G210" s="2"/>
      <c r="H210" s="2"/>
      <c r="I210" s="7"/>
      <c r="J210" s="7"/>
      <c r="K210" s="7"/>
      <c r="L210" s="7"/>
      <c r="M210" s="2"/>
      <c r="N210" s="2"/>
    </row>
    <row r="211" spans="2:14" ht="15.75" customHeight="1" x14ac:dyDescent="0.2">
      <c r="B211" s="2"/>
      <c r="C211" s="2"/>
      <c r="D211" s="2"/>
      <c r="E211" s="90"/>
      <c r="F211" s="2"/>
      <c r="G211" s="2"/>
      <c r="H211" s="2"/>
      <c r="I211" s="7"/>
      <c r="J211" s="7"/>
      <c r="K211" s="7"/>
      <c r="L211" s="7"/>
      <c r="M211" s="2"/>
      <c r="N211" s="2"/>
    </row>
    <row r="212" spans="2:14" ht="15.75" customHeight="1" x14ac:dyDescent="0.2">
      <c r="B212" s="2"/>
      <c r="C212" s="2"/>
      <c r="D212" s="2"/>
      <c r="E212" s="90"/>
      <c r="F212" s="2"/>
      <c r="G212" s="2"/>
      <c r="H212" s="2"/>
      <c r="I212" s="7"/>
      <c r="J212" s="7"/>
      <c r="K212" s="7"/>
      <c r="L212" s="7"/>
      <c r="M212" s="2"/>
      <c r="N212" s="2"/>
    </row>
    <row r="213" spans="2:14" ht="15.75" customHeight="1" x14ac:dyDescent="0.2">
      <c r="B213" s="2"/>
      <c r="C213" s="2"/>
      <c r="D213" s="2"/>
      <c r="E213" s="90"/>
      <c r="F213" s="2"/>
      <c r="G213" s="2"/>
      <c r="H213" s="2"/>
      <c r="I213" s="7"/>
      <c r="J213" s="7"/>
      <c r="K213" s="7"/>
      <c r="L213" s="7"/>
      <c r="M213" s="2"/>
      <c r="N213" s="2"/>
    </row>
    <row r="214" spans="2:14" ht="15.75" customHeight="1" x14ac:dyDescent="0.2">
      <c r="B214" s="2"/>
      <c r="C214" s="2"/>
      <c r="D214" s="2"/>
      <c r="E214" s="90"/>
      <c r="F214" s="2"/>
      <c r="G214" s="2"/>
      <c r="H214" s="2"/>
      <c r="I214" s="7"/>
      <c r="J214" s="7"/>
      <c r="K214" s="7"/>
      <c r="L214" s="7"/>
      <c r="M214" s="2"/>
      <c r="N214" s="2"/>
    </row>
    <row r="215" spans="2:14" ht="15.75" customHeight="1" x14ac:dyDescent="0.2">
      <c r="B215" s="2"/>
      <c r="C215" s="2"/>
      <c r="D215" s="2"/>
      <c r="E215" s="90"/>
      <c r="F215" s="2"/>
      <c r="G215" s="2"/>
      <c r="H215" s="2"/>
      <c r="I215" s="7"/>
      <c r="J215" s="7"/>
      <c r="K215" s="7"/>
      <c r="L215" s="7"/>
      <c r="M215" s="2"/>
      <c r="N215" s="2"/>
    </row>
    <row r="216" spans="2:14" ht="15.75" customHeight="1" x14ac:dyDescent="0.2">
      <c r="B216" s="2"/>
      <c r="C216" s="2"/>
      <c r="D216" s="2"/>
      <c r="E216" s="90"/>
      <c r="F216" s="2"/>
      <c r="G216" s="2"/>
      <c r="H216" s="2"/>
      <c r="I216" s="7"/>
      <c r="J216" s="7"/>
      <c r="K216" s="7"/>
      <c r="L216" s="7"/>
      <c r="M216" s="2"/>
      <c r="N216" s="2"/>
    </row>
    <row r="217" spans="2:14" ht="15.75" customHeight="1" x14ac:dyDescent="0.2">
      <c r="B217" s="2"/>
      <c r="C217" s="2"/>
      <c r="D217" s="2"/>
      <c r="E217" s="90"/>
      <c r="F217" s="2"/>
      <c r="G217" s="2"/>
      <c r="H217" s="2"/>
      <c r="I217" s="7"/>
      <c r="J217" s="7"/>
      <c r="K217" s="7"/>
      <c r="L217" s="7"/>
      <c r="M217" s="2"/>
      <c r="N217" s="2"/>
    </row>
    <row r="218" spans="2:14" ht="15.75" customHeight="1" x14ac:dyDescent="0.2">
      <c r="B218" s="2"/>
      <c r="C218" s="2"/>
      <c r="D218" s="2"/>
      <c r="E218" s="90"/>
      <c r="F218" s="2"/>
      <c r="G218" s="2"/>
      <c r="H218" s="2"/>
      <c r="I218" s="7"/>
      <c r="J218" s="7"/>
      <c r="K218" s="7"/>
      <c r="L218" s="7"/>
      <c r="M218" s="2"/>
      <c r="N218" s="2"/>
    </row>
    <row r="219" spans="2:14" ht="15.75" customHeight="1" x14ac:dyDescent="0.2">
      <c r="B219" s="2"/>
      <c r="C219" s="2"/>
      <c r="D219" s="2"/>
      <c r="E219" s="90"/>
      <c r="F219" s="2"/>
      <c r="G219" s="2"/>
      <c r="H219" s="2"/>
      <c r="I219" s="7"/>
      <c r="J219" s="7"/>
      <c r="K219" s="7"/>
      <c r="L219" s="7"/>
      <c r="M219" s="2"/>
      <c r="N219" s="2"/>
    </row>
    <row r="220" spans="2:14" ht="15.75" customHeight="1" x14ac:dyDescent="0.2">
      <c r="B220" s="2"/>
      <c r="C220" s="2"/>
      <c r="D220" s="2"/>
      <c r="E220" s="90"/>
      <c r="F220" s="2"/>
      <c r="G220" s="2"/>
      <c r="H220" s="2"/>
      <c r="I220" s="7"/>
      <c r="J220" s="7"/>
      <c r="K220" s="7"/>
      <c r="L220" s="7"/>
      <c r="M220" s="2"/>
      <c r="N220" s="2"/>
    </row>
    <row r="221" spans="2:14" ht="15.75" customHeight="1" x14ac:dyDescent="0.2">
      <c r="B221" s="2"/>
      <c r="C221" s="29"/>
      <c r="D221" s="29"/>
      <c r="E221" s="263"/>
      <c r="F221" s="29"/>
      <c r="G221" s="29"/>
      <c r="H221" s="29"/>
      <c r="I221" s="7"/>
      <c r="J221" s="7"/>
      <c r="K221" s="7"/>
      <c r="L221" s="7"/>
      <c r="M221" s="2"/>
      <c r="N221" s="2"/>
    </row>
    <row r="222" spans="2:14" ht="15.75" customHeight="1" x14ac:dyDescent="0.2">
      <c r="B222" s="2"/>
      <c r="C222" s="29"/>
      <c r="D222" s="29"/>
      <c r="E222" s="263"/>
      <c r="F222" s="29"/>
      <c r="G222" s="29"/>
      <c r="H222" s="29"/>
      <c r="I222" s="7"/>
      <c r="J222" s="7"/>
      <c r="K222" s="7"/>
      <c r="L222" s="7"/>
      <c r="M222" s="2"/>
      <c r="N222" s="2"/>
    </row>
    <row r="223" spans="2:14" ht="15.75" customHeight="1" x14ac:dyDescent="0.2">
      <c r="B223" s="2"/>
      <c r="C223" s="29"/>
      <c r="D223" s="29"/>
      <c r="E223" s="263"/>
      <c r="F223" s="29"/>
      <c r="G223" s="29"/>
      <c r="H223" s="29"/>
      <c r="I223" s="7"/>
      <c r="J223" s="7"/>
      <c r="K223" s="7"/>
      <c r="L223" s="7"/>
      <c r="M223" s="2"/>
      <c r="N223" s="2"/>
    </row>
    <row r="224" spans="2:14" ht="15.75" customHeight="1" x14ac:dyDescent="0.2">
      <c r="B224" s="2"/>
      <c r="C224" s="29"/>
      <c r="D224" s="29"/>
      <c r="E224" s="263"/>
      <c r="F224" s="29"/>
      <c r="G224" s="29"/>
      <c r="H224" s="29"/>
      <c r="I224" s="7"/>
      <c r="J224" s="7"/>
      <c r="K224" s="7"/>
      <c r="L224" s="7"/>
      <c r="M224" s="2"/>
      <c r="N224" s="2"/>
    </row>
    <row r="225" spans="2:14" ht="15.75" customHeight="1" x14ac:dyDescent="0.2">
      <c r="B225" s="2"/>
      <c r="C225" s="29"/>
      <c r="D225" s="29"/>
      <c r="E225" s="263"/>
      <c r="F225" s="29"/>
      <c r="G225" s="29"/>
      <c r="H225" s="29"/>
      <c r="I225" s="7"/>
      <c r="J225" s="7"/>
      <c r="K225" s="7"/>
      <c r="L225" s="7"/>
      <c r="M225" s="2"/>
      <c r="N225" s="2"/>
    </row>
    <row r="226" spans="2:14" ht="15.75" customHeight="1" x14ac:dyDescent="0.2">
      <c r="B226" s="2"/>
      <c r="C226" s="29"/>
      <c r="D226" s="29"/>
      <c r="E226" s="263"/>
      <c r="F226" s="29"/>
      <c r="G226" s="29"/>
      <c r="H226" s="29"/>
      <c r="I226" s="7"/>
      <c r="J226" s="7"/>
      <c r="K226" s="7"/>
      <c r="L226" s="7"/>
      <c r="M226" s="2"/>
      <c r="N226" s="2"/>
    </row>
    <row r="227" spans="2:14" ht="15.75" customHeight="1" x14ac:dyDescent="0.2">
      <c r="B227" s="2"/>
      <c r="C227" s="29"/>
      <c r="D227" s="29"/>
      <c r="E227" s="263"/>
      <c r="F227" s="29"/>
      <c r="G227" s="29"/>
      <c r="H227" s="29"/>
      <c r="I227" s="7"/>
      <c r="J227" s="7"/>
      <c r="K227" s="7"/>
      <c r="L227" s="7"/>
      <c r="M227" s="2"/>
      <c r="N227" s="2"/>
    </row>
    <row r="228" spans="2:14" ht="15.75" customHeight="1" x14ac:dyDescent="0.2">
      <c r="B228" s="2"/>
      <c r="C228" s="29"/>
      <c r="D228" s="29"/>
      <c r="E228" s="263"/>
      <c r="F228" s="29"/>
      <c r="G228" s="29"/>
      <c r="H228" s="29"/>
      <c r="I228" s="7"/>
      <c r="J228" s="7"/>
      <c r="K228" s="7"/>
      <c r="L228" s="7"/>
      <c r="M228" s="2"/>
      <c r="N228" s="2"/>
    </row>
    <row r="229" spans="2:14" ht="15.75" customHeight="1" x14ac:dyDescent="0.2">
      <c r="B229" s="2"/>
      <c r="C229" s="29"/>
      <c r="D229" s="29"/>
      <c r="E229" s="263"/>
      <c r="F229" s="29"/>
      <c r="G229" s="29"/>
      <c r="H229" s="29"/>
      <c r="I229" s="7"/>
      <c r="J229" s="7"/>
      <c r="K229" s="7"/>
      <c r="L229" s="7"/>
      <c r="M229" s="2"/>
      <c r="N229" s="2"/>
    </row>
    <row r="230" spans="2:14" ht="15.75" customHeight="1" x14ac:dyDescent="0.2">
      <c r="B230" s="2"/>
      <c r="C230" s="29"/>
      <c r="D230" s="29"/>
      <c r="E230" s="263"/>
      <c r="F230" s="29"/>
      <c r="G230" s="29"/>
      <c r="H230" s="29"/>
      <c r="I230" s="7"/>
      <c r="J230" s="7"/>
      <c r="K230" s="7"/>
      <c r="L230" s="7"/>
      <c r="M230" s="2"/>
      <c r="N230" s="2"/>
    </row>
    <row r="231" spans="2:14" ht="15.75" customHeight="1" x14ac:dyDescent="0.2">
      <c r="B231" s="2"/>
      <c r="C231" s="29"/>
      <c r="D231" s="29"/>
      <c r="E231" s="263"/>
      <c r="F231" s="29"/>
      <c r="G231" s="29"/>
      <c r="H231" s="29"/>
      <c r="I231" s="7"/>
      <c r="J231" s="7"/>
      <c r="K231" s="7"/>
      <c r="L231" s="7"/>
      <c r="M231" s="2"/>
      <c r="N231" s="2"/>
    </row>
    <row r="232" spans="2:14" ht="15.75" customHeight="1" x14ac:dyDescent="0.2">
      <c r="B232" s="2"/>
      <c r="C232" s="29"/>
      <c r="D232" s="29"/>
      <c r="E232" s="263"/>
      <c r="F232" s="29"/>
      <c r="G232" s="29"/>
      <c r="H232" s="29"/>
      <c r="I232" s="7"/>
      <c r="J232" s="7"/>
      <c r="K232" s="7"/>
      <c r="L232" s="7"/>
      <c r="M232" s="2"/>
      <c r="N232" s="2"/>
    </row>
    <row r="233" spans="2:14" ht="15.75" customHeight="1" x14ac:dyDescent="0.2">
      <c r="B233" s="2"/>
      <c r="C233" s="29"/>
      <c r="D233" s="29"/>
      <c r="E233" s="263"/>
      <c r="F233" s="29"/>
      <c r="G233" s="29"/>
      <c r="H233" s="29"/>
      <c r="I233" s="7"/>
      <c r="J233" s="7"/>
      <c r="K233" s="7"/>
      <c r="L233" s="7"/>
      <c r="M233" s="2"/>
      <c r="N233" s="2"/>
    </row>
    <row r="234" spans="2:14" ht="15.75" customHeight="1" x14ac:dyDescent="0.2">
      <c r="B234" s="2"/>
      <c r="C234" s="29"/>
      <c r="D234" s="29"/>
      <c r="E234" s="263"/>
      <c r="F234" s="29"/>
      <c r="G234" s="29"/>
      <c r="H234" s="29"/>
      <c r="I234" s="7"/>
      <c r="J234" s="7"/>
      <c r="K234" s="7"/>
      <c r="L234" s="7"/>
      <c r="M234" s="2"/>
      <c r="N234" s="2"/>
    </row>
    <row r="235" spans="2:14" ht="15.75" customHeight="1" x14ac:dyDescent="0.2">
      <c r="B235" s="2"/>
      <c r="C235" s="29"/>
      <c r="D235" s="29"/>
      <c r="E235" s="263"/>
      <c r="F235" s="29"/>
      <c r="G235" s="29"/>
      <c r="H235" s="29"/>
      <c r="I235" s="7"/>
      <c r="J235" s="7"/>
      <c r="K235" s="7"/>
      <c r="L235" s="7"/>
      <c r="M235" s="2"/>
      <c r="N235" s="2"/>
    </row>
    <row r="236" spans="2:14" ht="15.75" customHeight="1" x14ac:dyDescent="0.2">
      <c r="B236" s="2"/>
      <c r="C236" s="29"/>
      <c r="D236" s="29"/>
      <c r="E236" s="263"/>
      <c r="F236" s="29"/>
      <c r="G236" s="29"/>
      <c r="H236" s="29"/>
      <c r="I236" s="7"/>
      <c r="J236" s="7"/>
      <c r="K236" s="7"/>
      <c r="L236" s="7"/>
      <c r="M236" s="2"/>
      <c r="N236" s="2"/>
    </row>
    <row r="237" spans="2:14" ht="15.75" customHeight="1" x14ac:dyDescent="0.2">
      <c r="B237" s="2"/>
      <c r="C237" s="29"/>
      <c r="D237" s="29"/>
      <c r="E237" s="263"/>
      <c r="F237" s="29"/>
      <c r="G237" s="29"/>
      <c r="H237" s="29"/>
      <c r="I237" s="7"/>
      <c r="J237" s="7"/>
      <c r="K237" s="7"/>
      <c r="L237" s="7"/>
      <c r="M237" s="2"/>
      <c r="N237" s="2"/>
    </row>
    <row r="238" spans="2:14" ht="15.75" customHeight="1" x14ac:dyDescent="0.2">
      <c r="B238" s="2"/>
      <c r="C238" s="29"/>
      <c r="D238" s="29"/>
      <c r="E238" s="263"/>
      <c r="F238" s="29"/>
      <c r="G238" s="29"/>
      <c r="H238" s="29"/>
      <c r="I238" s="7"/>
      <c r="J238" s="7"/>
      <c r="K238" s="7"/>
      <c r="L238" s="7"/>
      <c r="M238" s="2"/>
      <c r="N238" s="2"/>
    </row>
    <row r="239" spans="2:14" ht="15.75" customHeight="1" x14ac:dyDescent="0.2">
      <c r="B239" s="2"/>
      <c r="C239" s="29"/>
      <c r="D239" s="29"/>
      <c r="E239" s="263"/>
      <c r="F239" s="29"/>
      <c r="G239" s="29"/>
      <c r="H239" s="29"/>
      <c r="I239" s="7"/>
      <c r="J239" s="7"/>
      <c r="K239" s="7"/>
      <c r="L239" s="7"/>
      <c r="M239" s="2"/>
      <c r="N239" s="2"/>
    </row>
    <row r="240" spans="2:14" ht="15.75" customHeight="1" x14ac:dyDescent="0.2">
      <c r="B240" s="2"/>
      <c r="C240" s="29"/>
      <c r="D240" s="29"/>
      <c r="E240" s="263"/>
      <c r="F240" s="29"/>
      <c r="G240" s="29"/>
      <c r="H240" s="29"/>
      <c r="I240" s="7"/>
      <c r="J240" s="7"/>
      <c r="K240" s="7"/>
      <c r="L240" s="7"/>
      <c r="M240" s="2"/>
      <c r="N240" s="2"/>
    </row>
    <row r="241" spans="2:14" ht="15.75" customHeight="1" x14ac:dyDescent="0.2">
      <c r="B241" s="2"/>
      <c r="C241" s="29"/>
      <c r="D241" s="29"/>
      <c r="E241" s="263"/>
      <c r="F241" s="29"/>
      <c r="G241" s="29"/>
      <c r="H241" s="29"/>
      <c r="I241" s="7"/>
      <c r="J241" s="7"/>
      <c r="K241" s="7"/>
      <c r="L241" s="7"/>
      <c r="M241" s="2"/>
      <c r="N241" s="2"/>
    </row>
    <row r="242" spans="2:14" ht="15.75" customHeight="1" x14ac:dyDescent="0.2">
      <c r="B242" s="2"/>
      <c r="C242" s="29"/>
      <c r="D242" s="29"/>
      <c r="E242" s="263"/>
      <c r="F242" s="29"/>
      <c r="G242" s="29"/>
      <c r="H242" s="29"/>
      <c r="I242" s="7"/>
      <c r="J242" s="7"/>
      <c r="K242" s="7"/>
      <c r="L242" s="7"/>
      <c r="M242" s="2"/>
      <c r="N242" s="2"/>
    </row>
    <row r="243" spans="2:14" ht="15.75" customHeight="1" x14ac:dyDescent="0.2">
      <c r="B243" s="2"/>
      <c r="C243" s="29"/>
      <c r="D243" s="29"/>
      <c r="E243" s="263"/>
      <c r="F243" s="29"/>
      <c r="G243" s="29"/>
      <c r="H243" s="29"/>
      <c r="I243" s="7"/>
      <c r="J243" s="7"/>
      <c r="K243" s="7"/>
      <c r="L243" s="7"/>
      <c r="M243" s="2"/>
      <c r="N243" s="2"/>
    </row>
    <row r="244" spans="2:14" ht="15.75" customHeight="1" x14ac:dyDescent="0.2">
      <c r="B244" s="2"/>
      <c r="C244" s="29"/>
      <c r="D244" s="29"/>
      <c r="E244" s="263"/>
      <c r="F244" s="29"/>
      <c r="G244" s="29"/>
      <c r="H244" s="29"/>
      <c r="I244" s="7"/>
      <c r="J244" s="7"/>
      <c r="K244" s="7"/>
      <c r="L244" s="7"/>
      <c r="M244" s="2"/>
      <c r="N244" s="2"/>
    </row>
    <row r="245" spans="2:14" ht="15.75" customHeight="1" x14ac:dyDescent="0.2">
      <c r="B245" s="2"/>
      <c r="C245" s="29"/>
      <c r="D245" s="29"/>
      <c r="E245" s="263"/>
      <c r="F245" s="29"/>
      <c r="G245" s="29"/>
      <c r="H245" s="29"/>
      <c r="I245" s="7"/>
      <c r="J245" s="7"/>
      <c r="K245" s="7"/>
      <c r="L245" s="7"/>
      <c r="M245" s="2"/>
      <c r="N245" s="2"/>
    </row>
    <row r="246" spans="2:14" ht="15.75" customHeight="1" x14ac:dyDescent="0.2">
      <c r="B246" s="2"/>
      <c r="C246" s="29"/>
      <c r="D246" s="29"/>
      <c r="E246" s="263"/>
      <c r="F246" s="29"/>
      <c r="G246" s="29"/>
      <c r="H246" s="29"/>
      <c r="I246" s="7"/>
      <c r="J246" s="7"/>
      <c r="K246" s="7"/>
      <c r="L246" s="7"/>
      <c r="M246" s="2"/>
      <c r="N246" s="2"/>
    </row>
    <row r="247" spans="2:14" ht="15.75" customHeight="1" x14ac:dyDescent="0.2">
      <c r="B247" s="2"/>
      <c r="C247" s="29"/>
      <c r="D247" s="29"/>
      <c r="E247" s="263"/>
      <c r="F247" s="29"/>
      <c r="G247" s="29"/>
      <c r="H247" s="29"/>
      <c r="I247" s="7"/>
      <c r="J247" s="7"/>
      <c r="K247" s="7"/>
      <c r="L247" s="7"/>
      <c r="M247" s="2"/>
      <c r="N247" s="2"/>
    </row>
    <row r="248" spans="2:14" ht="15.75" customHeight="1" x14ac:dyDescent="0.2">
      <c r="B248" s="2"/>
      <c r="C248" s="29"/>
      <c r="D248" s="29"/>
      <c r="E248" s="263"/>
      <c r="F248" s="29"/>
      <c r="G248" s="29"/>
      <c r="H248" s="29"/>
      <c r="I248" s="7"/>
      <c r="J248" s="7"/>
      <c r="K248" s="7"/>
      <c r="L248" s="7"/>
      <c r="M248" s="2"/>
      <c r="N248" s="2"/>
    </row>
    <row r="249" spans="2:14" ht="15.75" customHeight="1" x14ac:dyDescent="0.2">
      <c r="B249" s="2"/>
      <c r="C249" s="29"/>
      <c r="D249" s="29"/>
      <c r="E249" s="263"/>
      <c r="F249" s="29"/>
      <c r="G249" s="29"/>
      <c r="H249" s="29"/>
      <c r="I249" s="7"/>
      <c r="J249" s="7"/>
      <c r="K249" s="7"/>
      <c r="L249" s="7"/>
      <c r="M249" s="2"/>
      <c r="N249" s="2"/>
    </row>
    <row r="250" spans="2:14" ht="15.75" customHeight="1" x14ac:dyDescent="0.2">
      <c r="B250" s="2"/>
      <c r="C250" s="29"/>
      <c r="D250" s="29"/>
      <c r="E250" s="263"/>
      <c r="F250" s="29"/>
      <c r="G250" s="29"/>
      <c r="H250" s="29"/>
      <c r="I250" s="7"/>
      <c r="J250" s="7"/>
      <c r="K250" s="7"/>
      <c r="L250" s="7"/>
      <c r="M250" s="2"/>
      <c r="N250" s="2"/>
    </row>
    <row r="251" spans="2:14" ht="15.75" customHeight="1" x14ac:dyDescent="0.2">
      <c r="B251" s="2"/>
      <c r="C251" s="29"/>
      <c r="D251" s="29"/>
      <c r="E251" s="263"/>
      <c r="F251" s="29"/>
      <c r="G251" s="29"/>
      <c r="H251" s="29"/>
      <c r="I251" s="7"/>
      <c r="J251" s="7"/>
      <c r="K251" s="7"/>
      <c r="L251" s="7"/>
      <c r="M251" s="2"/>
      <c r="N251" s="2"/>
    </row>
    <row r="252" spans="2:14" ht="15.75" customHeight="1" x14ac:dyDescent="0.2">
      <c r="B252" s="2"/>
      <c r="C252" s="29"/>
      <c r="D252" s="29"/>
      <c r="E252" s="263"/>
      <c r="F252" s="29"/>
      <c r="G252" s="29"/>
      <c r="H252" s="29"/>
      <c r="I252" s="7"/>
      <c r="J252" s="7"/>
      <c r="K252" s="7"/>
      <c r="L252" s="7"/>
      <c r="M252" s="2"/>
      <c r="N252" s="2"/>
    </row>
    <row r="253" spans="2:14" ht="15.75" customHeight="1" x14ac:dyDescent="0.2">
      <c r="B253" s="2"/>
      <c r="C253" s="29"/>
      <c r="D253" s="29"/>
      <c r="E253" s="263"/>
      <c r="F253" s="29"/>
      <c r="G253" s="29"/>
      <c r="H253" s="29"/>
      <c r="I253" s="7"/>
      <c r="J253" s="7"/>
      <c r="K253" s="7"/>
      <c r="L253" s="7"/>
      <c r="M253" s="2"/>
      <c r="N253" s="2"/>
    </row>
    <row r="254" spans="2:14" ht="15.75" customHeight="1" x14ac:dyDescent="0.2">
      <c r="B254" s="2"/>
      <c r="C254" s="29"/>
      <c r="D254" s="29"/>
      <c r="E254" s="263"/>
      <c r="F254" s="29"/>
      <c r="G254" s="29"/>
      <c r="H254" s="29"/>
      <c r="I254" s="7"/>
      <c r="J254" s="7"/>
      <c r="K254" s="7"/>
      <c r="L254" s="7"/>
      <c r="M254" s="2"/>
      <c r="N254" s="2"/>
    </row>
    <row r="255" spans="2:14" ht="15.75" customHeight="1" x14ac:dyDescent="0.2">
      <c r="B255" s="2"/>
      <c r="C255" s="29"/>
      <c r="D255" s="29"/>
      <c r="E255" s="263"/>
      <c r="F255" s="29"/>
      <c r="G255" s="29"/>
      <c r="H255" s="29"/>
      <c r="I255" s="7"/>
      <c r="J255" s="7"/>
      <c r="K255" s="7"/>
      <c r="L255" s="7"/>
      <c r="M255" s="2"/>
      <c r="N255" s="2"/>
    </row>
    <row r="256" spans="2:14" ht="15.75" customHeight="1" x14ac:dyDescent="0.2">
      <c r="B256" s="2"/>
      <c r="C256" s="29"/>
      <c r="D256" s="29"/>
      <c r="E256" s="263"/>
      <c r="F256" s="29"/>
      <c r="G256" s="29"/>
      <c r="H256" s="29"/>
      <c r="I256" s="7"/>
      <c r="J256" s="7"/>
      <c r="K256" s="7"/>
      <c r="L256" s="7"/>
      <c r="M256" s="2"/>
      <c r="N256" s="2"/>
    </row>
    <row r="257" spans="2:14" ht="15.75" customHeight="1" x14ac:dyDescent="0.2">
      <c r="B257" s="2"/>
      <c r="C257" s="29"/>
      <c r="D257" s="29"/>
      <c r="E257" s="263"/>
      <c r="F257" s="29"/>
      <c r="G257" s="29"/>
      <c r="H257" s="29"/>
      <c r="I257" s="7"/>
      <c r="J257" s="7"/>
      <c r="K257" s="7"/>
      <c r="L257" s="7"/>
      <c r="M257" s="2"/>
      <c r="N257" s="2"/>
    </row>
    <row r="258" spans="2:14" ht="15.75" customHeight="1" x14ac:dyDescent="0.2">
      <c r="B258" s="2"/>
      <c r="C258" s="29"/>
      <c r="D258" s="29"/>
      <c r="E258" s="263"/>
      <c r="F258" s="29"/>
      <c r="G258" s="29"/>
      <c r="H258" s="29"/>
      <c r="I258" s="7"/>
      <c r="J258" s="7"/>
      <c r="K258" s="7"/>
      <c r="L258" s="7"/>
      <c r="M258" s="2"/>
      <c r="N258" s="2"/>
    </row>
    <row r="259" spans="2:14" ht="15.75" customHeight="1" x14ac:dyDescent="0.2">
      <c r="B259" s="2"/>
      <c r="C259" s="29"/>
      <c r="D259" s="29"/>
      <c r="E259" s="263"/>
      <c r="F259" s="29"/>
      <c r="G259" s="29"/>
      <c r="H259" s="29"/>
      <c r="I259" s="7"/>
      <c r="J259" s="7"/>
      <c r="K259" s="7"/>
      <c r="L259" s="7"/>
      <c r="M259" s="2"/>
      <c r="N259" s="2"/>
    </row>
    <row r="260" spans="2:14" ht="15.75" customHeight="1" x14ac:dyDescent="0.2">
      <c r="B260" s="2"/>
      <c r="C260" s="29"/>
      <c r="D260" s="29"/>
      <c r="E260" s="263"/>
      <c r="F260" s="29"/>
      <c r="G260" s="29"/>
      <c r="H260" s="29"/>
      <c r="I260" s="7"/>
      <c r="J260" s="7"/>
      <c r="K260" s="7"/>
      <c r="L260" s="7"/>
      <c r="M260" s="2"/>
      <c r="N260" s="2"/>
    </row>
    <row r="261" spans="2:14" ht="15.75" customHeight="1" x14ac:dyDescent="0.2">
      <c r="B261" s="2"/>
      <c r="C261" s="29"/>
      <c r="D261" s="29"/>
      <c r="E261" s="263"/>
      <c r="F261" s="29"/>
      <c r="G261" s="29"/>
      <c r="H261" s="29"/>
      <c r="I261" s="7"/>
      <c r="J261" s="7"/>
      <c r="K261" s="7"/>
      <c r="L261" s="7"/>
      <c r="M261" s="2"/>
      <c r="N261" s="2"/>
    </row>
    <row r="262" spans="2:14" ht="15.75" customHeight="1" x14ac:dyDescent="0.2">
      <c r="B262" s="2"/>
      <c r="C262" s="29"/>
      <c r="D262" s="29"/>
      <c r="E262" s="263"/>
      <c r="F262" s="29"/>
      <c r="G262" s="29"/>
      <c r="H262" s="29"/>
      <c r="I262" s="7"/>
      <c r="J262" s="7"/>
      <c r="K262" s="7"/>
      <c r="L262" s="7"/>
      <c r="M262" s="2"/>
      <c r="N262" s="2"/>
    </row>
    <row r="263" spans="2:14" ht="15.75" customHeight="1" x14ac:dyDescent="0.2">
      <c r="B263" s="2"/>
      <c r="C263" s="29"/>
      <c r="D263" s="29"/>
      <c r="E263" s="263"/>
      <c r="F263" s="29"/>
      <c r="G263" s="29"/>
      <c r="H263" s="29"/>
      <c r="I263" s="7"/>
      <c r="J263" s="7"/>
      <c r="K263" s="7"/>
      <c r="L263" s="7"/>
      <c r="M263" s="2"/>
      <c r="N263" s="2"/>
    </row>
    <row r="264" spans="2:14" ht="15.75" customHeight="1" x14ac:dyDescent="0.2">
      <c r="B264" s="2"/>
      <c r="C264" s="29"/>
      <c r="D264" s="29"/>
      <c r="E264" s="263"/>
      <c r="F264" s="29"/>
      <c r="G264" s="29"/>
      <c r="H264" s="29"/>
      <c r="I264" s="7"/>
      <c r="J264" s="7"/>
      <c r="K264" s="7"/>
      <c r="L264" s="7"/>
      <c r="M264" s="2"/>
      <c r="N264" s="2"/>
    </row>
    <row r="265" spans="2:14" ht="15.75" customHeight="1" x14ac:dyDescent="0.2">
      <c r="B265" s="2"/>
      <c r="C265" s="29"/>
      <c r="D265" s="29"/>
      <c r="E265" s="263"/>
      <c r="F265" s="29"/>
      <c r="G265" s="29"/>
      <c r="H265" s="29"/>
      <c r="I265" s="7"/>
      <c r="J265" s="7"/>
      <c r="K265" s="7"/>
      <c r="L265" s="7"/>
      <c r="M265" s="2"/>
      <c r="N265" s="2"/>
    </row>
    <row r="266" spans="2:14" ht="15.75" customHeight="1" x14ac:dyDescent="0.2">
      <c r="B266" s="2"/>
      <c r="C266" s="29"/>
      <c r="D266" s="29"/>
      <c r="E266" s="263"/>
      <c r="F266" s="29"/>
      <c r="G266" s="29"/>
      <c r="H266" s="29"/>
      <c r="I266" s="7"/>
      <c r="J266" s="7"/>
      <c r="K266" s="7"/>
      <c r="L266" s="7"/>
      <c r="M266" s="2"/>
      <c r="N266" s="2"/>
    </row>
    <row r="267" spans="2:14" ht="15.75" customHeight="1" x14ac:dyDescent="0.2">
      <c r="B267" s="2"/>
      <c r="C267" s="29"/>
      <c r="D267" s="29"/>
      <c r="E267" s="263"/>
      <c r="F267" s="29"/>
      <c r="G267" s="29"/>
      <c r="H267" s="29"/>
      <c r="I267" s="7"/>
      <c r="J267" s="7"/>
      <c r="K267" s="7"/>
      <c r="L267" s="7"/>
      <c r="M267" s="2"/>
      <c r="N267" s="2"/>
    </row>
    <row r="268" spans="2:14" ht="15.75" customHeight="1" x14ac:dyDescent="0.2">
      <c r="B268" s="2"/>
      <c r="C268" s="29"/>
      <c r="D268" s="29"/>
      <c r="E268" s="263"/>
      <c r="F268" s="29"/>
      <c r="G268" s="29"/>
      <c r="H268" s="29"/>
      <c r="I268" s="7"/>
      <c r="J268" s="7"/>
      <c r="K268" s="7"/>
      <c r="L268" s="7"/>
      <c r="M268" s="2"/>
      <c r="N268" s="2"/>
    </row>
    <row r="269" spans="2:14" ht="15.75" customHeight="1" x14ac:dyDescent="0.2">
      <c r="B269" s="2"/>
      <c r="C269" s="29"/>
      <c r="D269" s="29"/>
      <c r="E269" s="263"/>
      <c r="F269" s="29"/>
      <c r="G269" s="29"/>
      <c r="H269" s="29"/>
      <c r="I269" s="7"/>
      <c r="J269" s="7"/>
      <c r="K269" s="7"/>
      <c r="L269" s="7"/>
      <c r="M269" s="2"/>
      <c r="N269" s="2"/>
    </row>
    <row r="270" spans="2:14" ht="15.75" customHeight="1" x14ac:dyDescent="0.2">
      <c r="B270" s="2"/>
      <c r="C270" s="29"/>
      <c r="D270" s="29"/>
      <c r="E270" s="263"/>
      <c r="F270" s="29"/>
      <c r="G270" s="29"/>
      <c r="H270" s="29"/>
      <c r="I270" s="7"/>
      <c r="J270" s="7"/>
      <c r="K270" s="7"/>
      <c r="L270" s="7"/>
      <c r="M270" s="2"/>
      <c r="N270" s="2"/>
    </row>
    <row r="271" spans="2:14" ht="15.75" customHeight="1" x14ac:dyDescent="0.2">
      <c r="B271" s="2"/>
      <c r="C271" s="29"/>
      <c r="D271" s="29"/>
      <c r="E271" s="263"/>
      <c r="F271" s="29"/>
      <c r="G271" s="29"/>
      <c r="H271" s="29"/>
      <c r="I271" s="7"/>
      <c r="J271" s="7"/>
      <c r="K271" s="7"/>
      <c r="L271" s="7"/>
      <c r="M271" s="2"/>
      <c r="N271" s="2"/>
    </row>
    <row r="272" spans="2:14" ht="15.75" customHeight="1" x14ac:dyDescent="0.2">
      <c r="B272" s="2"/>
      <c r="C272" s="29"/>
      <c r="D272" s="29"/>
      <c r="E272" s="263"/>
      <c r="F272" s="29"/>
      <c r="G272" s="29"/>
      <c r="H272" s="29"/>
      <c r="I272" s="7"/>
      <c r="J272" s="7"/>
      <c r="K272" s="7"/>
      <c r="L272" s="7"/>
      <c r="M272" s="2"/>
      <c r="N272" s="2"/>
    </row>
    <row r="273" spans="2:14" ht="15.75" customHeight="1" x14ac:dyDescent="0.2">
      <c r="B273" s="2"/>
      <c r="C273" s="29"/>
      <c r="D273" s="29"/>
      <c r="E273" s="263"/>
      <c r="F273" s="29"/>
      <c r="G273" s="29"/>
      <c r="H273" s="29"/>
      <c r="I273" s="7"/>
      <c r="J273" s="7"/>
      <c r="K273" s="7"/>
      <c r="L273" s="7"/>
      <c r="M273" s="2"/>
      <c r="N273" s="2"/>
    </row>
    <row r="274" spans="2:14" ht="15.75" customHeight="1" x14ac:dyDescent="0.2">
      <c r="B274" s="2"/>
      <c r="C274" s="29"/>
      <c r="D274" s="29"/>
      <c r="E274" s="263"/>
      <c r="F274" s="29"/>
      <c r="G274" s="29"/>
      <c r="H274" s="29"/>
      <c r="I274" s="7"/>
      <c r="J274" s="7"/>
      <c r="K274" s="7"/>
      <c r="L274" s="7"/>
      <c r="M274" s="2"/>
      <c r="N274" s="2"/>
    </row>
    <row r="275" spans="2:14" ht="15.75" customHeight="1" x14ac:dyDescent="0.2">
      <c r="B275" s="2"/>
      <c r="C275" s="29"/>
      <c r="D275" s="29"/>
      <c r="E275" s="263"/>
      <c r="F275" s="29"/>
      <c r="G275" s="29"/>
      <c r="H275" s="29"/>
      <c r="I275" s="7"/>
      <c r="J275" s="7"/>
      <c r="K275" s="7"/>
      <c r="L275" s="7"/>
      <c r="M275" s="2"/>
      <c r="N275" s="2"/>
    </row>
    <row r="276" spans="2:14" ht="15.75" customHeight="1" x14ac:dyDescent="0.2">
      <c r="B276" s="2"/>
      <c r="C276" s="29"/>
      <c r="D276" s="29"/>
      <c r="E276" s="263"/>
      <c r="F276" s="29"/>
      <c r="G276" s="29"/>
      <c r="H276" s="29"/>
      <c r="I276" s="7"/>
      <c r="J276" s="7"/>
      <c r="K276" s="7"/>
      <c r="L276" s="7"/>
      <c r="M276" s="2"/>
      <c r="N276" s="2"/>
    </row>
    <row r="277" spans="2:14" ht="15.75" customHeight="1" x14ac:dyDescent="0.2">
      <c r="B277" s="2"/>
      <c r="C277" s="29"/>
      <c r="D277" s="29"/>
      <c r="E277" s="263"/>
      <c r="F277" s="29"/>
      <c r="G277" s="29"/>
      <c r="H277" s="29"/>
      <c r="I277" s="7"/>
      <c r="J277" s="7"/>
      <c r="K277" s="7"/>
      <c r="L277" s="7"/>
      <c r="M277" s="2"/>
      <c r="N277" s="2"/>
    </row>
    <row r="278" spans="2:14" ht="15.75" customHeight="1" x14ac:dyDescent="0.2">
      <c r="B278" s="2"/>
      <c r="C278" s="29"/>
      <c r="D278" s="29"/>
      <c r="E278" s="263"/>
      <c r="F278" s="29"/>
      <c r="G278" s="29"/>
      <c r="H278" s="29"/>
      <c r="I278" s="7"/>
      <c r="J278" s="7"/>
      <c r="K278" s="7"/>
      <c r="L278" s="7"/>
      <c r="M278" s="2"/>
      <c r="N278" s="2"/>
    </row>
    <row r="279" spans="2:14" ht="15.75" customHeight="1" x14ac:dyDescent="0.2">
      <c r="B279" s="2"/>
      <c r="C279" s="29"/>
      <c r="D279" s="29"/>
      <c r="E279" s="263"/>
      <c r="F279" s="29"/>
      <c r="G279" s="29"/>
      <c r="H279" s="29"/>
      <c r="I279" s="7"/>
      <c r="J279" s="7"/>
      <c r="K279" s="7"/>
      <c r="L279" s="7"/>
      <c r="M279" s="2"/>
      <c r="N279" s="2"/>
    </row>
    <row r="280" spans="2:14" ht="15.75" customHeight="1" x14ac:dyDescent="0.2">
      <c r="B280" s="2"/>
      <c r="C280" s="29"/>
      <c r="D280" s="29"/>
      <c r="E280" s="263"/>
      <c r="F280" s="29"/>
      <c r="G280" s="29"/>
      <c r="H280" s="29"/>
      <c r="I280" s="7"/>
      <c r="J280" s="7"/>
      <c r="K280" s="7"/>
      <c r="L280" s="7"/>
      <c r="M280" s="2"/>
      <c r="N280" s="2"/>
    </row>
    <row r="281" spans="2:14" ht="15.75" customHeight="1" x14ac:dyDescent="0.2">
      <c r="B281" s="2"/>
      <c r="C281" s="29"/>
      <c r="D281" s="29"/>
      <c r="E281" s="263"/>
      <c r="F281" s="29"/>
      <c r="G281" s="29"/>
      <c r="H281" s="29"/>
      <c r="I281" s="7"/>
      <c r="J281" s="7"/>
      <c r="K281" s="7"/>
      <c r="L281" s="7"/>
      <c r="M281" s="2"/>
      <c r="N281" s="2"/>
    </row>
    <row r="282" spans="2:14" ht="15.75" customHeight="1" x14ac:dyDescent="0.2">
      <c r="B282" s="2"/>
      <c r="C282" s="29"/>
      <c r="D282" s="29"/>
      <c r="E282" s="263"/>
      <c r="F282" s="29"/>
      <c r="G282" s="29"/>
      <c r="H282" s="29"/>
      <c r="I282" s="7"/>
      <c r="J282" s="7"/>
      <c r="K282" s="7"/>
      <c r="L282" s="7"/>
      <c r="M282" s="2"/>
      <c r="N282" s="2"/>
    </row>
    <row r="283" spans="2:14" ht="15.75" customHeight="1" x14ac:dyDescent="0.2">
      <c r="B283" s="2"/>
      <c r="C283" s="29"/>
      <c r="D283" s="29"/>
      <c r="E283" s="263"/>
      <c r="F283" s="29"/>
      <c r="G283" s="29"/>
      <c r="H283" s="29"/>
      <c r="I283" s="7"/>
      <c r="J283" s="7"/>
      <c r="K283" s="7"/>
      <c r="L283" s="7"/>
      <c r="M283" s="2"/>
      <c r="N283" s="2"/>
    </row>
    <row r="284" spans="2:14" ht="15.75" customHeight="1" x14ac:dyDescent="0.2">
      <c r="B284" s="2"/>
      <c r="C284" s="29"/>
      <c r="D284" s="29"/>
      <c r="E284" s="263"/>
      <c r="F284" s="29"/>
      <c r="G284" s="29"/>
      <c r="H284" s="29"/>
      <c r="I284" s="7"/>
      <c r="J284" s="7"/>
      <c r="K284" s="7"/>
      <c r="L284" s="7"/>
      <c r="M284" s="2"/>
      <c r="N284" s="2"/>
    </row>
    <row r="285" spans="2:14" ht="15.75" customHeight="1" x14ac:dyDescent="0.2">
      <c r="B285" s="2"/>
      <c r="C285" s="29"/>
      <c r="D285" s="29"/>
      <c r="E285" s="263"/>
      <c r="F285" s="29"/>
      <c r="G285" s="29"/>
      <c r="H285" s="29"/>
      <c r="I285" s="7"/>
      <c r="J285" s="7"/>
      <c r="K285" s="7"/>
      <c r="L285" s="7"/>
      <c r="M285" s="2"/>
      <c r="N285" s="2"/>
    </row>
    <row r="286" spans="2:14" ht="15.75" customHeight="1" x14ac:dyDescent="0.2">
      <c r="B286" s="2"/>
      <c r="C286" s="29"/>
      <c r="D286" s="29"/>
      <c r="E286" s="263"/>
      <c r="F286" s="29"/>
      <c r="G286" s="29"/>
      <c r="H286" s="29"/>
      <c r="I286" s="7"/>
      <c r="J286" s="7"/>
      <c r="K286" s="7"/>
      <c r="L286" s="7"/>
      <c r="M286" s="2"/>
      <c r="N286" s="2"/>
    </row>
    <row r="287" spans="2:14" ht="15.75" customHeight="1" x14ac:dyDescent="0.2">
      <c r="B287" s="2"/>
      <c r="C287" s="29"/>
      <c r="D287" s="29"/>
      <c r="E287" s="263"/>
      <c r="F287" s="29"/>
      <c r="G287" s="29"/>
      <c r="H287" s="29"/>
      <c r="I287" s="7"/>
      <c r="J287" s="7"/>
      <c r="K287" s="7"/>
      <c r="L287" s="7"/>
      <c r="M287" s="2"/>
      <c r="N287" s="2"/>
    </row>
    <row r="288" spans="2:14" ht="15.75" customHeight="1" x14ac:dyDescent="0.2">
      <c r="B288" s="2"/>
      <c r="C288" s="29"/>
      <c r="D288" s="29"/>
      <c r="E288" s="263"/>
      <c r="F288" s="29"/>
      <c r="G288" s="29"/>
      <c r="H288" s="29"/>
      <c r="I288" s="7"/>
      <c r="J288" s="7"/>
      <c r="K288" s="7"/>
      <c r="L288" s="7"/>
      <c r="M288" s="2"/>
      <c r="N288" s="2"/>
    </row>
    <row r="289" spans="2:14" ht="15.75" customHeight="1" x14ac:dyDescent="0.2">
      <c r="B289" s="2"/>
      <c r="C289" s="29"/>
      <c r="D289" s="29"/>
      <c r="E289" s="263"/>
      <c r="F289" s="29"/>
      <c r="G289" s="29"/>
      <c r="H289" s="29"/>
      <c r="I289" s="7"/>
      <c r="J289" s="7"/>
      <c r="K289" s="7"/>
      <c r="L289" s="7"/>
      <c r="M289" s="2"/>
      <c r="N289" s="2"/>
    </row>
    <row r="290" spans="2:14" ht="15.75" customHeight="1" x14ac:dyDescent="0.2">
      <c r="B290" s="2"/>
      <c r="C290" s="29"/>
      <c r="D290" s="29"/>
      <c r="E290" s="263"/>
      <c r="F290" s="29"/>
      <c r="G290" s="29"/>
      <c r="H290" s="29"/>
      <c r="I290" s="7"/>
      <c r="J290" s="7"/>
      <c r="K290" s="7"/>
      <c r="L290" s="7"/>
      <c r="M290" s="2"/>
      <c r="N290" s="2"/>
    </row>
    <row r="291" spans="2:14" ht="15.75" customHeight="1" x14ac:dyDescent="0.2">
      <c r="B291" s="2"/>
      <c r="C291" s="29"/>
      <c r="D291" s="29"/>
      <c r="E291" s="263"/>
      <c r="F291" s="29"/>
      <c r="G291" s="29"/>
      <c r="H291" s="29"/>
      <c r="I291" s="7"/>
      <c r="J291" s="7"/>
      <c r="K291" s="7"/>
      <c r="L291" s="7"/>
      <c r="M291" s="2"/>
      <c r="N291" s="2"/>
    </row>
    <row r="292" spans="2:14" ht="15.75" customHeight="1" x14ac:dyDescent="0.2">
      <c r="B292" s="2"/>
      <c r="C292" s="29"/>
      <c r="D292" s="29"/>
      <c r="E292" s="263"/>
      <c r="F292" s="29"/>
      <c r="G292" s="29"/>
      <c r="H292" s="29"/>
      <c r="I292" s="7"/>
      <c r="J292" s="7"/>
      <c r="K292" s="7"/>
      <c r="L292" s="7"/>
      <c r="M292" s="2"/>
      <c r="N292" s="2"/>
    </row>
    <row r="293" spans="2:14" ht="15.75" customHeight="1" x14ac:dyDescent="0.2">
      <c r="B293" s="2"/>
      <c r="C293" s="29"/>
      <c r="D293" s="29"/>
      <c r="E293" s="263"/>
      <c r="F293" s="29"/>
      <c r="G293" s="29"/>
      <c r="H293" s="29"/>
      <c r="I293" s="7"/>
      <c r="J293" s="7"/>
      <c r="K293" s="7"/>
      <c r="L293" s="7"/>
      <c r="M293" s="2"/>
      <c r="N293" s="2"/>
    </row>
    <row r="294" spans="2:14" ht="15.75" customHeight="1" x14ac:dyDescent="0.2">
      <c r="B294" s="2"/>
      <c r="C294" s="29"/>
      <c r="D294" s="29"/>
      <c r="E294" s="263"/>
      <c r="F294" s="29"/>
      <c r="G294" s="29"/>
      <c r="H294" s="29"/>
      <c r="I294" s="7"/>
      <c r="J294" s="7"/>
      <c r="K294" s="7"/>
      <c r="L294" s="7"/>
      <c r="M294" s="2"/>
      <c r="N294" s="2"/>
    </row>
    <row r="295" spans="2:14" ht="15.75" customHeight="1" x14ac:dyDescent="0.2">
      <c r="B295" s="2"/>
      <c r="C295" s="29"/>
      <c r="D295" s="29"/>
      <c r="E295" s="263"/>
      <c r="F295" s="29"/>
      <c r="G295" s="29"/>
      <c r="H295" s="29"/>
      <c r="I295" s="7"/>
      <c r="J295" s="7"/>
      <c r="K295" s="7"/>
      <c r="L295" s="7"/>
      <c r="M295" s="2"/>
      <c r="N295" s="2"/>
    </row>
    <row r="296" spans="2:14" ht="15.75" customHeight="1" x14ac:dyDescent="0.2">
      <c r="B296" s="2"/>
      <c r="C296" s="29"/>
      <c r="D296" s="29"/>
      <c r="E296" s="263"/>
      <c r="F296" s="29"/>
      <c r="G296" s="29"/>
      <c r="H296" s="29"/>
      <c r="I296" s="7"/>
      <c r="J296" s="7"/>
      <c r="K296" s="7"/>
      <c r="L296" s="7"/>
      <c r="M296" s="2"/>
      <c r="N296" s="2"/>
    </row>
    <row r="297" spans="2:14" ht="15.75" customHeight="1" x14ac:dyDescent="0.2">
      <c r="B297" s="2"/>
      <c r="C297" s="29"/>
      <c r="D297" s="29"/>
      <c r="E297" s="263"/>
      <c r="F297" s="29"/>
      <c r="G297" s="29"/>
      <c r="H297" s="29"/>
      <c r="I297" s="7"/>
      <c r="J297" s="7"/>
      <c r="K297" s="7"/>
      <c r="L297" s="7"/>
      <c r="M297" s="2"/>
      <c r="N297" s="2"/>
    </row>
    <row r="298" spans="2:14" ht="15.75" customHeight="1" x14ac:dyDescent="0.2">
      <c r="B298" s="2"/>
      <c r="C298" s="29"/>
      <c r="D298" s="29"/>
      <c r="E298" s="263"/>
      <c r="F298" s="29"/>
      <c r="G298" s="29"/>
      <c r="H298" s="29"/>
      <c r="I298" s="7"/>
      <c r="J298" s="7"/>
      <c r="K298" s="7"/>
      <c r="L298" s="7"/>
      <c r="M298" s="2"/>
      <c r="N298" s="2"/>
    </row>
    <row r="299" spans="2:14" ht="15.75" customHeight="1" x14ac:dyDescent="0.2">
      <c r="B299" s="2"/>
      <c r="C299" s="29"/>
      <c r="D299" s="29"/>
      <c r="E299" s="263"/>
      <c r="F299" s="29"/>
      <c r="G299" s="29"/>
      <c r="H299" s="29"/>
      <c r="I299" s="7"/>
      <c r="J299" s="7"/>
      <c r="K299" s="7"/>
      <c r="L299" s="7"/>
      <c r="M299" s="2"/>
      <c r="N299" s="2"/>
    </row>
    <row r="300" spans="2:14" ht="15.75" customHeight="1" x14ac:dyDescent="0.2">
      <c r="B300" s="2"/>
      <c r="C300" s="29"/>
      <c r="D300" s="29"/>
      <c r="E300" s="263"/>
      <c r="F300" s="29"/>
      <c r="G300" s="29"/>
      <c r="H300" s="29"/>
      <c r="I300" s="7"/>
      <c r="J300" s="7"/>
      <c r="K300" s="7"/>
      <c r="L300" s="7"/>
      <c r="M300" s="2"/>
      <c r="N300" s="2"/>
    </row>
    <row r="301" spans="2:14" ht="15.75" customHeight="1" x14ac:dyDescent="0.2">
      <c r="B301" s="2"/>
      <c r="C301" s="29"/>
      <c r="D301" s="29"/>
      <c r="E301" s="263"/>
      <c r="F301" s="29"/>
      <c r="G301" s="29"/>
      <c r="H301" s="29"/>
      <c r="I301" s="7"/>
      <c r="J301" s="7"/>
      <c r="K301" s="7"/>
      <c r="L301" s="7"/>
      <c r="M301" s="2"/>
      <c r="N301" s="2"/>
    </row>
    <row r="302" spans="2:14" ht="15.75" customHeight="1" x14ac:dyDescent="0.2">
      <c r="B302" s="2"/>
      <c r="C302" s="29"/>
      <c r="D302" s="29"/>
      <c r="E302" s="263"/>
      <c r="F302" s="29"/>
      <c r="G302" s="29"/>
      <c r="H302" s="29"/>
      <c r="I302" s="7"/>
      <c r="J302" s="7"/>
      <c r="K302" s="7"/>
      <c r="L302" s="7"/>
      <c r="M302" s="2"/>
      <c r="N302" s="2"/>
    </row>
    <row r="303" spans="2:14" ht="15.75" customHeight="1" x14ac:dyDescent="0.2">
      <c r="B303" s="2"/>
      <c r="C303" s="29"/>
      <c r="D303" s="29"/>
      <c r="E303" s="263"/>
      <c r="F303" s="29"/>
      <c r="G303" s="29"/>
      <c r="H303" s="29"/>
      <c r="I303" s="7"/>
      <c r="J303" s="7"/>
      <c r="K303" s="7"/>
      <c r="L303" s="7"/>
      <c r="M303" s="2"/>
      <c r="N303" s="2"/>
    </row>
    <row r="304" spans="2:14" ht="15.75" customHeight="1" x14ac:dyDescent="0.2">
      <c r="B304" s="2"/>
      <c r="C304" s="29"/>
      <c r="D304" s="29"/>
      <c r="E304" s="263"/>
      <c r="F304" s="29"/>
      <c r="G304" s="29"/>
      <c r="H304" s="29"/>
      <c r="I304" s="7"/>
      <c r="J304" s="7"/>
      <c r="K304" s="7"/>
      <c r="L304" s="7"/>
      <c r="M304" s="2"/>
      <c r="N304" s="2"/>
    </row>
    <row r="305" spans="2:14" ht="15.75" customHeight="1" x14ac:dyDescent="0.2">
      <c r="B305" s="2"/>
      <c r="C305" s="29"/>
      <c r="D305" s="29"/>
      <c r="E305" s="263"/>
      <c r="F305" s="29"/>
      <c r="G305" s="29"/>
      <c r="H305" s="29"/>
      <c r="I305" s="7"/>
      <c r="J305" s="7"/>
      <c r="K305" s="7"/>
      <c r="L305" s="7"/>
      <c r="M305" s="2"/>
      <c r="N305" s="2"/>
    </row>
    <row r="306" spans="2:14" ht="15.75" customHeight="1" x14ac:dyDescent="0.2">
      <c r="B306" s="2"/>
      <c r="C306" s="29"/>
      <c r="D306" s="29"/>
      <c r="E306" s="263"/>
      <c r="F306" s="29"/>
      <c r="G306" s="29"/>
      <c r="H306" s="29"/>
      <c r="I306" s="7"/>
      <c r="J306" s="7"/>
      <c r="K306" s="7"/>
      <c r="L306" s="7"/>
      <c r="M306" s="2"/>
      <c r="N306" s="2"/>
    </row>
    <row r="307" spans="2:14" ht="15.75" customHeight="1" x14ac:dyDescent="0.2">
      <c r="B307" s="2"/>
      <c r="C307" s="29"/>
      <c r="D307" s="29"/>
      <c r="E307" s="263"/>
      <c r="F307" s="29"/>
      <c r="G307" s="29"/>
      <c r="H307" s="29"/>
      <c r="I307" s="7"/>
      <c r="J307" s="7"/>
      <c r="K307" s="7"/>
      <c r="L307" s="7"/>
      <c r="M307" s="2"/>
      <c r="N307" s="2"/>
    </row>
    <row r="308" spans="2:14" ht="15.75" customHeight="1" x14ac:dyDescent="0.2">
      <c r="B308" s="2"/>
      <c r="C308" s="29"/>
      <c r="D308" s="29"/>
      <c r="E308" s="263"/>
      <c r="F308" s="29"/>
      <c r="G308" s="29"/>
      <c r="H308" s="29"/>
      <c r="I308" s="7"/>
      <c r="J308" s="7"/>
      <c r="K308" s="7"/>
      <c r="L308" s="7"/>
      <c r="M308" s="2"/>
      <c r="N308" s="2"/>
    </row>
    <row r="309" spans="2:14" ht="15.75" customHeight="1" x14ac:dyDescent="0.2">
      <c r="B309" s="2"/>
      <c r="C309" s="29"/>
      <c r="D309" s="29"/>
      <c r="E309" s="263"/>
      <c r="F309" s="29"/>
      <c r="G309" s="29"/>
      <c r="H309" s="29"/>
      <c r="I309" s="7"/>
      <c r="J309" s="7"/>
      <c r="K309" s="7"/>
      <c r="L309" s="7"/>
      <c r="M309" s="2"/>
      <c r="N309" s="2"/>
    </row>
    <row r="310" spans="2:14" ht="15.75" customHeight="1" x14ac:dyDescent="0.2">
      <c r="B310" s="2"/>
      <c r="C310" s="29"/>
      <c r="D310" s="29"/>
      <c r="E310" s="263"/>
      <c r="F310" s="29"/>
      <c r="G310" s="29"/>
      <c r="H310" s="29"/>
      <c r="I310" s="7"/>
      <c r="J310" s="7"/>
      <c r="K310" s="7"/>
      <c r="L310" s="7"/>
      <c r="M310" s="2"/>
      <c r="N310" s="2"/>
    </row>
    <row r="311" spans="2:14" ht="15.75" customHeight="1" x14ac:dyDescent="0.2">
      <c r="B311" s="2"/>
      <c r="C311" s="29"/>
      <c r="D311" s="29"/>
      <c r="E311" s="263"/>
      <c r="F311" s="29"/>
      <c r="G311" s="29"/>
      <c r="H311" s="29"/>
      <c r="I311" s="7"/>
      <c r="J311" s="7"/>
      <c r="K311" s="7"/>
      <c r="L311" s="7"/>
      <c r="M311" s="2"/>
      <c r="N311" s="2"/>
    </row>
    <row r="312" spans="2:14" ht="15.75" customHeight="1" x14ac:dyDescent="0.2">
      <c r="B312" s="2"/>
      <c r="C312" s="29"/>
      <c r="D312" s="29"/>
      <c r="E312" s="263"/>
      <c r="F312" s="29"/>
      <c r="G312" s="29"/>
      <c r="H312" s="29"/>
      <c r="I312" s="7"/>
      <c r="J312" s="7"/>
      <c r="K312" s="7"/>
      <c r="L312" s="7"/>
      <c r="M312" s="2"/>
      <c r="N312" s="2"/>
    </row>
    <row r="313" spans="2:14" ht="15.75" customHeight="1" x14ac:dyDescent="0.2">
      <c r="B313" s="2"/>
      <c r="C313" s="29"/>
      <c r="D313" s="29"/>
      <c r="E313" s="263"/>
      <c r="F313" s="29"/>
      <c r="G313" s="29"/>
      <c r="H313" s="29"/>
      <c r="I313" s="7"/>
      <c r="J313" s="7"/>
      <c r="K313" s="7"/>
      <c r="L313" s="7"/>
      <c r="M313" s="2"/>
      <c r="N313" s="2"/>
    </row>
    <row r="314" spans="2:14" ht="15.75" customHeight="1" x14ac:dyDescent="0.2">
      <c r="B314" s="2"/>
      <c r="C314" s="29"/>
      <c r="D314" s="29"/>
      <c r="E314" s="263"/>
      <c r="F314" s="29"/>
      <c r="G314" s="29"/>
      <c r="H314" s="29"/>
      <c r="I314" s="7"/>
      <c r="J314" s="7"/>
      <c r="K314" s="7"/>
      <c r="L314" s="7"/>
      <c r="M314" s="2"/>
      <c r="N314" s="2"/>
    </row>
    <row r="315" spans="2:14" ht="15.75" customHeight="1" x14ac:dyDescent="0.2">
      <c r="B315" s="2"/>
      <c r="C315" s="29"/>
      <c r="D315" s="29"/>
      <c r="E315" s="263"/>
      <c r="F315" s="29"/>
      <c r="G315" s="29"/>
      <c r="H315" s="29"/>
      <c r="I315" s="7"/>
      <c r="J315" s="7"/>
      <c r="K315" s="7"/>
      <c r="L315" s="7"/>
      <c r="M315" s="2"/>
      <c r="N315" s="2"/>
    </row>
    <row r="316" spans="2:14" ht="15.75" customHeight="1" x14ac:dyDescent="0.2">
      <c r="B316" s="2"/>
      <c r="C316" s="29"/>
      <c r="D316" s="29"/>
      <c r="E316" s="263"/>
      <c r="F316" s="29"/>
      <c r="G316" s="29"/>
      <c r="H316" s="29"/>
      <c r="I316" s="7"/>
      <c r="J316" s="7"/>
      <c r="K316" s="7"/>
      <c r="L316" s="7"/>
      <c r="M316" s="2"/>
      <c r="N316" s="2"/>
    </row>
    <row r="317" spans="2:14" ht="15.75" customHeight="1" x14ac:dyDescent="0.2">
      <c r="B317" s="2"/>
      <c r="C317" s="29"/>
      <c r="D317" s="29"/>
      <c r="E317" s="263"/>
      <c r="F317" s="29"/>
      <c r="G317" s="29"/>
      <c r="H317" s="29"/>
      <c r="I317" s="7"/>
      <c r="J317" s="7"/>
      <c r="K317" s="7"/>
      <c r="L317" s="7"/>
      <c r="M317" s="2"/>
      <c r="N317" s="2"/>
    </row>
    <row r="318" spans="2:14" ht="15.75" customHeight="1" x14ac:dyDescent="0.2">
      <c r="B318" s="2"/>
      <c r="C318" s="29"/>
      <c r="D318" s="29"/>
      <c r="E318" s="263"/>
      <c r="F318" s="29"/>
      <c r="G318" s="29"/>
      <c r="H318" s="29"/>
      <c r="I318" s="7"/>
      <c r="J318" s="7"/>
      <c r="K318" s="7"/>
      <c r="L318" s="7"/>
      <c r="M318" s="2"/>
      <c r="N318" s="2"/>
    </row>
    <row r="319" spans="2:14" ht="15.75" customHeight="1" x14ac:dyDescent="0.2">
      <c r="B319" s="2"/>
      <c r="C319" s="29"/>
      <c r="D319" s="29"/>
      <c r="E319" s="263"/>
      <c r="F319" s="29"/>
      <c r="G319" s="29"/>
      <c r="H319" s="29"/>
      <c r="I319" s="7"/>
      <c r="J319" s="7"/>
      <c r="K319" s="7"/>
      <c r="L319" s="7"/>
      <c r="M319" s="2"/>
      <c r="N319" s="2"/>
    </row>
    <row r="320" spans="2:14" ht="15.75" customHeight="1" x14ac:dyDescent="0.2">
      <c r="B320" s="2"/>
      <c r="C320" s="29"/>
      <c r="D320" s="29"/>
      <c r="E320" s="263"/>
      <c r="F320" s="29"/>
      <c r="G320" s="29"/>
      <c r="H320" s="29"/>
      <c r="I320" s="7"/>
      <c r="J320" s="7"/>
      <c r="K320" s="7"/>
      <c r="L320" s="7"/>
      <c r="M320" s="2"/>
      <c r="N320" s="2"/>
    </row>
    <row r="321" spans="2:14" ht="15.75" customHeight="1" x14ac:dyDescent="0.2">
      <c r="B321" s="2"/>
      <c r="C321" s="29"/>
      <c r="D321" s="29"/>
      <c r="E321" s="263"/>
      <c r="F321" s="29"/>
      <c r="G321" s="29"/>
      <c r="H321" s="29"/>
      <c r="I321" s="7"/>
      <c r="J321" s="7"/>
      <c r="K321" s="7"/>
      <c r="L321" s="7"/>
      <c r="M321" s="2"/>
      <c r="N321" s="2"/>
    </row>
    <row r="322" spans="2:14" ht="15.75" customHeight="1" x14ac:dyDescent="0.2">
      <c r="B322" s="2"/>
      <c r="C322" s="29"/>
      <c r="D322" s="29"/>
      <c r="E322" s="263"/>
      <c r="F322" s="29"/>
      <c r="G322" s="29"/>
      <c r="H322" s="29"/>
      <c r="I322" s="7"/>
      <c r="J322" s="7"/>
      <c r="K322" s="7"/>
      <c r="L322" s="7"/>
      <c r="M322" s="2"/>
      <c r="N322" s="2"/>
    </row>
    <row r="323" spans="2:14" ht="15.75" customHeight="1" x14ac:dyDescent="0.2">
      <c r="B323" s="2"/>
      <c r="C323" s="29"/>
      <c r="D323" s="29"/>
      <c r="E323" s="263"/>
      <c r="F323" s="29"/>
      <c r="G323" s="29"/>
      <c r="H323" s="29"/>
      <c r="I323" s="7"/>
      <c r="J323" s="7"/>
      <c r="K323" s="7"/>
      <c r="L323" s="7"/>
      <c r="M323" s="2"/>
      <c r="N323" s="2"/>
    </row>
    <row r="324" spans="2:14" ht="15.75" customHeight="1" x14ac:dyDescent="0.2">
      <c r="B324" s="2"/>
      <c r="C324" s="29"/>
      <c r="D324" s="29"/>
      <c r="E324" s="263"/>
      <c r="F324" s="29"/>
      <c r="G324" s="29"/>
      <c r="H324" s="29"/>
      <c r="I324" s="7"/>
      <c r="J324" s="7"/>
      <c r="K324" s="7"/>
      <c r="L324" s="7"/>
      <c r="M324" s="2"/>
      <c r="N324" s="2"/>
    </row>
    <row r="325" spans="2:14" ht="15.75" customHeight="1" x14ac:dyDescent="0.2">
      <c r="B325" s="2"/>
      <c r="C325" s="29"/>
      <c r="D325" s="29"/>
      <c r="E325" s="263"/>
      <c r="F325" s="29"/>
      <c r="G325" s="29"/>
      <c r="H325" s="29"/>
      <c r="I325" s="7"/>
      <c r="J325" s="7"/>
      <c r="K325" s="7"/>
      <c r="L325" s="7"/>
      <c r="M325" s="2"/>
      <c r="N325" s="2"/>
    </row>
    <row r="326" spans="2:14" ht="15.75" customHeight="1" x14ac:dyDescent="0.2">
      <c r="B326" s="2"/>
      <c r="C326" s="29"/>
      <c r="D326" s="29"/>
      <c r="E326" s="263"/>
      <c r="F326" s="29"/>
      <c r="G326" s="29"/>
      <c r="H326" s="29"/>
      <c r="I326" s="7"/>
      <c r="J326" s="7"/>
      <c r="K326" s="7"/>
      <c r="L326" s="7"/>
      <c r="M326" s="2"/>
      <c r="N326" s="2"/>
    </row>
    <row r="327" spans="2:14" ht="15.75" customHeight="1" x14ac:dyDescent="0.2">
      <c r="B327" s="2"/>
      <c r="C327" s="29"/>
      <c r="D327" s="29"/>
      <c r="E327" s="263"/>
      <c r="F327" s="29"/>
      <c r="G327" s="29"/>
      <c r="H327" s="29"/>
      <c r="I327" s="7"/>
      <c r="J327" s="7"/>
      <c r="K327" s="7"/>
      <c r="L327" s="7"/>
      <c r="M327" s="2"/>
      <c r="N327" s="2"/>
    </row>
    <row r="328" spans="2:14" ht="15.75" customHeight="1" x14ac:dyDescent="0.2">
      <c r="B328" s="2"/>
      <c r="C328" s="29"/>
      <c r="D328" s="29"/>
      <c r="E328" s="263"/>
      <c r="F328" s="29"/>
      <c r="G328" s="29"/>
      <c r="H328" s="29"/>
      <c r="I328" s="7"/>
      <c r="J328" s="7"/>
      <c r="K328" s="7"/>
      <c r="L328" s="7"/>
      <c r="M328" s="2"/>
      <c r="N328" s="2"/>
    </row>
    <row r="329" spans="2:14" ht="15.75" customHeight="1" x14ac:dyDescent="0.2">
      <c r="B329" s="2"/>
      <c r="C329" s="29"/>
      <c r="D329" s="29"/>
      <c r="E329" s="263"/>
      <c r="F329" s="29"/>
      <c r="G329" s="29"/>
      <c r="H329" s="29"/>
      <c r="I329" s="7"/>
      <c r="J329" s="7"/>
      <c r="K329" s="7"/>
      <c r="L329" s="7"/>
      <c r="M329" s="2"/>
      <c r="N329" s="2"/>
    </row>
    <row r="330" spans="2:14" ht="15.75" customHeight="1" x14ac:dyDescent="0.2">
      <c r="B330" s="2"/>
      <c r="C330" s="29"/>
      <c r="D330" s="29"/>
      <c r="E330" s="263"/>
      <c r="F330" s="29"/>
      <c r="G330" s="29"/>
      <c r="H330" s="29"/>
      <c r="I330" s="7"/>
      <c r="J330" s="7"/>
      <c r="K330" s="7"/>
      <c r="L330" s="7"/>
      <c r="M330" s="2"/>
      <c r="N330" s="2"/>
    </row>
    <row r="331" spans="2:14" ht="15.75" customHeight="1" x14ac:dyDescent="0.2">
      <c r="B331" s="2"/>
      <c r="C331" s="29"/>
      <c r="D331" s="29"/>
      <c r="E331" s="263"/>
      <c r="F331" s="29"/>
      <c r="G331" s="29"/>
      <c r="H331" s="29"/>
      <c r="I331" s="7"/>
      <c r="J331" s="7"/>
      <c r="K331" s="7"/>
      <c r="L331" s="7"/>
      <c r="M331" s="2"/>
      <c r="N331" s="2"/>
    </row>
    <row r="332" spans="2:14" ht="15.75" customHeight="1" x14ac:dyDescent="0.2">
      <c r="B332" s="2"/>
      <c r="C332" s="29"/>
      <c r="D332" s="29"/>
      <c r="E332" s="263"/>
      <c r="F332" s="29"/>
      <c r="G332" s="29"/>
      <c r="H332" s="29"/>
      <c r="I332" s="7"/>
      <c r="J332" s="7"/>
      <c r="K332" s="7"/>
      <c r="L332" s="7"/>
      <c r="M332" s="2"/>
      <c r="N332" s="2"/>
    </row>
    <row r="333" spans="2:14" ht="15.75" customHeight="1" x14ac:dyDescent="0.2">
      <c r="B333" s="2"/>
      <c r="C333" s="29"/>
      <c r="D333" s="29"/>
      <c r="E333" s="263"/>
      <c r="F333" s="29"/>
      <c r="G333" s="29"/>
      <c r="H333" s="29"/>
      <c r="I333" s="7"/>
      <c r="J333" s="7"/>
      <c r="K333" s="7"/>
      <c r="L333" s="7"/>
      <c r="M333" s="2"/>
      <c r="N333" s="2"/>
    </row>
    <row r="334" spans="2:14" ht="15.75" customHeight="1" x14ac:dyDescent="0.2">
      <c r="B334" s="2"/>
      <c r="C334" s="29"/>
      <c r="D334" s="29"/>
      <c r="E334" s="263"/>
      <c r="F334" s="29"/>
      <c r="G334" s="29"/>
      <c r="H334" s="29"/>
      <c r="I334" s="7"/>
      <c r="J334" s="7"/>
      <c r="K334" s="7"/>
      <c r="L334" s="7"/>
      <c r="M334" s="2"/>
      <c r="N334" s="2"/>
    </row>
    <row r="335" spans="2:14" ht="15.75" customHeight="1" x14ac:dyDescent="0.2">
      <c r="B335" s="2"/>
      <c r="C335" s="29"/>
      <c r="D335" s="29"/>
      <c r="E335" s="263"/>
      <c r="F335" s="29"/>
      <c r="G335" s="29"/>
      <c r="H335" s="29"/>
      <c r="I335" s="7"/>
      <c r="J335" s="7"/>
      <c r="K335" s="7"/>
      <c r="L335" s="7"/>
      <c r="M335" s="2"/>
      <c r="N335" s="2"/>
    </row>
    <row r="336" spans="2:14" ht="15.75" customHeight="1" x14ac:dyDescent="0.2">
      <c r="B336" s="2"/>
      <c r="C336" s="29"/>
      <c r="D336" s="29"/>
      <c r="E336" s="263"/>
      <c r="F336" s="29"/>
      <c r="G336" s="29"/>
      <c r="H336" s="29"/>
      <c r="I336" s="7"/>
      <c r="J336" s="7"/>
      <c r="K336" s="7"/>
      <c r="L336" s="7"/>
      <c r="M336" s="2"/>
      <c r="N336" s="2"/>
    </row>
    <row r="337" spans="2:14" ht="15.75" customHeight="1" x14ac:dyDescent="0.2">
      <c r="B337" s="2"/>
      <c r="C337" s="29"/>
      <c r="D337" s="29"/>
      <c r="E337" s="263"/>
      <c r="F337" s="29"/>
      <c r="G337" s="29"/>
      <c r="H337" s="29"/>
      <c r="I337" s="7"/>
      <c r="J337" s="7"/>
      <c r="K337" s="7"/>
      <c r="L337" s="7"/>
      <c r="M337" s="2"/>
      <c r="N337" s="2"/>
    </row>
    <row r="338" spans="2:14" ht="15.75" customHeight="1" x14ac:dyDescent="0.2">
      <c r="B338" s="2"/>
      <c r="C338" s="29"/>
      <c r="D338" s="29"/>
      <c r="E338" s="263"/>
      <c r="F338" s="29"/>
      <c r="G338" s="29"/>
      <c r="H338" s="29"/>
      <c r="I338" s="7"/>
      <c r="J338" s="7"/>
      <c r="K338" s="7"/>
      <c r="L338" s="7"/>
      <c r="M338" s="2"/>
      <c r="N338" s="2"/>
    </row>
    <row r="339" spans="2:14" ht="15.75" customHeight="1" x14ac:dyDescent="0.2">
      <c r="B339" s="2"/>
      <c r="C339" s="29"/>
      <c r="D339" s="29"/>
      <c r="E339" s="263"/>
      <c r="F339" s="29"/>
      <c r="G339" s="29"/>
      <c r="H339" s="29"/>
      <c r="I339" s="7"/>
      <c r="J339" s="7"/>
      <c r="K339" s="7"/>
      <c r="L339" s="7"/>
      <c r="M339" s="2"/>
      <c r="N339" s="2"/>
    </row>
    <row r="340" spans="2:14" ht="15.75" customHeight="1" x14ac:dyDescent="0.2">
      <c r="B340" s="2"/>
      <c r="C340" s="29"/>
      <c r="D340" s="29"/>
      <c r="E340" s="263"/>
      <c r="F340" s="29"/>
      <c r="G340" s="29"/>
      <c r="H340" s="29"/>
      <c r="I340" s="7"/>
      <c r="J340" s="7"/>
      <c r="K340" s="7"/>
      <c r="L340" s="7"/>
      <c r="M340" s="2"/>
      <c r="N340" s="2"/>
    </row>
    <row r="341" spans="2:14" ht="15.75" customHeight="1" x14ac:dyDescent="0.2">
      <c r="B341" s="2"/>
      <c r="C341" s="29"/>
      <c r="D341" s="29"/>
      <c r="E341" s="263"/>
      <c r="F341" s="29"/>
      <c r="G341" s="29"/>
      <c r="H341" s="29"/>
      <c r="I341" s="7"/>
      <c r="J341" s="7"/>
      <c r="K341" s="7"/>
      <c r="L341" s="7"/>
      <c r="M341" s="2"/>
      <c r="N341" s="2"/>
    </row>
    <row r="342" spans="2:14" ht="15.75" customHeight="1" x14ac:dyDescent="0.2">
      <c r="B342" s="2"/>
      <c r="C342" s="29"/>
      <c r="D342" s="29"/>
      <c r="E342" s="263"/>
      <c r="F342" s="29"/>
      <c r="G342" s="29"/>
      <c r="H342" s="29"/>
      <c r="I342" s="7"/>
      <c r="J342" s="7"/>
      <c r="K342" s="7"/>
      <c r="L342" s="7"/>
      <c r="M342" s="2"/>
      <c r="N342" s="2"/>
    </row>
    <row r="343" spans="2:14" ht="15.75" customHeight="1" x14ac:dyDescent="0.2">
      <c r="B343" s="2"/>
      <c r="C343" s="29"/>
      <c r="D343" s="29"/>
      <c r="E343" s="263"/>
      <c r="F343" s="29"/>
      <c r="G343" s="29"/>
      <c r="H343" s="29"/>
      <c r="I343" s="7"/>
      <c r="J343" s="7"/>
      <c r="K343" s="7"/>
      <c r="L343" s="7"/>
      <c r="M343" s="2"/>
      <c r="N343" s="2"/>
    </row>
    <row r="344" spans="2:14" ht="15.75" customHeight="1" x14ac:dyDescent="0.2">
      <c r="B344" s="2"/>
      <c r="C344" s="29"/>
      <c r="D344" s="29"/>
      <c r="E344" s="263"/>
      <c r="F344" s="29"/>
      <c r="G344" s="29"/>
      <c r="H344" s="29"/>
      <c r="I344" s="7"/>
      <c r="J344" s="7"/>
      <c r="K344" s="7"/>
      <c r="L344" s="7"/>
      <c r="M344" s="2"/>
      <c r="N344" s="2"/>
    </row>
    <row r="345" spans="2:14" ht="15.75" customHeight="1" x14ac:dyDescent="0.2">
      <c r="B345" s="2"/>
      <c r="C345" s="29"/>
      <c r="D345" s="29"/>
      <c r="E345" s="263"/>
      <c r="F345" s="29"/>
      <c r="G345" s="29"/>
      <c r="H345" s="29"/>
      <c r="I345" s="7"/>
      <c r="J345" s="7"/>
      <c r="K345" s="7"/>
      <c r="L345" s="7"/>
      <c r="M345" s="2"/>
      <c r="N345" s="2"/>
    </row>
    <row r="346" spans="2:14" ht="15.75" customHeight="1" x14ac:dyDescent="0.2">
      <c r="B346" s="2"/>
      <c r="C346" s="29"/>
      <c r="D346" s="29"/>
      <c r="E346" s="263"/>
      <c r="F346" s="29"/>
      <c r="G346" s="29"/>
      <c r="H346" s="29"/>
      <c r="I346" s="7"/>
      <c r="J346" s="7"/>
      <c r="K346" s="7"/>
      <c r="L346" s="7"/>
      <c r="M346" s="2"/>
      <c r="N346" s="2"/>
    </row>
    <row r="347" spans="2:14" ht="15.75" customHeight="1" x14ac:dyDescent="0.2">
      <c r="B347" s="2"/>
      <c r="C347" s="29"/>
      <c r="D347" s="29"/>
      <c r="E347" s="263"/>
      <c r="F347" s="29"/>
      <c r="G347" s="29"/>
      <c r="H347" s="29"/>
      <c r="I347" s="7"/>
      <c r="J347" s="7"/>
      <c r="K347" s="7"/>
      <c r="L347" s="7"/>
      <c r="M347" s="2"/>
      <c r="N347" s="2"/>
    </row>
    <row r="348" spans="2:14" ht="15.75" customHeight="1" x14ac:dyDescent="0.2">
      <c r="B348" s="2"/>
      <c r="C348" s="29"/>
      <c r="D348" s="29"/>
      <c r="E348" s="263"/>
      <c r="F348" s="29"/>
      <c r="G348" s="29"/>
      <c r="H348" s="29"/>
      <c r="I348" s="7"/>
      <c r="J348" s="7"/>
      <c r="K348" s="7"/>
      <c r="L348" s="7"/>
      <c r="M348" s="2"/>
      <c r="N348" s="2"/>
    </row>
    <row r="349" spans="2:14" ht="15.75" customHeight="1" x14ac:dyDescent="0.2">
      <c r="B349" s="2"/>
      <c r="C349" s="29"/>
      <c r="D349" s="29"/>
      <c r="E349" s="263"/>
      <c r="F349" s="29"/>
      <c r="G349" s="29"/>
      <c r="H349" s="29"/>
      <c r="I349" s="7"/>
      <c r="J349" s="7"/>
      <c r="K349" s="7"/>
      <c r="L349" s="7"/>
      <c r="M349" s="2"/>
      <c r="N349" s="2"/>
    </row>
    <row r="350" spans="2:14" ht="15.75" customHeight="1" x14ac:dyDescent="0.2">
      <c r="B350" s="2"/>
      <c r="C350" s="29"/>
      <c r="D350" s="29"/>
      <c r="E350" s="263"/>
      <c r="F350" s="29"/>
      <c r="G350" s="29"/>
      <c r="H350" s="29"/>
      <c r="I350" s="7"/>
      <c r="J350" s="7"/>
      <c r="K350" s="7"/>
      <c r="L350" s="7"/>
      <c r="M350" s="2"/>
      <c r="N350" s="2"/>
    </row>
    <row r="351" spans="2:14" ht="15.75" customHeight="1" x14ac:dyDescent="0.2">
      <c r="B351" s="2"/>
      <c r="C351" s="29"/>
      <c r="D351" s="29"/>
      <c r="E351" s="263"/>
      <c r="F351" s="29"/>
      <c r="G351" s="29"/>
      <c r="H351" s="29"/>
      <c r="I351" s="7"/>
      <c r="J351" s="7"/>
      <c r="K351" s="7"/>
      <c r="L351" s="7"/>
      <c r="M351" s="2"/>
      <c r="N351" s="2"/>
    </row>
    <row r="352" spans="2:14" ht="15.75" customHeight="1" x14ac:dyDescent="0.2">
      <c r="B352" s="2"/>
      <c r="C352" s="29"/>
      <c r="D352" s="29"/>
      <c r="E352" s="263"/>
      <c r="F352" s="29"/>
      <c r="G352" s="29"/>
      <c r="H352" s="29"/>
      <c r="I352" s="7"/>
      <c r="J352" s="7"/>
      <c r="K352" s="7"/>
      <c r="L352" s="7"/>
      <c r="M352" s="2"/>
      <c r="N352" s="2"/>
    </row>
    <row r="353" spans="2:14" ht="15.75" customHeight="1" x14ac:dyDescent="0.2">
      <c r="B353" s="2"/>
      <c r="C353" s="29"/>
      <c r="D353" s="29"/>
      <c r="E353" s="263"/>
      <c r="F353" s="29"/>
      <c r="G353" s="29"/>
      <c r="H353" s="29"/>
      <c r="I353" s="7"/>
      <c r="J353" s="7"/>
      <c r="K353" s="7"/>
      <c r="L353" s="7"/>
      <c r="M353" s="2"/>
      <c r="N353" s="2"/>
    </row>
    <row r="354" spans="2:14" ht="15.75" customHeight="1" x14ac:dyDescent="0.2">
      <c r="B354" s="2"/>
      <c r="C354" s="29"/>
      <c r="D354" s="29"/>
      <c r="E354" s="263"/>
      <c r="F354" s="29"/>
      <c r="G354" s="29"/>
      <c r="H354" s="29"/>
      <c r="I354" s="7"/>
      <c r="J354" s="7"/>
      <c r="K354" s="7"/>
      <c r="L354" s="7"/>
      <c r="M354" s="2"/>
      <c r="N354" s="2"/>
    </row>
    <row r="355" spans="2:14" ht="15.75" customHeight="1" x14ac:dyDescent="0.2">
      <c r="B355" s="2"/>
      <c r="C355" s="29"/>
      <c r="D355" s="29"/>
      <c r="E355" s="263"/>
      <c r="F355" s="29"/>
      <c r="G355" s="29"/>
      <c r="H355" s="29"/>
      <c r="I355" s="7"/>
      <c r="J355" s="7"/>
      <c r="K355" s="7"/>
      <c r="L355" s="7"/>
      <c r="M355" s="2"/>
      <c r="N355" s="2"/>
    </row>
    <row r="356" spans="2:14" ht="15.75" customHeight="1" x14ac:dyDescent="0.2">
      <c r="B356" s="2"/>
      <c r="C356" s="29"/>
      <c r="D356" s="29"/>
      <c r="E356" s="263"/>
      <c r="F356" s="29"/>
      <c r="G356" s="29"/>
      <c r="H356" s="29"/>
      <c r="I356" s="7"/>
      <c r="J356" s="7"/>
      <c r="K356" s="7"/>
      <c r="L356" s="7"/>
      <c r="M356" s="2"/>
      <c r="N356" s="2"/>
    </row>
    <row r="357" spans="2:14" ht="15.75" customHeight="1" x14ac:dyDescent="0.2">
      <c r="B357" s="2"/>
      <c r="C357" s="29"/>
      <c r="D357" s="29"/>
      <c r="E357" s="263"/>
      <c r="F357" s="29"/>
      <c r="G357" s="29"/>
      <c r="H357" s="29"/>
      <c r="I357" s="7"/>
      <c r="J357" s="7"/>
      <c r="K357" s="7"/>
      <c r="L357" s="7"/>
      <c r="M357" s="2"/>
      <c r="N357" s="2"/>
    </row>
    <row r="358" spans="2:14" ht="15.75" customHeight="1" x14ac:dyDescent="0.2">
      <c r="B358" s="2"/>
      <c r="C358" s="29"/>
      <c r="D358" s="29"/>
      <c r="E358" s="263"/>
      <c r="F358" s="29"/>
      <c r="G358" s="29"/>
      <c r="H358" s="29"/>
      <c r="I358" s="7"/>
      <c r="J358" s="7"/>
      <c r="K358" s="7"/>
      <c r="L358" s="7"/>
      <c r="M358" s="2"/>
      <c r="N358" s="2"/>
    </row>
    <row r="359" spans="2:14" ht="15.75" customHeight="1" x14ac:dyDescent="0.2">
      <c r="B359" s="2"/>
      <c r="C359" s="29"/>
      <c r="D359" s="29"/>
      <c r="E359" s="263"/>
      <c r="F359" s="29"/>
      <c r="G359" s="29"/>
      <c r="H359" s="29"/>
      <c r="I359" s="7"/>
      <c r="J359" s="7"/>
      <c r="K359" s="7"/>
      <c r="L359" s="7"/>
      <c r="M359" s="2"/>
      <c r="N359" s="2"/>
    </row>
    <row r="360" spans="2:14" ht="15.75" customHeight="1" x14ac:dyDescent="0.2">
      <c r="B360" s="2"/>
      <c r="C360" s="29"/>
      <c r="D360" s="29"/>
      <c r="E360" s="263"/>
      <c r="F360" s="29"/>
      <c r="G360" s="29"/>
      <c r="H360" s="29"/>
      <c r="I360" s="7"/>
      <c r="J360" s="7"/>
      <c r="K360" s="7"/>
      <c r="L360" s="7"/>
      <c r="M360" s="2"/>
      <c r="N360" s="2"/>
    </row>
    <row r="361" spans="2:14" ht="15.75" customHeight="1" x14ac:dyDescent="0.2">
      <c r="B361" s="2"/>
      <c r="C361" s="29"/>
      <c r="D361" s="29"/>
      <c r="E361" s="263"/>
      <c r="F361" s="29"/>
      <c r="G361" s="29"/>
      <c r="H361" s="29"/>
      <c r="I361" s="7"/>
      <c r="J361" s="7"/>
      <c r="K361" s="7"/>
      <c r="L361" s="7"/>
      <c r="M361" s="2"/>
      <c r="N361" s="2"/>
    </row>
    <row r="362" spans="2:14" ht="15.75" customHeight="1" x14ac:dyDescent="0.2">
      <c r="B362" s="2"/>
      <c r="C362" s="29"/>
      <c r="D362" s="29"/>
      <c r="E362" s="263"/>
      <c r="F362" s="29"/>
      <c r="G362" s="29"/>
      <c r="H362" s="29"/>
      <c r="I362" s="7"/>
      <c r="J362" s="7"/>
      <c r="K362" s="7"/>
      <c r="L362" s="7"/>
      <c r="M362" s="2"/>
      <c r="N362" s="2"/>
    </row>
    <row r="363" spans="2:14" ht="15.75" customHeight="1" x14ac:dyDescent="0.2">
      <c r="B363" s="2"/>
      <c r="C363" s="29"/>
      <c r="D363" s="29"/>
      <c r="E363" s="263"/>
      <c r="F363" s="29"/>
      <c r="G363" s="29"/>
      <c r="H363" s="29"/>
      <c r="I363" s="7"/>
      <c r="J363" s="7"/>
      <c r="K363" s="7"/>
      <c r="L363" s="7"/>
      <c r="M363" s="2"/>
      <c r="N363" s="2"/>
    </row>
    <row r="364" spans="2:14" ht="15.75" customHeight="1" x14ac:dyDescent="0.2">
      <c r="B364" s="2"/>
      <c r="C364" s="29"/>
      <c r="D364" s="29"/>
      <c r="E364" s="263"/>
      <c r="F364" s="29"/>
      <c r="G364" s="29"/>
      <c r="H364" s="29"/>
      <c r="I364" s="7"/>
      <c r="J364" s="7"/>
      <c r="K364" s="7"/>
      <c r="L364" s="7"/>
      <c r="M364" s="2"/>
      <c r="N364" s="2"/>
    </row>
    <row r="365" spans="2:14" ht="15.75" customHeight="1" x14ac:dyDescent="0.2">
      <c r="B365" s="2"/>
      <c r="C365" s="29"/>
      <c r="D365" s="29"/>
      <c r="E365" s="263"/>
      <c r="F365" s="29"/>
      <c r="G365" s="29"/>
      <c r="H365" s="29"/>
      <c r="I365" s="7"/>
      <c r="J365" s="7"/>
      <c r="K365" s="7"/>
      <c r="L365" s="7"/>
      <c r="M365" s="2"/>
      <c r="N365" s="2"/>
    </row>
    <row r="366" spans="2:14" ht="15.75" customHeight="1" x14ac:dyDescent="0.2">
      <c r="B366" s="2"/>
      <c r="C366" s="29"/>
      <c r="D366" s="29"/>
      <c r="E366" s="263"/>
      <c r="F366" s="29"/>
      <c r="G366" s="29"/>
      <c r="H366" s="29"/>
      <c r="I366" s="7"/>
      <c r="J366" s="7"/>
      <c r="K366" s="7"/>
      <c r="L366" s="7"/>
      <c r="M366" s="2"/>
      <c r="N366" s="2"/>
    </row>
    <row r="367" spans="2:14" ht="15.75" customHeight="1" x14ac:dyDescent="0.2">
      <c r="B367" s="2"/>
      <c r="C367" s="29"/>
      <c r="D367" s="29"/>
      <c r="E367" s="263"/>
      <c r="F367" s="29"/>
      <c r="G367" s="29"/>
      <c r="H367" s="29"/>
      <c r="I367" s="7"/>
      <c r="J367" s="7"/>
      <c r="K367" s="7"/>
      <c r="L367" s="7"/>
      <c r="M367" s="2"/>
      <c r="N367" s="2"/>
    </row>
    <row r="368" spans="2:14" ht="15.75" customHeight="1" x14ac:dyDescent="0.2">
      <c r="B368" s="2"/>
      <c r="C368" s="29"/>
      <c r="D368" s="29"/>
      <c r="E368" s="263"/>
      <c r="F368" s="29"/>
      <c r="G368" s="29"/>
      <c r="H368" s="29"/>
      <c r="I368" s="7"/>
      <c r="J368" s="7"/>
      <c r="K368" s="7"/>
      <c r="L368" s="7"/>
      <c r="M368" s="2"/>
      <c r="N368" s="2"/>
    </row>
    <row r="369" spans="2:14" ht="15.75" customHeight="1" x14ac:dyDescent="0.2">
      <c r="B369" s="2"/>
      <c r="C369" s="29"/>
      <c r="D369" s="29"/>
      <c r="E369" s="263"/>
      <c r="F369" s="29"/>
      <c r="G369" s="29"/>
      <c r="H369" s="29"/>
      <c r="I369" s="7"/>
      <c r="J369" s="7"/>
      <c r="K369" s="7"/>
      <c r="L369" s="7"/>
      <c r="M369" s="2"/>
      <c r="N369" s="2"/>
    </row>
    <row r="370" spans="2:14" ht="15.75" customHeight="1" x14ac:dyDescent="0.2">
      <c r="B370" s="2"/>
      <c r="C370" s="29"/>
      <c r="D370" s="29"/>
      <c r="E370" s="263"/>
      <c r="F370" s="29"/>
      <c r="G370" s="29"/>
      <c r="H370" s="29"/>
      <c r="I370" s="7"/>
      <c r="J370" s="7"/>
      <c r="K370" s="7"/>
      <c r="L370" s="7"/>
      <c r="M370" s="2"/>
      <c r="N370" s="2"/>
    </row>
    <row r="371" spans="2:14" ht="15.75" customHeight="1" x14ac:dyDescent="0.2">
      <c r="B371" s="2"/>
      <c r="C371" s="29"/>
      <c r="D371" s="29"/>
      <c r="E371" s="263"/>
      <c r="F371" s="29"/>
      <c r="G371" s="29"/>
      <c r="H371" s="29"/>
      <c r="I371" s="7"/>
      <c r="J371" s="7"/>
      <c r="K371" s="7"/>
      <c r="L371" s="7"/>
      <c r="M371" s="2"/>
      <c r="N371" s="2"/>
    </row>
    <row r="372" spans="2:14" ht="15.75" customHeight="1" x14ac:dyDescent="0.2">
      <c r="B372" s="2"/>
      <c r="C372" s="29"/>
      <c r="D372" s="29"/>
      <c r="E372" s="263"/>
      <c r="F372" s="29"/>
      <c r="G372" s="29"/>
      <c r="H372" s="29"/>
      <c r="I372" s="7"/>
      <c r="J372" s="7"/>
      <c r="K372" s="7"/>
      <c r="L372" s="7"/>
      <c r="M372" s="2"/>
      <c r="N372" s="2"/>
    </row>
    <row r="373" spans="2:14" ht="15.75" customHeight="1" x14ac:dyDescent="0.2">
      <c r="B373" s="2"/>
      <c r="C373" s="29"/>
      <c r="D373" s="29"/>
      <c r="E373" s="263"/>
      <c r="F373" s="29"/>
      <c r="G373" s="29"/>
      <c r="H373" s="29"/>
      <c r="I373" s="7"/>
      <c r="J373" s="7"/>
      <c r="K373" s="7"/>
      <c r="L373" s="7"/>
      <c r="M373" s="2"/>
      <c r="N373" s="2"/>
    </row>
    <row r="374" spans="2:14" ht="15.75" customHeight="1" x14ac:dyDescent="0.2">
      <c r="B374" s="2"/>
      <c r="C374" s="29"/>
      <c r="D374" s="29"/>
      <c r="E374" s="263"/>
      <c r="F374" s="29"/>
      <c r="G374" s="29"/>
      <c r="H374" s="29"/>
      <c r="I374" s="7"/>
      <c r="J374" s="7"/>
      <c r="K374" s="7"/>
      <c r="L374" s="7"/>
      <c r="M374" s="2"/>
      <c r="N374" s="2"/>
    </row>
    <row r="375" spans="2:14" ht="15.75" customHeight="1" x14ac:dyDescent="0.2">
      <c r="B375" s="2"/>
      <c r="C375" s="29"/>
      <c r="D375" s="29"/>
      <c r="E375" s="263"/>
      <c r="F375" s="29"/>
      <c r="G375" s="29"/>
      <c r="H375" s="29"/>
      <c r="I375" s="7"/>
      <c r="J375" s="7"/>
      <c r="K375" s="7"/>
      <c r="L375" s="7"/>
      <c r="M375" s="2"/>
      <c r="N375" s="2"/>
    </row>
    <row r="376" spans="2:14" ht="15.75" customHeight="1" x14ac:dyDescent="0.2">
      <c r="B376" s="2"/>
      <c r="C376" s="29"/>
      <c r="D376" s="29"/>
      <c r="E376" s="263"/>
      <c r="F376" s="29"/>
      <c r="G376" s="29"/>
      <c r="H376" s="29"/>
      <c r="I376" s="7"/>
      <c r="J376" s="7"/>
      <c r="K376" s="7"/>
      <c r="L376" s="7"/>
      <c r="M376" s="2"/>
      <c r="N376" s="2"/>
    </row>
    <row r="377" spans="2:14" ht="15.75" customHeight="1" x14ac:dyDescent="0.2">
      <c r="B377" s="2"/>
      <c r="C377" s="29"/>
      <c r="D377" s="29"/>
      <c r="E377" s="263"/>
      <c r="F377" s="29"/>
      <c r="G377" s="29"/>
      <c r="H377" s="29"/>
      <c r="I377" s="7"/>
      <c r="J377" s="7"/>
      <c r="K377" s="7"/>
      <c r="L377" s="7"/>
      <c r="M377" s="2"/>
      <c r="N377" s="2"/>
    </row>
    <row r="378" spans="2:14" ht="15.75" customHeight="1" x14ac:dyDescent="0.2">
      <c r="B378" s="2"/>
      <c r="C378" s="29"/>
      <c r="D378" s="29"/>
      <c r="E378" s="263"/>
      <c r="F378" s="29"/>
      <c r="G378" s="29"/>
      <c r="H378" s="29"/>
      <c r="I378" s="7"/>
      <c r="J378" s="7"/>
      <c r="K378" s="7"/>
      <c r="L378" s="7"/>
      <c r="M378" s="2"/>
      <c r="N378" s="2"/>
    </row>
    <row r="379" spans="2:14" ht="15.75" customHeight="1" x14ac:dyDescent="0.2">
      <c r="B379" s="2"/>
      <c r="C379" s="29"/>
      <c r="D379" s="29"/>
      <c r="E379" s="263"/>
      <c r="F379" s="29"/>
      <c r="G379" s="29"/>
      <c r="H379" s="29"/>
      <c r="I379" s="7"/>
      <c r="J379" s="7"/>
      <c r="K379" s="7"/>
      <c r="L379" s="7"/>
      <c r="M379" s="2"/>
      <c r="N379" s="2"/>
    </row>
    <row r="380" spans="2:14" ht="15.75" customHeight="1" x14ac:dyDescent="0.2">
      <c r="B380" s="2"/>
      <c r="C380" s="29"/>
      <c r="D380" s="29"/>
      <c r="E380" s="263"/>
      <c r="F380" s="29"/>
      <c r="G380" s="29"/>
      <c r="H380" s="29"/>
      <c r="I380" s="7"/>
      <c r="J380" s="7"/>
      <c r="K380" s="7"/>
      <c r="L380" s="7"/>
      <c r="M380" s="2"/>
      <c r="N380" s="2"/>
    </row>
    <row r="381" spans="2:14" ht="15.75" customHeight="1" x14ac:dyDescent="0.2">
      <c r="B381" s="2"/>
      <c r="C381" s="29"/>
      <c r="D381" s="29"/>
      <c r="E381" s="263"/>
      <c r="F381" s="29"/>
      <c r="G381" s="29"/>
      <c r="H381" s="29"/>
      <c r="I381" s="7"/>
      <c r="J381" s="7"/>
      <c r="K381" s="7"/>
      <c r="L381" s="7"/>
      <c r="M381" s="2"/>
      <c r="N381" s="2"/>
    </row>
    <row r="382" spans="2:14" ht="15.75" customHeight="1" x14ac:dyDescent="0.2">
      <c r="B382" s="2"/>
      <c r="C382" s="29"/>
      <c r="D382" s="29"/>
      <c r="E382" s="263"/>
      <c r="F382" s="29"/>
      <c r="G382" s="29"/>
      <c r="H382" s="29"/>
      <c r="I382" s="7"/>
      <c r="J382" s="7"/>
      <c r="K382" s="7"/>
      <c r="L382" s="7"/>
      <c r="M382" s="2"/>
      <c r="N382" s="2"/>
    </row>
    <row r="383" spans="2:14" ht="15.75" customHeight="1" x14ac:dyDescent="0.2">
      <c r="B383" s="2"/>
      <c r="C383" s="29"/>
      <c r="D383" s="29"/>
      <c r="E383" s="263"/>
      <c r="F383" s="29"/>
      <c r="G383" s="29"/>
      <c r="H383" s="29"/>
      <c r="I383" s="7"/>
      <c r="J383" s="7"/>
      <c r="K383" s="7"/>
      <c r="L383" s="7"/>
      <c r="M383" s="2"/>
      <c r="N383" s="2"/>
    </row>
    <row r="384" spans="2:14" ht="15.75" customHeight="1" x14ac:dyDescent="0.2">
      <c r="B384" s="2"/>
      <c r="C384" s="29"/>
      <c r="D384" s="29"/>
      <c r="E384" s="263"/>
      <c r="F384" s="29"/>
      <c r="G384" s="29"/>
      <c r="H384" s="29"/>
      <c r="I384" s="7"/>
      <c r="J384" s="7"/>
      <c r="K384" s="7"/>
      <c r="L384" s="7"/>
      <c r="M384" s="2"/>
      <c r="N384" s="2"/>
    </row>
    <row r="385" spans="2:14" ht="15.75" customHeight="1" x14ac:dyDescent="0.2">
      <c r="B385" s="2"/>
      <c r="C385" s="29"/>
      <c r="D385" s="29"/>
      <c r="E385" s="263"/>
      <c r="F385" s="29"/>
      <c r="G385" s="29"/>
      <c r="H385" s="29"/>
      <c r="I385" s="7"/>
      <c r="J385" s="7"/>
      <c r="K385" s="7"/>
      <c r="L385" s="7"/>
      <c r="M385" s="2"/>
      <c r="N385" s="2"/>
    </row>
    <row r="386" spans="2:14" ht="15.75" customHeight="1" x14ac:dyDescent="0.2">
      <c r="B386" s="2"/>
      <c r="C386" s="29"/>
      <c r="D386" s="29"/>
      <c r="E386" s="263"/>
      <c r="F386" s="29"/>
      <c r="G386" s="29"/>
      <c r="H386" s="29"/>
      <c r="I386" s="7"/>
      <c r="J386" s="7"/>
      <c r="K386" s="7"/>
      <c r="L386" s="7"/>
      <c r="M386" s="2"/>
      <c r="N386" s="2"/>
    </row>
    <row r="387" spans="2:14" ht="15.75" customHeight="1" x14ac:dyDescent="0.2">
      <c r="B387" s="2"/>
      <c r="C387" s="29"/>
      <c r="D387" s="29"/>
      <c r="E387" s="263"/>
      <c r="F387" s="29"/>
      <c r="G387" s="29"/>
      <c r="H387" s="29"/>
      <c r="I387" s="7"/>
      <c r="J387" s="7"/>
      <c r="K387" s="7"/>
      <c r="L387" s="7"/>
      <c r="M387" s="2"/>
      <c r="N387" s="2"/>
    </row>
    <row r="388" spans="2:14" ht="15.75" customHeight="1" x14ac:dyDescent="0.2">
      <c r="B388" s="2"/>
      <c r="C388" s="29"/>
      <c r="D388" s="29"/>
      <c r="E388" s="263"/>
      <c r="F388" s="29"/>
      <c r="G388" s="29"/>
      <c r="H388" s="29"/>
      <c r="I388" s="7"/>
      <c r="J388" s="7"/>
      <c r="K388" s="7"/>
      <c r="L388" s="7"/>
      <c r="M388" s="2"/>
      <c r="N388" s="2"/>
    </row>
    <row r="389" spans="2:14" ht="15.75" customHeight="1" x14ac:dyDescent="0.2">
      <c r="B389" s="2"/>
      <c r="C389" s="29"/>
      <c r="D389" s="29"/>
      <c r="E389" s="263"/>
      <c r="F389" s="29"/>
      <c r="G389" s="29"/>
      <c r="H389" s="29"/>
      <c r="I389" s="7"/>
      <c r="J389" s="7"/>
      <c r="K389" s="7"/>
      <c r="L389" s="7"/>
      <c r="M389" s="2"/>
      <c r="N389" s="2"/>
    </row>
    <row r="390" spans="2:14" ht="15.75" customHeight="1" x14ac:dyDescent="0.2">
      <c r="B390" s="2"/>
      <c r="C390" s="29"/>
      <c r="D390" s="29"/>
      <c r="E390" s="263"/>
      <c r="F390" s="29"/>
      <c r="G390" s="29"/>
      <c r="H390" s="29"/>
      <c r="I390" s="7"/>
      <c r="J390" s="7"/>
      <c r="K390" s="7"/>
      <c r="L390" s="7"/>
      <c r="M390" s="2"/>
      <c r="N390" s="2"/>
    </row>
    <row r="391" spans="2:14" ht="15.75" customHeight="1" x14ac:dyDescent="0.2">
      <c r="B391" s="2"/>
      <c r="C391" s="29"/>
      <c r="D391" s="29"/>
      <c r="E391" s="263"/>
      <c r="F391" s="29"/>
      <c r="G391" s="29"/>
      <c r="H391" s="29"/>
      <c r="I391" s="7"/>
      <c r="J391" s="7"/>
      <c r="K391" s="7"/>
      <c r="L391" s="7"/>
      <c r="M391" s="2"/>
      <c r="N391" s="2"/>
    </row>
    <row r="392" spans="2:14" ht="15.75" customHeight="1" x14ac:dyDescent="0.2">
      <c r="B392" s="2"/>
      <c r="C392" s="29"/>
      <c r="D392" s="29"/>
      <c r="E392" s="263"/>
      <c r="F392" s="29"/>
      <c r="G392" s="29"/>
      <c r="H392" s="29"/>
      <c r="I392" s="7"/>
      <c r="J392" s="7"/>
      <c r="K392" s="7"/>
      <c r="L392" s="7"/>
      <c r="M392" s="2"/>
      <c r="N392" s="2"/>
    </row>
    <row r="393" spans="2:14" ht="15.75" customHeight="1" x14ac:dyDescent="0.2">
      <c r="B393" s="2"/>
      <c r="C393" s="29"/>
      <c r="D393" s="29"/>
      <c r="E393" s="263"/>
      <c r="F393" s="29"/>
      <c r="G393" s="29"/>
      <c r="H393" s="29"/>
      <c r="I393" s="7"/>
      <c r="J393" s="7"/>
      <c r="K393" s="7"/>
      <c r="L393" s="7"/>
      <c r="M393" s="2"/>
      <c r="N393" s="2"/>
    </row>
    <row r="394" spans="2:14" ht="15.75" customHeight="1" x14ac:dyDescent="0.2">
      <c r="B394" s="2"/>
      <c r="C394" s="29"/>
      <c r="D394" s="29"/>
      <c r="E394" s="263"/>
      <c r="F394" s="29"/>
      <c r="G394" s="29"/>
      <c r="H394" s="29"/>
      <c r="I394" s="7"/>
      <c r="J394" s="7"/>
      <c r="K394" s="7"/>
      <c r="L394" s="7"/>
      <c r="M394" s="2"/>
      <c r="N394" s="2"/>
    </row>
    <row r="395" spans="2:14" ht="15.75" customHeight="1" x14ac:dyDescent="0.2">
      <c r="B395" s="2"/>
      <c r="C395" s="29"/>
      <c r="D395" s="29"/>
      <c r="E395" s="263"/>
      <c r="F395" s="29"/>
      <c r="G395" s="29"/>
      <c r="H395" s="29"/>
      <c r="I395" s="7"/>
      <c r="J395" s="7"/>
      <c r="K395" s="7"/>
      <c r="L395" s="7"/>
      <c r="M395" s="2"/>
      <c r="N395" s="2"/>
    </row>
    <row r="396" spans="2:14" ht="15.75" customHeight="1" x14ac:dyDescent="0.2">
      <c r="B396" s="2"/>
      <c r="C396" s="29"/>
      <c r="D396" s="29"/>
      <c r="E396" s="263"/>
      <c r="F396" s="29"/>
      <c r="G396" s="29"/>
      <c r="H396" s="29"/>
      <c r="I396" s="7"/>
      <c r="J396" s="7"/>
      <c r="K396" s="7"/>
      <c r="L396" s="7"/>
      <c r="M396" s="2"/>
      <c r="N396" s="2"/>
    </row>
    <row r="397" spans="2:14" ht="15.75" customHeight="1" x14ac:dyDescent="0.2">
      <c r="B397" s="2"/>
      <c r="C397" s="29"/>
      <c r="D397" s="29"/>
      <c r="E397" s="263"/>
      <c r="F397" s="29"/>
      <c r="G397" s="29"/>
      <c r="H397" s="29"/>
      <c r="I397" s="7"/>
      <c r="J397" s="7"/>
      <c r="K397" s="7"/>
      <c r="L397" s="7"/>
      <c r="M397" s="2"/>
      <c r="N397" s="2"/>
    </row>
    <row r="398" spans="2:14" ht="15.75" customHeight="1" x14ac:dyDescent="0.2">
      <c r="B398" s="2"/>
      <c r="C398" s="29"/>
      <c r="D398" s="29"/>
      <c r="E398" s="263"/>
      <c r="F398" s="29"/>
      <c r="G398" s="29"/>
      <c r="H398" s="29"/>
      <c r="I398" s="7"/>
      <c r="J398" s="7"/>
      <c r="K398" s="7"/>
      <c r="L398" s="7"/>
      <c r="M398" s="2"/>
      <c r="N398" s="2"/>
    </row>
    <row r="399" spans="2:14" ht="15.75" customHeight="1" x14ac:dyDescent="0.2">
      <c r="B399" s="2"/>
      <c r="C399" s="29"/>
      <c r="D399" s="29"/>
      <c r="E399" s="263"/>
      <c r="F399" s="29"/>
      <c r="G399" s="29"/>
      <c r="H399" s="29"/>
      <c r="I399" s="7"/>
      <c r="J399" s="7"/>
      <c r="K399" s="7"/>
      <c r="L399" s="7"/>
      <c r="M399" s="2"/>
      <c r="N399" s="2"/>
    </row>
    <row r="400" spans="2:14" ht="15.75" customHeight="1" x14ac:dyDescent="0.2">
      <c r="B400" s="2"/>
      <c r="C400" s="29"/>
      <c r="D400" s="29"/>
      <c r="E400" s="263"/>
      <c r="F400" s="29"/>
      <c r="G400" s="29"/>
      <c r="H400" s="29"/>
      <c r="I400" s="7"/>
      <c r="J400" s="7"/>
      <c r="K400" s="7"/>
      <c r="L400" s="7"/>
      <c r="M400" s="2"/>
      <c r="N400" s="2"/>
    </row>
    <row r="401" spans="2:14" ht="15.75" customHeight="1" x14ac:dyDescent="0.2">
      <c r="B401" s="2"/>
      <c r="C401" s="29"/>
      <c r="D401" s="29"/>
      <c r="E401" s="263"/>
      <c r="F401" s="29"/>
      <c r="G401" s="29"/>
      <c r="H401" s="29"/>
      <c r="I401" s="7"/>
      <c r="J401" s="7"/>
      <c r="K401" s="7"/>
      <c r="L401" s="7"/>
      <c r="M401" s="2"/>
      <c r="N401" s="2"/>
    </row>
    <row r="402" spans="2:14" ht="15.75" customHeight="1" x14ac:dyDescent="0.2">
      <c r="B402" s="2"/>
      <c r="C402" s="29"/>
      <c r="D402" s="29"/>
      <c r="E402" s="263"/>
      <c r="F402" s="29"/>
      <c r="G402" s="29"/>
      <c r="H402" s="29"/>
      <c r="I402" s="7"/>
      <c r="J402" s="7"/>
      <c r="K402" s="7"/>
      <c r="L402" s="7"/>
      <c r="M402" s="2"/>
      <c r="N402" s="2"/>
    </row>
    <row r="403" spans="2:14" ht="15.75" customHeight="1" x14ac:dyDescent="0.2">
      <c r="B403" s="2"/>
      <c r="C403" s="29"/>
      <c r="D403" s="29"/>
      <c r="E403" s="263"/>
      <c r="F403" s="29"/>
      <c r="G403" s="29"/>
      <c r="H403" s="29"/>
      <c r="I403" s="7"/>
      <c r="J403" s="7"/>
      <c r="K403" s="7"/>
      <c r="L403" s="7"/>
      <c r="M403" s="2"/>
      <c r="N403" s="2"/>
    </row>
    <row r="404" spans="2:14" ht="15.75" customHeight="1" x14ac:dyDescent="0.2">
      <c r="B404" s="2"/>
      <c r="C404" s="29"/>
      <c r="D404" s="29"/>
      <c r="E404" s="263"/>
      <c r="F404" s="29"/>
      <c r="G404" s="29"/>
      <c r="H404" s="29"/>
      <c r="I404" s="7"/>
      <c r="J404" s="7"/>
      <c r="K404" s="7"/>
      <c r="L404" s="7"/>
      <c r="M404" s="2"/>
      <c r="N404" s="2"/>
    </row>
    <row r="405" spans="2:14" ht="15.75" customHeight="1" x14ac:dyDescent="0.2">
      <c r="B405" s="2"/>
      <c r="C405" s="29"/>
      <c r="D405" s="29"/>
      <c r="E405" s="263"/>
      <c r="F405" s="29"/>
      <c r="G405" s="29"/>
      <c r="H405" s="29"/>
      <c r="I405" s="7"/>
      <c r="J405" s="7"/>
      <c r="K405" s="7"/>
      <c r="L405" s="7"/>
      <c r="M405" s="2"/>
      <c r="N405" s="2"/>
    </row>
    <row r="406" spans="2:14" ht="15.75" customHeight="1" x14ac:dyDescent="0.2">
      <c r="B406" s="2"/>
      <c r="C406" s="29"/>
      <c r="D406" s="29"/>
      <c r="E406" s="263"/>
      <c r="F406" s="29"/>
      <c r="G406" s="29"/>
      <c r="H406" s="29"/>
      <c r="I406" s="7"/>
      <c r="J406" s="7"/>
      <c r="K406" s="7"/>
      <c r="L406" s="7"/>
      <c r="M406" s="2"/>
      <c r="N406" s="2"/>
    </row>
    <row r="407" spans="2:14" ht="15.75" customHeight="1" x14ac:dyDescent="0.2">
      <c r="B407" s="2"/>
      <c r="C407" s="29"/>
      <c r="D407" s="29"/>
      <c r="E407" s="263"/>
      <c r="F407" s="29"/>
      <c r="G407" s="29"/>
      <c r="H407" s="29"/>
      <c r="I407" s="7"/>
      <c r="J407" s="7"/>
      <c r="K407" s="7"/>
      <c r="L407" s="7"/>
      <c r="M407" s="2"/>
      <c r="N407" s="2"/>
    </row>
    <row r="408" spans="2:14" ht="15.75" customHeight="1" x14ac:dyDescent="0.2">
      <c r="B408" s="2"/>
      <c r="C408" s="29"/>
      <c r="D408" s="29"/>
      <c r="E408" s="263"/>
      <c r="F408" s="29"/>
      <c r="G408" s="29"/>
      <c r="H408" s="29"/>
      <c r="I408" s="7"/>
      <c r="J408" s="7"/>
      <c r="K408" s="7"/>
      <c r="L408" s="7"/>
      <c r="M408" s="2"/>
      <c r="N408" s="2"/>
    </row>
    <row r="409" spans="2:14" ht="15.75" customHeight="1" x14ac:dyDescent="0.2">
      <c r="B409" s="2"/>
      <c r="C409" s="29"/>
      <c r="D409" s="29"/>
      <c r="E409" s="263"/>
      <c r="F409" s="29"/>
      <c r="G409" s="29"/>
      <c r="H409" s="29"/>
      <c r="I409" s="7"/>
      <c r="J409" s="7"/>
      <c r="K409" s="7"/>
      <c r="L409" s="7"/>
      <c r="M409" s="2"/>
      <c r="N409" s="2"/>
    </row>
    <row r="410" spans="2:14" ht="15.75" customHeight="1" x14ac:dyDescent="0.2">
      <c r="B410" s="2"/>
      <c r="C410" s="29"/>
      <c r="D410" s="29"/>
      <c r="E410" s="263"/>
      <c r="F410" s="29"/>
      <c r="G410" s="29"/>
      <c r="H410" s="29"/>
      <c r="I410" s="7"/>
      <c r="J410" s="7"/>
      <c r="K410" s="7"/>
      <c r="L410" s="7"/>
      <c r="M410" s="2"/>
      <c r="N410" s="2"/>
    </row>
    <row r="411" spans="2:14" ht="15.75" customHeight="1" x14ac:dyDescent="0.2">
      <c r="B411" s="2"/>
      <c r="C411" s="29"/>
      <c r="D411" s="29"/>
      <c r="E411" s="263"/>
      <c r="F411" s="29"/>
      <c r="G411" s="29"/>
      <c r="H411" s="29"/>
      <c r="I411" s="7"/>
      <c r="J411" s="7"/>
      <c r="K411" s="7"/>
      <c r="L411" s="7"/>
      <c r="M411" s="2"/>
      <c r="N411" s="2"/>
    </row>
    <row r="412" spans="2:14" ht="15.75" customHeight="1" x14ac:dyDescent="0.2">
      <c r="B412" s="2"/>
      <c r="C412" s="29"/>
      <c r="D412" s="29"/>
      <c r="E412" s="263"/>
      <c r="F412" s="29"/>
      <c r="G412" s="29"/>
      <c r="H412" s="29"/>
      <c r="I412" s="7"/>
      <c r="J412" s="7"/>
      <c r="K412" s="7"/>
      <c r="L412" s="7"/>
      <c r="M412" s="2"/>
      <c r="N412" s="2"/>
    </row>
    <row r="413" spans="2:14" ht="15.75" customHeight="1" x14ac:dyDescent="0.2">
      <c r="B413" s="2"/>
      <c r="C413" s="29"/>
      <c r="D413" s="29"/>
      <c r="E413" s="263"/>
      <c r="F413" s="29"/>
      <c r="G413" s="29"/>
      <c r="H413" s="29"/>
      <c r="I413" s="7"/>
      <c r="J413" s="7"/>
      <c r="K413" s="7"/>
      <c r="L413" s="7"/>
      <c r="M413" s="2"/>
      <c r="N413" s="2"/>
    </row>
    <row r="414" spans="2:14" ht="15.75" customHeight="1" x14ac:dyDescent="0.2">
      <c r="B414" s="2"/>
      <c r="C414" s="29"/>
      <c r="D414" s="29"/>
      <c r="E414" s="263"/>
      <c r="F414" s="29"/>
      <c r="G414" s="29"/>
      <c r="H414" s="29"/>
      <c r="I414" s="7"/>
      <c r="J414" s="7"/>
      <c r="K414" s="7"/>
      <c r="L414" s="7"/>
      <c r="M414" s="2"/>
      <c r="N414" s="2"/>
    </row>
    <row r="415" spans="2:14" ht="15.75" customHeight="1" x14ac:dyDescent="0.2">
      <c r="B415" s="2"/>
      <c r="C415" s="29"/>
      <c r="D415" s="29"/>
      <c r="E415" s="263"/>
      <c r="F415" s="29"/>
      <c r="G415" s="29"/>
      <c r="H415" s="29"/>
      <c r="I415" s="7"/>
      <c r="J415" s="7"/>
      <c r="K415" s="7"/>
      <c r="L415" s="7"/>
      <c r="M415" s="2"/>
      <c r="N415" s="2"/>
    </row>
    <row r="416" spans="2:14" ht="15.75" customHeight="1" x14ac:dyDescent="0.2">
      <c r="B416" s="2"/>
      <c r="C416" s="29"/>
      <c r="D416" s="29"/>
      <c r="E416" s="263"/>
      <c r="F416" s="29"/>
      <c r="G416" s="29"/>
      <c r="H416" s="29"/>
      <c r="I416" s="7"/>
      <c r="J416" s="7"/>
      <c r="K416" s="7"/>
      <c r="L416" s="7"/>
      <c r="M416" s="2"/>
      <c r="N416" s="2"/>
    </row>
    <row r="417" spans="2:14" ht="15.75" customHeight="1" x14ac:dyDescent="0.2">
      <c r="B417" s="2"/>
      <c r="C417" s="29"/>
      <c r="D417" s="29"/>
      <c r="E417" s="263"/>
      <c r="F417" s="29"/>
      <c r="G417" s="29"/>
      <c r="H417" s="29"/>
      <c r="I417" s="7"/>
      <c r="J417" s="7"/>
      <c r="K417" s="7"/>
      <c r="L417" s="7"/>
      <c r="M417" s="2"/>
      <c r="N417" s="2"/>
    </row>
    <row r="418" spans="2:14" ht="15.75" customHeight="1" x14ac:dyDescent="0.2">
      <c r="B418" s="2"/>
      <c r="C418" s="29"/>
      <c r="D418" s="29"/>
      <c r="E418" s="263"/>
      <c r="F418" s="29"/>
      <c r="G418" s="29"/>
      <c r="H418" s="29"/>
      <c r="I418" s="7"/>
      <c r="J418" s="7"/>
      <c r="K418" s="7"/>
      <c r="L418" s="7"/>
      <c r="M418" s="2"/>
      <c r="N418" s="2"/>
    </row>
    <row r="419" spans="2:14" ht="15.75" customHeight="1" x14ac:dyDescent="0.2">
      <c r="B419" s="2"/>
      <c r="C419" s="29"/>
      <c r="D419" s="29"/>
      <c r="E419" s="263"/>
      <c r="F419" s="29"/>
      <c r="G419" s="29"/>
      <c r="H419" s="29"/>
      <c r="I419" s="7"/>
      <c r="J419" s="7"/>
      <c r="K419" s="7"/>
      <c r="L419" s="7"/>
      <c r="M419" s="2"/>
      <c r="N419" s="2"/>
    </row>
    <row r="420" spans="2:14" ht="15.75" customHeight="1" x14ac:dyDescent="0.2">
      <c r="B420" s="2"/>
      <c r="C420" s="29"/>
      <c r="D420" s="29"/>
      <c r="E420" s="263"/>
      <c r="F420" s="29"/>
      <c r="G420" s="29"/>
      <c r="H420" s="29"/>
      <c r="I420" s="7"/>
      <c r="J420" s="7"/>
      <c r="K420" s="7"/>
      <c r="L420" s="7"/>
      <c r="M420" s="2"/>
      <c r="N420" s="2"/>
    </row>
    <row r="421" spans="2:14" ht="15.75" customHeight="1" x14ac:dyDescent="0.2">
      <c r="B421" s="2"/>
      <c r="C421" s="29"/>
      <c r="D421" s="29"/>
      <c r="E421" s="263"/>
      <c r="F421" s="29"/>
      <c r="G421" s="29"/>
      <c r="H421" s="29"/>
      <c r="I421" s="7"/>
      <c r="J421" s="7"/>
      <c r="K421" s="7"/>
      <c r="L421" s="7"/>
      <c r="M421" s="2"/>
      <c r="N421" s="2"/>
    </row>
    <row r="422" spans="2:14" ht="15.75" customHeight="1" x14ac:dyDescent="0.2">
      <c r="B422" s="2"/>
      <c r="C422" s="29"/>
      <c r="D422" s="29"/>
      <c r="E422" s="263"/>
      <c r="F422" s="29"/>
      <c r="G422" s="29"/>
      <c r="H422" s="29"/>
      <c r="I422" s="7"/>
      <c r="J422" s="7"/>
      <c r="K422" s="7"/>
      <c r="L422" s="7"/>
      <c r="M422" s="2"/>
      <c r="N422" s="2"/>
    </row>
    <row r="423" spans="2:14" ht="15.75" customHeight="1" x14ac:dyDescent="0.2">
      <c r="B423" s="2"/>
      <c r="C423" s="29"/>
      <c r="D423" s="29"/>
      <c r="E423" s="263"/>
      <c r="F423" s="29"/>
      <c r="G423" s="29"/>
      <c r="H423" s="29"/>
      <c r="I423" s="7"/>
      <c r="J423" s="7"/>
      <c r="K423" s="7"/>
      <c r="L423" s="7"/>
      <c r="M423" s="2"/>
      <c r="N423" s="2"/>
    </row>
    <row r="424" spans="2:14" ht="15.75" customHeight="1" x14ac:dyDescent="0.2">
      <c r="B424" s="2"/>
      <c r="C424" s="29"/>
      <c r="D424" s="29"/>
      <c r="E424" s="263"/>
      <c r="F424" s="29"/>
      <c r="G424" s="29"/>
      <c r="H424" s="29"/>
      <c r="I424" s="7"/>
      <c r="J424" s="7"/>
      <c r="K424" s="7"/>
      <c r="L424" s="7"/>
      <c r="M424" s="2"/>
      <c r="N424" s="2"/>
    </row>
    <row r="425" spans="2:14" ht="15.75" customHeight="1" x14ac:dyDescent="0.2">
      <c r="B425" s="2"/>
      <c r="C425" s="29"/>
      <c r="D425" s="29"/>
      <c r="E425" s="263"/>
      <c r="F425" s="29"/>
      <c r="G425" s="29"/>
      <c r="H425" s="29"/>
      <c r="I425" s="7"/>
      <c r="J425" s="7"/>
      <c r="K425" s="7"/>
      <c r="L425" s="7"/>
      <c r="M425" s="2"/>
      <c r="N425" s="2"/>
    </row>
    <row r="426" spans="2:14" ht="15.75" customHeight="1" x14ac:dyDescent="0.2">
      <c r="B426" s="2"/>
      <c r="C426" s="29"/>
      <c r="D426" s="29"/>
      <c r="E426" s="263"/>
      <c r="F426" s="29"/>
      <c r="G426" s="29"/>
      <c r="H426" s="29"/>
      <c r="I426" s="7"/>
      <c r="J426" s="7"/>
      <c r="K426" s="7"/>
      <c r="L426" s="7"/>
      <c r="M426" s="2"/>
      <c r="N426" s="2"/>
    </row>
    <row r="427" spans="2:14" ht="15.75" customHeight="1" x14ac:dyDescent="0.2">
      <c r="B427" s="2"/>
      <c r="C427" s="29"/>
      <c r="D427" s="29"/>
      <c r="E427" s="263"/>
      <c r="F427" s="29"/>
      <c r="G427" s="29"/>
      <c r="H427" s="29"/>
      <c r="I427" s="7"/>
      <c r="J427" s="7"/>
      <c r="K427" s="7"/>
      <c r="L427" s="7"/>
      <c r="M427" s="2"/>
      <c r="N427" s="2"/>
    </row>
    <row r="428" spans="2:14" ht="15.75" customHeight="1" x14ac:dyDescent="0.2">
      <c r="B428" s="2"/>
      <c r="C428" s="29"/>
      <c r="D428" s="29"/>
      <c r="E428" s="263"/>
      <c r="F428" s="29"/>
      <c r="G428" s="29"/>
      <c r="H428" s="29"/>
      <c r="I428" s="7"/>
      <c r="J428" s="7"/>
      <c r="K428" s="7"/>
      <c r="L428" s="7"/>
      <c r="M428" s="2"/>
      <c r="N428" s="2"/>
    </row>
    <row r="429" spans="2:14" ht="15.75" customHeight="1" x14ac:dyDescent="0.2">
      <c r="B429" s="2"/>
      <c r="C429" s="29"/>
      <c r="D429" s="29"/>
      <c r="E429" s="263"/>
      <c r="F429" s="29"/>
      <c r="G429" s="29"/>
      <c r="H429" s="29"/>
      <c r="I429" s="7"/>
      <c r="J429" s="7"/>
      <c r="K429" s="7"/>
      <c r="L429" s="7"/>
      <c r="M429" s="2"/>
      <c r="N429" s="2"/>
    </row>
    <row r="430" spans="2:14" ht="15.75" customHeight="1" x14ac:dyDescent="0.2">
      <c r="B430" s="2"/>
      <c r="C430" s="29"/>
      <c r="D430" s="29"/>
      <c r="E430" s="263"/>
      <c r="F430" s="29"/>
      <c r="G430" s="29"/>
      <c r="H430" s="29"/>
      <c r="I430" s="7"/>
      <c r="J430" s="7"/>
      <c r="K430" s="7"/>
      <c r="L430" s="7"/>
      <c r="M430" s="2"/>
      <c r="N430" s="2"/>
    </row>
    <row r="431" spans="2:14" ht="15.75" customHeight="1" x14ac:dyDescent="0.2">
      <c r="B431" s="2"/>
      <c r="C431" s="29"/>
      <c r="D431" s="29"/>
      <c r="E431" s="263"/>
      <c r="F431" s="29"/>
      <c r="G431" s="29"/>
      <c r="H431" s="29"/>
      <c r="I431" s="7"/>
      <c r="J431" s="7"/>
      <c r="K431" s="7"/>
      <c r="L431" s="7"/>
      <c r="M431" s="2"/>
      <c r="N431" s="2"/>
    </row>
    <row r="432" spans="2:14" ht="15.75" customHeight="1" x14ac:dyDescent="0.2">
      <c r="B432" s="2"/>
      <c r="C432" s="29"/>
      <c r="D432" s="29"/>
      <c r="E432" s="263"/>
      <c r="F432" s="29"/>
      <c r="G432" s="29"/>
      <c r="H432" s="29"/>
      <c r="I432" s="7"/>
      <c r="J432" s="7"/>
      <c r="K432" s="7"/>
      <c r="L432" s="7"/>
      <c r="M432" s="2"/>
      <c r="N432" s="2"/>
    </row>
    <row r="433" spans="2:14" ht="15.75" customHeight="1" x14ac:dyDescent="0.2">
      <c r="B433" s="2"/>
      <c r="C433" s="29"/>
      <c r="D433" s="29"/>
      <c r="E433" s="263"/>
      <c r="F433" s="29"/>
      <c r="G433" s="29"/>
      <c r="H433" s="29"/>
      <c r="I433" s="7"/>
      <c r="J433" s="7"/>
      <c r="K433" s="7"/>
      <c r="L433" s="7"/>
      <c r="M433" s="2"/>
      <c r="N433" s="2"/>
    </row>
    <row r="434" spans="2:14" ht="15.75" customHeight="1" x14ac:dyDescent="0.2">
      <c r="B434" s="2"/>
      <c r="C434" s="29"/>
      <c r="D434" s="29"/>
      <c r="E434" s="263"/>
      <c r="F434" s="29"/>
      <c r="G434" s="29"/>
      <c r="H434" s="29"/>
      <c r="I434" s="7"/>
      <c r="J434" s="7"/>
      <c r="K434" s="7"/>
      <c r="L434" s="7"/>
      <c r="M434" s="2"/>
      <c r="N434" s="2"/>
    </row>
    <row r="435" spans="2:14" ht="15.75" customHeight="1" x14ac:dyDescent="0.2">
      <c r="B435" s="2"/>
      <c r="C435" s="29"/>
      <c r="D435" s="29"/>
      <c r="E435" s="263"/>
      <c r="F435" s="29"/>
      <c r="G435" s="29"/>
      <c r="H435" s="29"/>
      <c r="I435" s="7"/>
      <c r="J435" s="7"/>
      <c r="K435" s="7"/>
      <c r="L435" s="7"/>
      <c r="M435" s="2"/>
      <c r="N435" s="2"/>
    </row>
    <row r="436" spans="2:14" ht="15.75" customHeight="1" x14ac:dyDescent="0.2">
      <c r="B436" s="2"/>
      <c r="C436" s="29"/>
      <c r="D436" s="29"/>
      <c r="E436" s="263"/>
      <c r="F436" s="29"/>
      <c r="G436" s="29"/>
      <c r="H436" s="29"/>
      <c r="I436" s="7"/>
      <c r="J436" s="7"/>
      <c r="K436" s="7"/>
      <c r="L436" s="7"/>
      <c r="M436" s="2"/>
      <c r="N436" s="2"/>
    </row>
    <row r="437" spans="2:14" ht="15.75" customHeight="1" x14ac:dyDescent="0.2">
      <c r="B437" s="2"/>
      <c r="C437" s="29"/>
      <c r="D437" s="29"/>
      <c r="E437" s="263"/>
      <c r="F437" s="29"/>
      <c r="G437" s="29"/>
      <c r="H437" s="29"/>
      <c r="I437" s="7"/>
      <c r="J437" s="7"/>
      <c r="K437" s="7"/>
      <c r="L437" s="7"/>
      <c r="M437" s="2"/>
      <c r="N437" s="2"/>
    </row>
    <row r="438" spans="2:14" ht="15.75" customHeight="1" x14ac:dyDescent="0.2">
      <c r="B438" s="2"/>
      <c r="C438" s="29"/>
      <c r="D438" s="29"/>
      <c r="E438" s="263"/>
      <c r="F438" s="29"/>
      <c r="G438" s="29"/>
      <c r="H438" s="29"/>
      <c r="I438" s="7"/>
      <c r="J438" s="7"/>
      <c r="K438" s="7"/>
      <c r="L438" s="7"/>
      <c r="M438" s="2"/>
      <c r="N438" s="2"/>
    </row>
    <row r="439" spans="2:14" ht="15.75" customHeight="1" x14ac:dyDescent="0.2">
      <c r="B439" s="2"/>
      <c r="C439" s="29"/>
      <c r="D439" s="29"/>
      <c r="E439" s="263"/>
      <c r="F439" s="29"/>
      <c r="G439" s="29"/>
      <c r="H439" s="29"/>
      <c r="I439" s="7"/>
      <c r="J439" s="7"/>
      <c r="K439" s="7"/>
      <c r="L439" s="7"/>
      <c r="M439" s="2"/>
      <c r="N439" s="2"/>
    </row>
    <row r="440" spans="2:14" ht="15.75" customHeight="1" x14ac:dyDescent="0.2">
      <c r="B440" s="2"/>
      <c r="C440" s="29"/>
      <c r="D440" s="29"/>
      <c r="E440" s="263"/>
      <c r="F440" s="29"/>
      <c r="G440" s="29"/>
      <c r="H440" s="29"/>
      <c r="I440" s="7"/>
      <c r="J440" s="7"/>
      <c r="K440" s="7"/>
      <c r="L440" s="7"/>
      <c r="M440" s="2"/>
      <c r="N440" s="2"/>
    </row>
    <row r="441" spans="2:14" ht="15.75" customHeight="1" x14ac:dyDescent="0.2">
      <c r="B441" s="2"/>
      <c r="C441" s="29"/>
      <c r="D441" s="29"/>
      <c r="E441" s="263"/>
      <c r="F441" s="29"/>
      <c r="G441" s="29"/>
      <c r="H441" s="29"/>
      <c r="I441" s="7"/>
      <c r="J441" s="7"/>
      <c r="K441" s="7"/>
      <c r="L441" s="7"/>
      <c r="M441" s="2"/>
      <c r="N441" s="2"/>
    </row>
    <row r="442" spans="2:14" ht="15.75" customHeight="1" x14ac:dyDescent="0.2">
      <c r="B442" s="2"/>
      <c r="C442" s="29"/>
      <c r="D442" s="29"/>
      <c r="E442" s="263"/>
      <c r="F442" s="29"/>
      <c r="G442" s="29"/>
      <c r="H442" s="29"/>
      <c r="I442" s="7"/>
      <c r="J442" s="7"/>
      <c r="K442" s="7"/>
      <c r="L442" s="7"/>
      <c r="M442" s="2"/>
      <c r="N442" s="2"/>
    </row>
    <row r="443" spans="2:14" ht="15.75" customHeight="1" x14ac:dyDescent="0.2">
      <c r="B443" s="2"/>
      <c r="C443" s="29"/>
      <c r="D443" s="29"/>
      <c r="E443" s="263"/>
      <c r="F443" s="29"/>
      <c r="G443" s="29"/>
      <c r="H443" s="29"/>
      <c r="I443" s="7"/>
      <c r="J443" s="7"/>
      <c r="K443" s="7"/>
      <c r="L443" s="7"/>
      <c r="M443" s="2"/>
      <c r="N443" s="2"/>
    </row>
    <row r="444" spans="2:14" ht="15.75" customHeight="1" x14ac:dyDescent="0.2">
      <c r="B444" s="2"/>
      <c r="C444" s="29"/>
      <c r="D444" s="29"/>
      <c r="E444" s="263"/>
      <c r="F444" s="29"/>
      <c r="G444" s="29"/>
      <c r="H444" s="29"/>
      <c r="I444" s="7"/>
      <c r="J444" s="7"/>
      <c r="K444" s="7"/>
      <c r="L444" s="7"/>
      <c r="M444" s="2"/>
      <c r="N444" s="2"/>
    </row>
    <row r="445" spans="2:14" ht="15.75" customHeight="1" x14ac:dyDescent="0.2">
      <c r="B445" s="2"/>
      <c r="C445" s="29"/>
      <c r="D445" s="29"/>
      <c r="E445" s="263"/>
      <c r="F445" s="29"/>
      <c r="G445" s="29"/>
      <c r="H445" s="29"/>
      <c r="I445" s="7"/>
      <c r="J445" s="7"/>
      <c r="K445" s="7"/>
      <c r="L445" s="7"/>
      <c r="M445" s="2"/>
      <c r="N445" s="2"/>
    </row>
    <row r="446" spans="2:14" ht="15.75" customHeight="1" x14ac:dyDescent="0.2">
      <c r="B446" s="2"/>
      <c r="C446" s="29"/>
      <c r="D446" s="29"/>
      <c r="E446" s="263"/>
      <c r="F446" s="29"/>
      <c r="G446" s="29"/>
      <c r="H446" s="29"/>
      <c r="I446" s="7"/>
      <c r="J446" s="7"/>
      <c r="K446" s="7"/>
      <c r="L446" s="7"/>
      <c r="M446" s="2"/>
      <c r="N446" s="2"/>
    </row>
    <row r="447" spans="2:14" ht="15.75" customHeight="1" x14ac:dyDescent="0.2">
      <c r="B447" s="2"/>
      <c r="C447" s="29"/>
      <c r="D447" s="29"/>
      <c r="E447" s="263"/>
      <c r="F447" s="29"/>
      <c r="G447" s="29"/>
      <c r="H447" s="29"/>
      <c r="I447" s="7"/>
      <c r="J447" s="7"/>
      <c r="K447" s="7"/>
      <c r="L447" s="7"/>
      <c r="M447" s="2"/>
      <c r="N447" s="2"/>
    </row>
    <row r="448" spans="2:14" ht="15.75" customHeight="1" x14ac:dyDescent="0.2">
      <c r="B448" s="2"/>
      <c r="C448" s="29"/>
      <c r="D448" s="29"/>
      <c r="E448" s="263"/>
      <c r="F448" s="29"/>
      <c r="G448" s="29"/>
      <c r="H448" s="29"/>
      <c r="I448" s="7"/>
      <c r="J448" s="7"/>
      <c r="K448" s="7"/>
      <c r="L448" s="7"/>
      <c r="M448" s="2"/>
      <c r="N448" s="2"/>
    </row>
    <row r="449" spans="2:14" ht="15.75" customHeight="1" x14ac:dyDescent="0.2">
      <c r="B449" s="2"/>
      <c r="C449" s="29"/>
      <c r="D449" s="29"/>
      <c r="E449" s="263"/>
      <c r="F449" s="29"/>
      <c r="G449" s="29"/>
      <c r="H449" s="29"/>
      <c r="I449" s="7"/>
      <c r="J449" s="7"/>
      <c r="K449" s="7"/>
      <c r="L449" s="7"/>
      <c r="M449" s="2"/>
      <c r="N449" s="2"/>
    </row>
    <row r="450" spans="2:14" ht="15.75" customHeight="1" x14ac:dyDescent="0.2">
      <c r="B450" s="2"/>
      <c r="C450" s="29"/>
      <c r="D450" s="29"/>
      <c r="E450" s="263"/>
      <c r="F450" s="29"/>
      <c r="G450" s="29"/>
      <c r="H450" s="29"/>
      <c r="I450" s="7"/>
      <c r="J450" s="7"/>
      <c r="K450" s="7"/>
      <c r="L450" s="7"/>
      <c r="M450" s="2"/>
      <c r="N450" s="2"/>
    </row>
    <row r="451" spans="2:14" ht="15.75" customHeight="1" x14ac:dyDescent="0.2">
      <c r="B451" s="2"/>
      <c r="C451" s="29"/>
      <c r="D451" s="29"/>
      <c r="E451" s="263"/>
      <c r="F451" s="29"/>
      <c r="G451" s="29"/>
      <c r="H451" s="29"/>
      <c r="I451" s="7"/>
      <c r="J451" s="7"/>
      <c r="K451" s="7"/>
      <c r="L451" s="7"/>
      <c r="M451" s="2"/>
      <c r="N451" s="2"/>
    </row>
    <row r="452" spans="2:14" ht="15.75" customHeight="1" x14ac:dyDescent="0.2">
      <c r="B452" s="2"/>
      <c r="C452" s="29"/>
      <c r="D452" s="29"/>
      <c r="E452" s="263"/>
      <c r="F452" s="29"/>
      <c r="G452" s="29"/>
      <c r="H452" s="29"/>
      <c r="I452" s="7"/>
      <c r="J452" s="7"/>
      <c r="K452" s="7"/>
      <c r="L452" s="7"/>
      <c r="M452" s="2"/>
      <c r="N452" s="2"/>
    </row>
    <row r="453" spans="2:14" ht="15.75" customHeight="1" x14ac:dyDescent="0.2">
      <c r="B453" s="2"/>
      <c r="C453" s="29"/>
      <c r="D453" s="29"/>
      <c r="E453" s="263"/>
      <c r="F453" s="29"/>
      <c r="G453" s="29"/>
      <c r="H453" s="29"/>
      <c r="I453" s="7"/>
      <c r="J453" s="7"/>
      <c r="K453" s="7"/>
      <c r="L453" s="7"/>
      <c r="M453" s="2"/>
      <c r="N453" s="2"/>
    </row>
    <row r="454" spans="2:14" ht="15.75" customHeight="1" x14ac:dyDescent="0.2">
      <c r="B454" s="2"/>
      <c r="C454" s="29"/>
      <c r="D454" s="29"/>
      <c r="E454" s="263"/>
      <c r="F454" s="29"/>
      <c r="G454" s="29"/>
      <c r="H454" s="29"/>
      <c r="I454" s="7"/>
      <c r="J454" s="7"/>
      <c r="K454" s="7"/>
      <c r="L454" s="7"/>
      <c r="M454" s="2"/>
      <c r="N454" s="2"/>
    </row>
    <row r="455" spans="2:14" ht="15.75" customHeight="1" x14ac:dyDescent="0.2">
      <c r="B455" s="2"/>
      <c r="C455" s="29"/>
      <c r="D455" s="29"/>
      <c r="E455" s="263"/>
      <c r="F455" s="29"/>
      <c r="G455" s="29"/>
      <c r="H455" s="29"/>
      <c r="I455" s="7"/>
      <c r="J455" s="7"/>
      <c r="K455" s="7"/>
      <c r="L455" s="7"/>
      <c r="M455" s="2"/>
      <c r="N455" s="2"/>
    </row>
    <row r="456" spans="2:14" ht="15.75" customHeight="1" x14ac:dyDescent="0.2">
      <c r="B456" s="2"/>
      <c r="C456" s="29"/>
      <c r="D456" s="29"/>
      <c r="E456" s="263"/>
      <c r="F456" s="29"/>
      <c r="G456" s="29"/>
      <c r="H456" s="29"/>
      <c r="I456" s="7"/>
      <c r="J456" s="7"/>
      <c r="K456" s="7"/>
      <c r="L456" s="7"/>
      <c r="M456" s="2"/>
      <c r="N456" s="2"/>
    </row>
    <row r="457" spans="2:14" ht="15.75" customHeight="1" x14ac:dyDescent="0.2">
      <c r="B457" s="2"/>
      <c r="C457" s="29"/>
      <c r="D457" s="29"/>
      <c r="E457" s="263"/>
      <c r="F457" s="29"/>
      <c r="G457" s="29"/>
      <c r="H457" s="29"/>
      <c r="I457" s="7"/>
      <c r="J457" s="7"/>
      <c r="K457" s="7"/>
      <c r="L457" s="7"/>
      <c r="M457" s="2"/>
      <c r="N457" s="2"/>
    </row>
    <row r="458" spans="2:14" ht="15.75" customHeight="1" x14ac:dyDescent="0.2">
      <c r="B458" s="2"/>
      <c r="C458" s="29"/>
      <c r="D458" s="29"/>
      <c r="E458" s="263"/>
      <c r="F458" s="29"/>
      <c r="G458" s="29"/>
      <c r="H458" s="29"/>
      <c r="I458" s="7"/>
      <c r="J458" s="7"/>
      <c r="K458" s="7"/>
      <c r="L458" s="7"/>
      <c r="M458" s="2"/>
      <c r="N458" s="2"/>
    </row>
    <row r="459" spans="2:14" ht="15.75" customHeight="1" x14ac:dyDescent="0.2">
      <c r="B459" s="2"/>
      <c r="C459" s="29"/>
      <c r="D459" s="29"/>
      <c r="E459" s="263"/>
      <c r="F459" s="29"/>
      <c r="G459" s="29"/>
      <c r="H459" s="29"/>
      <c r="I459" s="7"/>
      <c r="J459" s="7"/>
      <c r="K459" s="7"/>
      <c r="L459" s="7"/>
      <c r="M459" s="2"/>
      <c r="N459" s="2"/>
    </row>
    <row r="460" spans="2:14" ht="15.75" customHeight="1" x14ac:dyDescent="0.2">
      <c r="B460" s="2"/>
      <c r="C460" s="29"/>
      <c r="D460" s="29"/>
      <c r="E460" s="263"/>
      <c r="F460" s="29"/>
      <c r="G460" s="29"/>
      <c r="H460" s="29"/>
      <c r="I460" s="7"/>
      <c r="J460" s="7"/>
      <c r="K460" s="7"/>
      <c r="L460" s="7"/>
      <c r="M460" s="2"/>
      <c r="N460" s="2"/>
    </row>
    <row r="461" spans="2:14" ht="15.75" customHeight="1" x14ac:dyDescent="0.2">
      <c r="B461" s="2"/>
      <c r="C461" s="29"/>
      <c r="D461" s="29"/>
      <c r="E461" s="263"/>
      <c r="F461" s="29"/>
      <c r="G461" s="29"/>
      <c r="H461" s="29"/>
      <c r="I461" s="7"/>
      <c r="J461" s="7"/>
      <c r="K461" s="7"/>
      <c r="L461" s="7"/>
      <c r="M461" s="2"/>
      <c r="N461" s="2"/>
    </row>
    <row r="462" spans="2:14" ht="15.75" customHeight="1" x14ac:dyDescent="0.2">
      <c r="B462" s="2"/>
      <c r="C462" s="29"/>
      <c r="D462" s="29"/>
      <c r="E462" s="263"/>
      <c r="F462" s="29"/>
      <c r="G462" s="29"/>
      <c r="H462" s="29"/>
      <c r="I462" s="7"/>
      <c r="J462" s="7"/>
      <c r="K462" s="7"/>
      <c r="L462" s="7"/>
      <c r="M462" s="2"/>
      <c r="N462" s="2"/>
    </row>
    <row r="463" spans="2:14" ht="15.75" customHeight="1" x14ac:dyDescent="0.2">
      <c r="B463" s="2"/>
      <c r="C463" s="29"/>
      <c r="D463" s="29"/>
      <c r="E463" s="263"/>
      <c r="F463" s="29"/>
      <c r="G463" s="29"/>
      <c r="H463" s="29"/>
      <c r="I463" s="7"/>
      <c r="J463" s="7"/>
      <c r="K463" s="7"/>
      <c r="L463" s="7"/>
      <c r="M463" s="2"/>
      <c r="N463" s="2"/>
    </row>
    <row r="464" spans="2:14" ht="15.75" customHeight="1" x14ac:dyDescent="0.2">
      <c r="B464" s="2"/>
      <c r="C464" s="29"/>
      <c r="D464" s="29"/>
      <c r="E464" s="263"/>
      <c r="F464" s="29"/>
      <c r="G464" s="29"/>
      <c r="H464" s="29"/>
      <c r="I464" s="7"/>
      <c r="J464" s="7"/>
      <c r="K464" s="7"/>
      <c r="L464" s="7"/>
      <c r="M464" s="2"/>
      <c r="N464" s="2"/>
    </row>
    <row r="465" spans="2:14" ht="15.75" customHeight="1" x14ac:dyDescent="0.2">
      <c r="B465" s="2"/>
      <c r="C465" s="29"/>
      <c r="D465" s="29"/>
      <c r="E465" s="263"/>
      <c r="F465" s="29"/>
      <c r="G465" s="29"/>
      <c r="H465" s="29"/>
      <c r="I465" s="7"/>
      <c r="J465" s="7"/>
      <c r="K465" s="7"/>
      <c r="L465" s="7"/>
      <c r="M465" s="2"/>
      <c r="N465" s="2"/>
    </row>
    <row r="466" spans="2:14" ht="15.75" customHeight="1" x14ac:dyDescent="0.2">
      <c r="B466" s="2"/>
      <c r="C466" s="29"/>
      <c r="D466" s="29"/>
      <c r="E466" s="263"/>
      <c r="F466" s="29"/>
      <c r="G466" s="29"/>
      <c r="H466" s="29"/>
      <c r="I466" s="7"/>
      <c r="J466" s="7"/>
      <c r="K466" s="7"/>
      <c r="L466" s="7"/>
      <c r="M466" s="2"/>
      <c r="N466" s="2"/>
    </row>
    <row r="467" spans="2:14" ht="15.75" customHeight="1" x14ac:dyDescent="0.2">
      <c r="B467" s="2"/>
      <c r="C467" s="29"/>
      <c r="D467" s="29"/>
      <c r="E467" s="263"/>
      <c r="F467" s="29"/>
      <c r="G467" s="29"/>
      <c r="H467" s="29"/>
      <c r="I467" s="7"/>
      <c r="J467" s="7"/>
      <c r="K467" s="7"/>
      <c r="L467" s="7"/>
      <c r="M467" s="2"/>
      <c r="N467" s="2"/>
    </row>
    <row r="468" spans="2:14" ht="15.75" customHeight="1" x14ac:dyDescent="0.2">
      <c r="B468" s="2"/>
      <c r="C468" s="29"/>
      <c r="D468" s="29"/>
      <c r="E468" s="263"/>
      <c r="F468" s="29"/>
      <c r="G468" s="29"/>
      <c r="H468" s="29"/>
      <c r="I468" s="7"/>
      <c r="J468" s="7"/>
      <c r="K468" s="7"/>
      <c r="L468" s="7"/>
      <c r="M468" s="2"/>
      <c r="N468" s="2"/>
    </row>
    <row r="469" spans="2:14" ht="15.75" customHeight="1" x14ac:dyDescent="0.2">
      <c r="B469" s="2"/>
      <c r="C469" s="29"/>
      <c r="D469" s="29"/>
      <c r="E469" s="263"/>
      <c r="F469" s="29"/>
      <c r="G469" s="29"/>
      <c r="H469" s="29"/>
      <c r="I469" s="7"/>
      <c r="J469" s="7"/>
      <c r="K469" s="7"/>
      <c r="L469" s="7"/>
      <c r="M469" s="2"/>
      <c r="N469" s="2"/>
    </row>
    <row r="470" spans="2:14" ht="15.75" customHeight="1" x14ac:dyDescent="0.2">
      <c r="B470" s="2"/>
      <c r="C470" s="29"/>
      <c r="D470" s="29"/>
      <c r="E470" s="263"/>
      <c r="F470" s="29"/>
      <c r="G470" s="29"/>
      <c r="H470" s="29"/>
      <c r="I470" s="7"/>
      <c r="J470" s="7"/>
      <c r="K470" s="7"/>
      <c r="L470" s="7"/>
      <c r="M470" s="2"/>
      <c r="N470" s="2"/>
    </row>
    <row r="471" spans="2:14" ht="15.75" customHeight="1" x14ac:dyDescent="0.2">
      <c r="B471" s="2"/>
      <c r="C471" s="29"/>
      <c r="D471" s="29"/>
      <c r="E471" s="263"/>
      <c r="F471" s="29"/>
      <c r="G471" s="29"/>
      <c r="H471" s="29"/>
      <c r="I471" s="7"/>
      <c r="J471" s="7"/>
      <c r="K471" s="7"/>
      <c r="L471" s="7"/>
      <c r="M471" s="2"/>
      <c r="N471" s="2"/>
    </row>
    <row r="472" spans="2:14" ht="15.75" customHeight="1" x14ac:dyDescent="0.2">
      <c r="B472" s="2"/>
      <c r="C472" s="29"/>
      <c r="D472" s="29"/>
      <c r="E472" s="263"/>
      <c r="F472" s="29"/>
      <c r="G472" s="29"/>
      <c r="H472" s="29"/>
      <c r="I472" s="7"/>
      <c r="J472" s="7"/>
      <c r="K472" s="7"/>
      <c r="L472" s="7"/>
      <c r="M472" s="2"/>
      <c r="N472" s="2"/>
    </row>
    <row r="473" spans="2:14" ht="15.75" customHeight="1" x14ac:dyDescent="0.2">
      <c r="B473" s="2"/>
      <c r="C473" s="29"/>
      <c r="D473" s="29"/>
      <c r="E473" s="263"/>
      <c r="F473" s="29"/>
      <c r="G473" s="29"/>
      <c r="H473" s="29"/>
      <c r="I473" s="7"/>
      <c r="J473" s="7"/>
      <c r="K473" s="7"/>
      <c r="L473" s="7"/>
      <c r="M473" s="2"/>
      <c r="N473" s="2"/>
    </row>
    <row r="474" spans="2:14" ht="15.75" customHeight="1" x14ac:dyDescent="0.2">
      <c r="B474" s="2"/>
      <c r="C474" s="29"/>
      <c r="D474" s="29"/>
      <c r="E474" s="263"/>
      <c r="F474" s="29"/>
      <c r="G474" s="29"/>
      <c r="H474" s="29"/>
      <c r="I474" s="7"/>
      <c r="J474" s="7"/>
      <c r="K474" s="7"/>
      <c r="L474" s="7"/>
      <c r="M474" s="2"/>
      <c r="N474" s="2"/>
    </row>
    <row r="475" spans="2:14" ht="15.75" customHeight="1" x14ac:dyDescent="0.2">
      <c r="B475" s="2"/>
      <c r="C475" s="29"/>
      <c r="D475" s="29"/>
      <c r="E475" s="263"/>
      <c r="F475" s="29"/>
      <c r="G475" s="29"/>
      <c r="H475" s="29"/>
      <c r="I475" s="7"/>
      <c r="J475" s="7"/>
      <c r="K475" s="7"/>
      <c r="L475" s="7"/>
      <c r="M475" s="2"/>
      <c r="N475" s="2"/>
    </row>
    <row r="476" spans="2:14" ht="15.75" customHeight="1" x14ac:dyDescent="0.2">
      <c r="B476" s="2"/>
      <c r="C476" s="29"/>
      <c r="D476" s="29"/>
      <c r="E476" s="263"/>
      <c r="F476" s="29"/>
      <c r="G476" s="29"/>
      <c r="H476" s="29"/>
      <c r="I476" s="7"/>
      <c r="J476" s="7"/>
      <c r="K476" s="7"/>
      <c r="L476" s="7"/>
      <c r="M476" s="2"/>
      <c r="N476" s="2"/>
    </row>
    <row r="477" spans="2:14" ht="15.75" customHeight="1" x14ac:dyDescent="0.2">
      <c r="B477" s="2"/>
      <c r="C477" s="29"/>
      <c r="D477" s="29"/>
      <c r="E477" s="263"/>
      <c r="F477" s="29"/>
      <c r="G477" s="29"/>
      <c r="H477" s="29"/>
      <c r="I477" s="7"/>
      <c r="J477" s="7"/>
      <c r="K477" s="7"/>
      <c r="L477" s="7"/>
      <c r="M477" s="2"/>
      <c r="N477" s="2"/>
    </row>
    <row r="478" spans="2:14" ht="15.75" customHeight="1" x14ac:dyDescent="0.2">
      <c r="B478" s="2"/>
      <c r="C478" s="29"/>
      <c r="D478" s="29"/>
      <c r="E478" s="263"/>
      <c r="F478" s="29"/>
      <c r="G478" s="29"/>
      <c r="H478" s="29"/>
      <c r="I478" s="7"/>
      <c r="J478" s="7"/>
      <c r="K478" s="7"/>
      <c r="L478" s="7"/>
      <c r="M478" s="2"/>
      <c r="N478" s="2"/>
    </row>
    <row r="479" spans="2:14" ht="15.75" customHeight="1" x14ac:dyDescent="0.2">
      <c r="B479" s="2"/>
      <c r="C479" s="29"/>
      <c r="D479" s="29"/>
      <c r="E479" s="263"/>
      <c r="F479" s="29"/>
      <c r="G479" s="29"/>
      <c r="H479" s="29"/>
      <c r="I479" s="7"/>
      <c r="J479" s="7"/>
      <c r="K479" s="7"/>
      <c r="L479" s="7"/>
      <c r="M479" s="2"/>
      <c r="N479" s="2"/>
    </row>
    <row r="480" spans="2:14" ht="15.75" customHeight="1" x14ac:dyDescent="0.2">
      <c r="B480" s="2"/>
      <c r="C480" s="29"/>
      <c r="D480" s="29"/>
      <c r="E480" s="263"/>
      <c r="F480" s="29"/>
      <c r="G480" s="29"/>
      <c r="H480" s="29"/>
      <c r="I480" s="7"/>
      <c r="J480" s="7"/>
      <c r="K480" s="7"/>
      <c r="L480" s="7"/>
      <c r="M480" s="2"/>
      <c r="N480" s="2"/>
    </row>
    <row r="481" spans="2:14" ht="15.75" customHeight="1" x14ac:dyDescent="0.2">
      <c r="B481" s="2"/>
      <c r="C481" s="29"/>
      <c r="D481" s="29"/>
      <c r="E481" s="263"/>
      <c r="F481" s="29"/>
      <c r="G481" s="29"/>
      <c r="H481" s="29"/>
      <c r="I481" s="7"/>
      <c r="J481" s="7"/>
      <c r="K481" s="7"/>
      <c r="L481" s="7"/>
      <c r="M481" s="2"/>
      <c r="N481" s="2"/>
    </row>
    <row r="482" spans="2:14" ht="15.75" customHeight="1" x14ac:dyDescent="0.2">
      <c r="B482" s="2"/>
      <c r="C482" s="29"/>
      <c r="D482" s="29"/>
      <c r="E482" s="263"/>
      <c r="F482" s="29"/>
      <c r="G482" s="29"/>
      <c r="H482" s="29"/>
      <c r="I482" s="7"/>
      <c r="J482" s="7"/>
      <c r="K482" s="7"/>
      <c r="L482" s="7"/>
      <c r="M482" s="2"/>
      <c r="N482" s="2"/>
    </row>
    <row r="483" spans="2:14" ht="15.75" customHeight="1" x14ac:dyDescent="0.2">
      <c r="B483" s="2"/>
      <c r="C483" s="29"/>
      <c r="D483" s="29"/>
      <c r="E483" s="263"/>
      <c r="F483" s="29"/>
      <c r="G483" s="29"/>
      <c r="H483" s="29"/>
      <c r="I483" s="7"/>
      <c r="J483" s="7"/>
      <c r="K483" s="7"/>
      <c r="L483" s="7"/>
      <c r="M483" s="2"/>
      <c r="N483" s="2"/>
    </row>
    <row r="484" spans="2:14" ht="15.75" customHeight="1" x14ac:dyDescent="0.2">
      <c r="B484" s="2"/>
      <c r="C484" s="29"/>
      <c r="D484" s="29"/>
      <c r="E484" s="263"/>
      <c r="F484" s="29"/>
      <c r="G484" s="29"/>
      <c r="H484" s="29"/>
      <c r="I484" s="7"/>
      <c r="J484" s="7"/>
      <c r="K484" s="7"/>
      <c r="L484" s="7"/>
      <c r="M484" s="2"/>
      <c r="N484" s="2"/>
    </row>
    <row r="485" spans="2:14" ht="15.75" customHeight="1" x14ac:dyDescent="0.2">
      <c r="B485" s="2"/>
      <c r="C485" s="29"/>
      <c r="D485" s="29"/>
      <c r="E485" s="263"/>
      <c r="F485" s="29"/>
      <c r="G485" s="29"/>
      <c r="H485" s="29"/>
      <c r="I485" s="7"/>
      <c r="J485" s="7"/>
      <c r="K485" s="7"/>
      <c r="L485" s="7"/>
      <c r="M485" s="2"/>
      <c r="N485" s="2"/>
    </row>
    <row r="486" spans="2:14" ht="15.75" customHeight="1" x14ac:dyDescent="0.2">
      <c r="B486" s="2"/>
      <c r="C486" s="29"/>
      <c r="D486" s="29"/>
      <c r="E486" s="263"/>
      <c r="F486" s="29"/>
      <c r="G486" s="29"/>
      <c r="H486" s="29"/>
      <c r="I486" s="7"/>
      <c r="J486" s="7"/>
      <c r="K486" s="7"/>
      <c r="L486" s="7"/>
      <c r="M486" s="2"/>
      <c r="N486" s="2"/>
    </row>
    <row r="487" spans="2:14" ht="15.75" customHeight="1" x14ac:dyDescent="0.2">
      <c r="B487" s="2"/>
      <c r="C487" s="29"/>
      <c r="D487" s="29"/>
      <c r="E487" s="263"/>
      <c r="F487" s="29"/>
      <c r="G487" s="29"/>
      <c r="H487" s="29"/>
      <c r="I487" s="7"/>
      <c r="J487" s="7"/>
      <c r="K487" s="7"/>
      <c r="L487" s="7"/>
      <c r="M487" s="2"/>
      <c r="N487" s="2"/>
    </row>
    <row r="488" spans="2:14" ht="15.75" customHeight="1" x14ac:dyDescent="0.2">
      <c r="B488" s="2"/>
      <c r="C488" s="29"/>
      <c r="D488" s="29"/>
      <c r="E488" s="263"/>
      <c r="F488" s="29"/>
      <c r="G488" s="29"/>
      <c r="H488" s="29"/>
      <c r="I488" s="7"/>
      <c r="J488" s="7"/>
      <c r="K488" s="7"/>
      <c r="L488" s="7"/>
      <c r="M488" s="2"/>
      <c r="N488" s="2"/>
    </row>
    <row r="489" spans="2:14" ht="15.75" customHeight="1" x14ac:dyDescent="0.2">
      <c r="B489" s="2"/>
      <c r="C489" s="29"/>
      <c r="D489" s="29"/>
      <c r="E489" s="263"/>
      <c r="F489" s="29"/>
      <c r="G489" s="29"/>
      <c r="H489" s="29"/>
      <c r="I489" s="7"/>
      <c r="J489" s="7"/>
      <c r="K489" s="7"/>
      <c r="L489" s="7"/>
      <c r="M489" s="2"/>
      <c r="N489" s="2"/>
    </row>
    <row r="490" spans="2:14" ht="15.75" customHeight="1" x14ac:dyDescent="0.2">
      <c r="B490" s="2"/>
      <c r="C490" s="29"/>
      <c r="D490" s="29"/>
      <c r="E490" s="263"/>
      <c r="F490" s="29"/>
      <c r="G490" s="29"/>
      <c r="H490" s="29"/>
      <c r="I490" s="7"/>
      <c r="J490" s="7"/>
      <c r="K490" s="7"/>
      <c r="L490" s="7"/>
      <c r="M490" s="2"/>
      <c r="N490" s="2"/>
    </row>
    <row r="491" spans="2:14" ht="15.75" customHeight="1" x14ac:dyDescent="0.2">
      <c r="B491" s="2"/>
      <c r="C491" s="29"/>
      <c r="D491" s="29"/>
      <c r="E491" s="263"/>
      <c r="F491" s="29"/>
      <c r="G491" s="29"/>
      <c r="H491" s="29"/>
      <c r="I491" s="7"/>
      <c r="J491" s="7"/>
      <c r="K491" s="7"/>
      <c r="L491" s="7"/>
      <c r="M491" s="2"/>
      <c r="N491" s="2"/>
    </row>
    <row r="492" spans="2:14" ht="15.75" customHeight="1" x14ac:dyDescent="0.2">
      <c r="B492" s="2"/>
      <c r="C492" s="29"/>
      <c r="D492" s="29"/>
      <c r="E492" s="263"/>
      <c r="F492" s="29"/>
      <c r="G492" s="29"/>
      <c r="H492" s="29"/>
      <c r="I492" s="7"/>
      <c r="J492" s="7"/>
      <c r="K492" s="7"/>
      <c r="L492" s="7"/>
      <c r="M492" s="2"/>
      <c r="N492" s="2"/>
    </row>
    <row r="493" spans="2:14" ht="15.75" customHeight="1" x14ac:dyDescent="0.2">
      <c r="B493" s="2"/>
      <c r="C493" s="29"/>
      <c r="D493" s="29"/>
      <c r="E493" s="263"/>
      <c r="F493" s="29"/>
      <c r="G493" s="29"/>
      <c r="H493" s="29"/>
      <c r="I493" s="7"/>
      <c r="J493" s="7"/>
      <c r="K493" s="7"/>
      <c r="L493" s="7"/>
      <c r="M493" s="2"/>
      <c r="N493" s="2"/>
    </row>
    <row r="494" spans="2:14" ht="15.75" customHeight="1" x14ac:dyDescent="0.2">
      <c r="B494" s="2"/>
      <c r="C494" s="29"/>
      <c r="D494" s="29"/>
      <c r="E494" s="263"/>
      <c r="F494" s="29"/>
      <c r="G494" s="29"/>
      <c r="H494" s="29"/>
      <c r="I494" s="7"/>
      <c r="J494" s="7"/>
      <c r="K494" s="7"/>
      <c r="L494" s="7"/>
      <c r="M494" s="2"/>
      <c r="N494" s="2"/>
    </row>
    <row r="495" spans="2:14" ht="15.75" customHeight="1" x14ac:dyDescent="0.2">
      <c r="B495" s="2"/>
      <c r="C495" s="29"/>
      <c r="D495" s="29"/>
      <c r="E495" s="263"/>
      <c r="F495" s="29"/>
      <c r="G495" s="29"/>
      <c r="H495" s="29"/>
      <c r="I495" s="7"/>
      <c r="J495" s="7"/>
      <c r="K495" s="7"/>
      <c r="L495" s="7"/>
      <c r="M495" s="2"/>
      <c r="N495" s="2"/>
    </row>
    <row r="496" spans="2:14" ht="15.75" customHeight="1" x14ac:dyDescent="0.2">
      <c r="B496" s="2"/>
      <c r="C496" s="29"/>
      <c r="D496" s="29"/>
      <c r="E496" s="263"/>
      <c r="F496" s="29"/>
      <c r="G496" s="29"/>
      <c r="H496" s="29"/>
      <c r="I496" s="7"/>
      <c r="J496" s="7"/>
      <c r="K496" s="7"/>
      <c r="L496" s="7"/>
      <c r="M496" s="2"/>
      <c r="N496" s="2"/>
    </row>
    <row r="497" spans="2:14" ht="15.75" customHeight="1" x14ac:dyDescent="0.2">
      <c r="B497" s="2"/>
      <c r="C497" s="29"/>
      <c r="D497" s="29"/>
      <c r="E497" s="263"/>
      <c r="F497" s="29"/>
      <c r="G497" s="29"/>
      <c r="H497" s="29"/>
      <c r="I497" s="7"/>
      <c r="J497" s="7"/>
      <c r="K497" s="7"/>
      <c r="L497" s="7"/>
      <c r="M497" s="2"/>
      <c r="N497" s="2"/>
    </row>
    <row r="498" spans="2:14" ht="15.75" customHeight="1" x14ac:dyDescent="0.2">
      <c r="B498" s="2"/>
      <c r="C498" s="29"/>
      <c r="D498" s="29"/>
      <c r="E498" s="263"/>
      <c r="F498" s="29"/>
      <c r="G498" s="29"/>
      <c r="H498" s="29"/>
      <c r="I498" s="7"/>
      <c r="J498" s="7"/>
      <c r="K498" s="7"/>
      <c r="L498" s="7"/>
      <c r="M498" s="2"/>
      <c r="N498" s="2"/>
    </row>
    <row r="499" spans="2:14" ht="15.75" customHeight="1" x14ac:dyDescent="0.2">
      <c r="B499" s="2"/>
      <c r="C499" s="29"/>
      <c r="D499" s="29"/>
      <c r="E499" s="263"/>
      <c r="F499" s="29"/>
      <c r="G499" s="29"/>
      <c r="H499" s="29"/>
      <c r="I499" s="7"/>
      <c r="J499" s="7"/>
      <c r="K499" s="7"/>
      <c r="L499" s="7"/>
      <c r="M499" s="2"/>
      <c r="N499" s="2"/>
    </row>
    <row r="500" spans="2:14" ht="15.75" customHeight="1" x14ac:dyDescent="0.2">
      <c r="B500" s="2"/>
      <c r="C500" s="29"/>
      <c r="D500" s="29"/>
      <c r="E500" s="263"/>
      <c r="F500" s="29"/>
      <c r="G500" s="29"/>
      <c r="H500" s="29"/>
      <c r="I500" s="7"/>
      <c r="J500" s="7"/>
      <c r="K500" s="7"/>
      <c r="L500" s="7"/>
      <c r="M500" s="2"/>
      <c r="N500" s="2"/>
    </row>
    <row r="501" spans="2:14" ht="15.75" customHeight="1" x14ac:dyDescent="0.2">
      <c r="B501" s="2"/>
      <c r="C501" s="29"/>
      <c r="D501" s="29"/>
      <c r="E501" s="263"/>
      <c r="F501" s="29"/>
      <c r="G501" s="29"/>
      <c r="H501" s="29"/>
      <c r="I501" s="7"/>
      <c r="J501" s="7"/>
      <c r="K501" s="7"/>
      <c r="L501" s="7"/>
      <c r="M501" s="2"/>
      <c r="N501" s="2"/>
    </row>
    <row r="502" spans="2:14" ht="15.75" customHeight="1" x14ac:dyDescent="0.2">
      <c r="B502" s="2"/>
      <c r="C502" s="29"/>
      <c r="D502" s="29"/>
      <c r="E502" s="263"/>
      <c r="F502" s="29"/>
      <c r="G502" s="29"/>
      <c r="H502" s="29"/>
      <c r="I502" s="7"/>
      <c r="J502" s="7"/>
      <c r="K502" s="7"/>
      <c r="L502" s="7"/>
      <c r="M502" s="2"/>
      <c r="N502" s="2"/>
    </row>
    <row r="503" spans="2:14" ht="15.75" customHeight="1" x14ac:dyDescent="0.2">
      <c r="B503" s="2"/>
      <c r="C503" s="29"/>
      <c r="D503" s="29"/>
      <c r="E503" s="263"/>
      <c r="F503" s="29"/>
      <c r="G503" s="29"/>
      <c r="H503" s="29"/>
      <c r="I503" s="7"/>
      <c r="J503" s="7"/>
      <c r="K503" s="7"/>
      <c r="L503" s="7"/>
      <c r="M503" s="2"/>
      <c r="N503" s="2"/>
    </row>
    <row r="504" spans="2:14" ht="15.75" customHeight="1" x14ac:dyDescent="0.2">
      <c r="B504" s="2"/>
      <c r="C504" s="29"/>
      <c r="D504" s="29"/>
      <c r="E504" s="263"/>
      <c r="F504" s="29"/>
      <c r="G504" s="29"/>
      <c r="H504" s="29"/>
      <c r="I504" s="7"/>
      <c r="J504" s="7"/>
      <c r="K504" s="7"/>
      <c r="L504" s="7"/>
      <c r="M504" s="2"/>
      <c r="N504" s="2"/>
    </row>
    <row r="505" spans="2:14" ht="15.75" customHeight="1" x14ac:dyDescent="0.2">
      <c r="B505" s="2"/>
      <c r="C505" s="29"/>
      <c r="D505" s="29"/>
      <c r="E505" s="263"/>
      <c r="F505" s="29"/>
      <c r="G505" s="29"/>
      <c r="H505" s="29"/>
      <c r="I505" s="7"/>
      <c r="J505" s="7"/>
      <c r="K505" s="7"/>
      <c r="L505" s="7"/>
      <c r="M505" s="2"/>
      <c r="N505" s="2"/>
    </row>
    <row r="506" spans="2:14" ht="15.75" customHeight="1" x14ac:dyDescent="0.2">
      <c r="B506" s="2"/>
      <c r="C506" s="29"/>
      <c r="D506" s="29"/>
      <c r="E506" s="263"/>
      <c r="F506" s="29"/>
      <c r="G506" s="29"/>
      <c r="H506" s="29"/>
      <c r="I506" s="7"/>
      <c r="J506" s="7"/>
      <c r="K506" s="7"/>
      <c r="L506" s="7"/>
      <c r="M506" s="2"/>
      <c r="N506" s="2"/>
    </row>
    <row r="507" spans="2:14" ht="15.75" customHeight="1" x14ac:dyDescent="0.2">
      <c r="B507" s="2"/>
      <c r="C507" s="29"/>
      <c r="D507" s="29"/>
      <c r="E507" s="263"/>
      <c r="F507" s="29"/>
      <c r="G507" s="29"/>
      <c r="H507" s="29"/>
      <c r="I507" s="7"/>
      <c r="J507" s="7"/>
      <c r="K507" s="7"/>
      <c r="L507" s="7"/>
      <c r="M507" s="2"/>
      <c r="N507" s="2"/>
    </row>
    <row r="508" spans="2:14" ht="15.75" customHeight="1" x14ac:dyDescent="0.2">
      <c r="B508" s="2"/>
      <c r="C508" s="29"/>
      <c r="D508" s="29"/>
      <c r="E508" s="263"/>
      <c r="F508" s="29"/>
      <c r="G508" s="29"/>
      <c r="H508" s="29"/>
      <c r="I508" s="7"/>
      <c r="J508" s="7"/>
      <c r="K508" s="7"/>
      <c r="L508" s="7"/>
      <c r="M508" s="2"/>
      <c r="N508" s="2"/>
    </row>
    <row r="509" spans="2:14" ht="15.75" customHeight="1" x14ac:dyDescent="0.2">
      <c r="B509" s="2"/>
      <c r="C509" s="29"/>
      <c r="D509" s="29"/>
      <c r="E509" s="263"/>
      <c r="F509" s="29"/>
      <c r="G509" s="29"/>
      <c r="H509" s="29"/>
      <c r="I509" s="7"/>
      <c r="J509" s="7"/>
      <c r="K509" s="7"/>
      <c r="L509" s="7"/>
      <c r="M509" s="2"/>
      <c r="N509" s="2"/>
    </row>
    <row r="510" spans="2:14" ht="15.75" customHeight="1" x14ac:dyDescent="0.2">
      <c r="B510" s="2"/>
      <c r="C510" s="29"/>
      <c r="D510" s="29"/>
      <c r="E510" s="263"/>
      <c r="F510" s="29"/>
      <c r="G510" s="29"/>
      <c r="H510" s="29"/>
      <c r="I510" s="7"/>
      <c r="J510" s="7"/>
      <c r="K510" s="7"/>
      <c r="L510" s="7"/>
      <c r="M510" s="2"/>
      <c r="N510" s="2"/>
    </row>
    <row r="511" spans="2:14" ht="15.75" customHeight="1" x14ac:dyDescent="0.2">
      <c r="B511" s="2"/>
      <c r="C511" s="29"/>
      <c r="D511" s="29"/>
      <c r="E511" s="263"/>
      <c r="F511" s="29"/>
      <c r="G511" s="29"/>
      <c r="H511" s="29"/>
      <c r="I511" s="7"/>
      <c r="J511" s="7"/>
      <c r="K511" s="7"/>
      <c r="L511" s="7"/>
      <c r="M511" s="2"/>
      <c r="N511" s="2"/>
    </row>
    <row r="512" spans="2:14" ht="15.75" customHeight="1" x14ac:dyDescent="0.2">
      <c r="B512" s="2"/>
      <c r="C512" s="29"/>
      <c r="D512" s="29"/>
      <c r="E512" s="263"/>
      <c r="F512" s="29"/>
      <c r="G512" s="29"/>
      <c r="H512" s="29"/>
      <c r="I512" s="7"/>
      <c r="J512" s="7"/>
      <c r="K512" s="7"/>
      <c r="L512" s="7"/>
      <c r="M512" s="2"/>
      <c r="N512" s="2"/>
    </row>
    <row r="513" spans="2:14" ht="15.75" customHeight="1" x14ac:dyDescent="0.2">
      <c r="B513" s="2"/>
      <c r="C513" s="29"/>
      <c r="D513" s="29"/>
      <c r="E513" s="263"/>
      <c r="F513" s="29"/>
      <c r="G513" s="29"/>
      <c r="H513" s="29"/>
      <c r="I513" s="7"/>
      <c r="J513" s="7"/>
      <c r="K513" s="7"/>
      <c r="L513" s="7"/>
      <c r="M513" s="2"/>
      <c r="N513" s="2"/>
    </row>
    <row r="514" spans="2:14" ht="15.75" customHeight="1" x14ac:dyDescent="0.2">
      <c r="B514" s="2"/>
      <c r="C514" s="29"/>
      <c r="D514" s="29"/>
      <c r="E514" s="263"/>
      <c r="F514" s="29"/>
      <c r="G514" s="29"/>
      <c r="H514" s="29"/>
      <c r="I514" s="7"/>
      <c r="J514" s="7"/>
      <c r="K514" s="7"/>
      <c r="L514" s="7"/>
      <c r="M514" s="2"/>
      <c r="N514" s="2"/>
    </row>
    <row r="515" spans="2:14" ht="15.75" customHeight="1" x14ac:dyDescent="0.2">
      <c r="B515" s="2"/>
      <c r="C515" s="29"/>
      <c r="D515" s="29"/>
      <c r="E515" s="263"/>
      <c r="F515" s="29"/>
      <c r="G515" s="29"/>
      <c r="H515" s="29"/>
      <c r="I515" s="7"/>
      <c r="J515" s="7"/>
      <c r="K515" s="7"/>
      <c r="L515" s="7"/>
      <c r="M515" s="2"/>
      <c r="N515" s="2"/>
    </row>
    <row r="516" spans="2:14" ht="15.75" customHeight="1" x14ac:dyDescent="0.2">
      <c r="B516" s="2"/>
      <c r="C516" s="29"/>
      <c r="D516" s="29"/>
      <c r="E516" s="263"/>
      <c r="F516" s="29"/>
      <c r="G516" s="29"/>
      <c r="H516" s="29"/>
      <c r="I516" s="7"/>
      <c r="J516" s="7"/>
      <c r="K516" s="7"/>
      <c r="L516" s="7"/>
      <c r="M516" s="2"/>
      <c r="N516" s="2"/>
    </row>
    <row r="517" spans="2:14" ht="15.75" customHeight="1" x14ac:dyDescent="0.2">
      <c r="B517" s="2"/>
      <c r="C517" s="29"/>
      <c r="D517" s="29"/>
      <c r="E517" s="263"/>
      <c r="F517" s="29"/>
      <c r="G517" s="29"/>
      <c r="H517" s="29"/>
      <c r="I517" s="7"/>
      <c r="J517" s="7"/>
      <c r="K517" s="7"/>
      <c r="L517" s="7"/>
      <c r="M517" s="2"/>
      <c r="N517" s="2"/>
    </row>
    <row r="518" spans="2:14" ht="15.75" customHeight="1" x14ac:dyDescent="0.2">
      <c r="B518" s="2"/>
      <c r="C518" s="29"/>
      <c r="D518" s="29"/>
      <c r="E518" s="263"/>
      <c r="F518" s="29"/>
      <c r="G518" s="29"/>
      <c r="H518" s="29"/>
      <c r="I518" s="7"/>
      <c r="J518" s="7"/>
      <c r="K518" s="7"/>
      <c r="L518" s="7"/>
      <c r="M518" s="2"/>
      <c r="N518" s="2"/>
    </row>
    <row r="519" spans="2:14" ht="15.75" customHeight="1" x14ac:dyDescent="0.2">
      <c r="B519" s="2"/>
      <c r="C519" s="29"/>
      <c r="D519" s="29"/>
      <c r="E519" s="263"/>
      <c r="F519" s="29"/>
      <c r="G519" s="29"/>
      <c r="H519" s="29"/>
      <c r="I519" s="7"/>
      <c r="J519" s="7"/>
      <c r="K519" s="7"/>
      <c r="L519" s="7"/>
      <c r="M519" s="2"/>
      <c r="N519" s="2"/>
    </row>
    <row r="520" spans="2:14" ht="15.75" customHeight="1" x14ac:dyDescent="0.2">
      <c r="B520" s="2"/>
      <c r="C520" s="29"/>
      <c r="D520" s="29"/>
      <c r="E520" s="263"/>
      <c r="F520" s="29"/>
      <c r="G520" s="29"/>
      <c r="H520" s="29"/>
      <c r="I520" s="7"/>
      <c r="J520" s="7"/>
      <c r="K520" s="7"/>
      <c r="L520" s="7"/>
      <c r="M520" s="2"/>
      <c r="N520" s="2"/>
    </row>
    <row r="521" spans="2:14" ht="15.75" customHeight="1" x14ac:dyDescent="0.2">
      <c r="B521" s="2"/>
      <c r="C521" s="29"/>
      <c r="D521" s="29"/>
      <c r="E521" s="263"/>
      <c r="F521" s="29"/>
      <c r="G521" s="29"/>
      <c r="H521" s="29"/>
      <c r="I521" s="7"/>
      <c r="J521" s="7"/>
      <c r="K521" s="7"/>
      <c r="L521" s="7"/>
      <c r="M521" s="2"/>
      <c r="N521" s="2"/>
    </row>
    <row r="522" spans="2:14" ht="15.75" customHeight="1" x14ac:dyDescent="0.2">
      <c r="B522" s="2"/>
      <c r="C522" s="29"/>
      <c r="D522" s="29"/>
      <c r="E522" s="263"/>
      <c r="F522" s="29"/>
      <c r="G522" s="29"/>
      <c r="H522" s="29"/>
      <c r="I522" s="7"/>
      <c r="J522" s="7"/>
      <c r="K522" s="7"/>
      <c r="L522" s="7"/>
      <c r="M522" s="2"/>
      <c r="N522" s="2"/>
    </row>
    <row r="523" spans="2:14" ht="15.75" customHeight="1" x14ac:dyDescent="0.2">
      <c r="B523" s="2"/>
      <c r="C523" s="29"/>
      <c r="D523" s="29"/>
      <c r="E523" s="263"/>
      <c r="F523" s="29"/>
      <c r="G523" s="29"/>
      <c r="H523" s="29"/>
      <c r="I523" s="7"/>
      <c r="J523" s="7"/>
      <c r="K523" s="7"/>
      <c r="L523" s="7"/>
      <c r="M523" s="2"/>
      <c r="N523" s="2"/>
    </row>
    <row r="524" spans="2:14" ht="15.75" customHeight="1" x14ac:dyDescent="0.2">
      <c r="B524" s="2"/>
      <c r="C524" s="29"/>
      <c r="D524" s="29"/>
      <c r="E524" s="263"/>
      <c r="F524" s="29"/>
      <c r="G524" s="29"/>
      <c r="H524" s="29"/>
      <c r="I524" s="7"/>
      <c r="J524" s="7"/>
      <c r="K524" s="7"/>
      <c r="L524" s="7"/>
      <c r="M524" s="2"/>
      <c r="N524" s="2"/>
    </row>
    <row r="525" spans="2:14" ht="15.75" customHeight="1" x14ac:dyDescent="0.2">
      <c r="B525" s="2"/>
      <c r="C525" s="29"/>
      <c r="D525" s="29"/>
      <c r="E525" s="263"/>
      <c r="F525" s="29"/>
      <c r="G525" s="29"/>
      <c r="H525" s="29"/>
      <c r="I525" s="7"/>
      <c r="J525" s="7"/>
      <c r="K525" s="7"/>
      <c r="L525" s="7"/>
      <c r="M525" s="2"/>
      <c r="N525" s="2"/>
    </row>
    <row r="526" spans="2:14" ht="15.75" customHeight="1" x14ac:dyDescent="0.2">
      <c r="B526" s="2"/>
      <c r="C526" s="29"/>
      <c r="D526" s="29"/>
      <c r="E526" s="263"/>
      <c r="F526" s="29"/>
      <c r="G526" s="29"/>
      <c r="H526" s="29"/>
      <c r="I526" s="7"/>
      <c r="J526" s="7"/>
      <c r="K526" s="7"/>
      <c r="L526" s="7"/>
      <c r="M526" s="2"/>
      <c r="N526" s="2"/>
    </row>
    <row r="527" spans="2:14" ht="15.75" customHeight="1" x14ac:dyDescent="0.2">
      <c r="B527" s="2"/>
      <c r="C527" s="29"/>
      <c r="D527" s="29"/>
      <c r="E527" s="263"/>
      <c r="F527" s="29"/>
      <c r="G527" s="29"/>
      <c r="H527" s="29"/>
      <c r="I527" s="7"/>
      <c r="J527" s="7"/>
      <c r="K527" s="7"/>
      <c r="L527" s="7"/>
      <c r="M527" s="2"/>
      <c r="N527" s="2"/>
    </row>
    <row r="528" spans="2:14" ht="15.75" customHeight="1" x14ac:dyDescent="0.2">
      <c r="B528" s="2"/>
      <c r="C528" s="29"/>
      <c r="D528" s="29"/>
      <c r="E528" s="263"/>
      <c r="F528" s="29"/>
      <c r="G528" s="29"/>
      <c r="H528" s="29"/>
      <c r="I528" s="7"/>
      <c r="J528" s="7"/>
      <c r="K528" s="7"/>
      <c r="L528" s="7"/>
      <c r="M528" s="2"/>
      <c r="N528" s="2"/>
    </row>
    <row r="529" spans="2:14" ht="15.75" customHeight="1" x14ac:dyDescent="0.2">
      <c r="B529" s="2"/>
      <c r="C529" s="29"/>
      <c r="D529" s="29"/>
      <c r="E529" s="263"/>
      <c r="F529" s="29"/>
      <c r="G529" s="29"/>
      <c r="H529" s="29"/>
      <c r="I529" s="7"/>
      <c r="J529" s="7"/>
      <c r="K529" s="7"/>
      <c r="L529" s="7"/>
      <c r="M529" s="2"/>
      <c r="N529" s="2"/>
    </row>
    <row r="530" spans="2:14" ht="15.75" customHeight="1" x14ac:dyDescent="0.2">
      <c r="B530" s="2"/>
      <c r="C530" s="29"/>
      <c r="D530" s="29"/>
      <c r="E530" s="263"/>
      <c r="F530" s="29"/>
      <c r="G530" s="29"/>
      <c r="H530" s="29"/>
      <c r="I530" s="7"/>
      <c r="J530" s="7"/>
      <c r="K530" s="7"/>
      <c r="L530" s="7"/>
      <c r="M530" s="2"/>
      <c r="N530" s="2"/>
    </row>
    <row r="531" spans="2:14" ht="15.75" customHeight="1" x14ac:dyDescent="0.2">
      <c r="B531" s="2"/>
      <c r="C531" s="29"/>
      <c r="D531" s="29"/>
      <c r="E531" s="263"/>
      <c r="F531" s="29"/>
      <c r="G531" s="29"/>
      <c r="H531" s="29"/>
      <c r="I531" s="7"/>
      <c r="J531" s="7"/>
      <c r="K531" s="7"/>
      <c r="L531" s="7"/>
      <c r="M531" s="2"/>
      <c r="N531" s="2"/>
    </row>
    <row r="532" spans="2:14" ht="15.75" customHeight="1" x14ac:dyDescent="0.2">
      <c r="B532" s="2"/>
      <c r="C532" s="29"/>
      <c r="D532" s="29"/>
      <c r="E532" s="263"/>
      <c r="F532" s="29"/>
      <c r="G532" s="29"/>
      <c r="H532" s="29"/>
      <c r="I532" s="7"/>
      <c r="J532" s="7"/>
      <c r="K532" s="7"/>
      <c r="L532" s="7"/>
      <c r="M532" s="2"/>
      <c r="N532" s="2"/>
    </row>
    <row r="533" spans="2:14" ht="15.75" customHeight="1" x14ac:dyDescent="0.2">
      <c r="B533" s="2"/>
      <c r="C533" s="29"/>
      <c r="D533" s="29"/>
      <c r="E533" s="263"/>
      <c r="F533" s="29"/>
      <c r="G533" s="29"/>
      <c r="H533" s="29"/>
      <c r="I533" s="7"/>
      <c r="J533" s="7"/>
      <c r="K533" s="7"/>
      <c r="L533" s="7"/>
      <c r="M533" s="2"/>
      <c r="N533" s="2"/>
    </row>
    <row r="534" spans="2:14" ht="15.75" customHeight="1" x14ac:dyDescent="0.2">
      <c r="B534" s="2"/>
      <c r="C534" s="29"/>
      <c r="D534" s="29"/>
      <c r="E534" s="263"/>
      <c r="F534" s="29"/>
      <c r="G534" s="29"/>
      <c r="H534" s="29"/>
      <c r="I534" s="7"/>
      <c r="J534" s="7"/>
      <c r="K534" s="7"/>
      <c r="L534" s="7"/>
      <c r="M534" s="2"/>
      <c r="N534" s="2"/>
    </row>
    <row r="535" spans="2:14" ht="15.75" customHeight="1" x14ac:dyDescent="0.2">
      <c r="B535" s="2"/>
      <c r="C535" s="29"/>
      <c r="D535" s="29"/>
      <c r="E535" s="263"/>
      <c r="F535" s="29"/>
      <c r="G535" s="29"/>
      <c r="H535" s="29"/>
      <c r="I535" s="7"/>
      <c r="J535" s="7"/>
      <c r="K535" s="7"/>
      <c r="L535" s="7"/>
      <c r="M535" s="2"/>
      <c r="N535" s="2"/>
    </row>
    <row r="536" spans="2:14" ht="15.75" customHeight="1" x14ac:dyDescent="0.2">
      <c r="B536" s="2"/>
      <c r="C536" s="29"/>
      <c r="D536" s="29"/>
      <c r="E536" s="263"/>
      <c r="F536" s="29"/>
      <c r="G536" s="29"/>
      <c r="H536" s="29"/>
      <c r="I536" s="7"/>
      <c r="J536" s="7"/>
      <c r="K536" s="7"/>
      <c r="L536" s="7"/>
      <c r="M536" s="2"/>
      <c r="N536" s="2"/>
    </row>
    <row r="537" spans="2:14" ht="15.75" customHeight="1" x14ac:dyDescent="0.2">
      <c r="B537" s="2"/>
      <c r="C537" s="29"/>
      <c r="D537" s="29"/>
      <c r="E537" s="263"/>
      <c r="F537" s="29"/>
      <c r="G537" s="29"/>
      <c r="H537" s="29"/>
      <c r="I537" s="7"/>
      <c r="J537" s="7"/>
      <c r="K537" s="7"/>
      <c r="L537" s="7"/>
      <c r="M537" s="2"/>
      <c r="N537" s="2"/>
    </row>
    <row r="538" spans="2:14" ht="15.75" customHeight="1" x14ac:dyDescent="0.2">
      <c r="B538" s="2"/>
      <c r="C538" s="29"/>
      <c r="D538" s="29"/>
      <c r="E538" s="263"/>
      <c r="F538" s="29"/>
      <c r="G538" s="29"/>
      <c r="H538" s="29"/>
      <c r="I538" s="7"/>
      <c r="J538" s="7"/>
      <c r="K538" s="7"/>
      <c r="L538" s="7"/>
      <c r="M538" s="2"/>
      <c r="N538" s="2"/>
    </row>
    <row r="539" spans="2:14" ht="15.75" customHeight="1" x14ac:dyDescent="0.2">
      <c r="B539" s="2"/>
      <c r="C539" s="29"/>
      <c r="D539" s="29"/>
      <c r="E539" s="263"/>
      <c r="F539" s="29"/>
      <c r="G539" s="29"/>
      <c r="H539" s="29"/>
      <c r="I539" s="7"/>
      <c r="J539" s="7"/>
      <c r="K539" s="7"/>
      <c r="L539" s="7"/>
      <c r="M539" s="2"/>
      <c r="N539" s="2"/>
    </row>
    <row r="540" spans="2:14" ht="15.75" customHeight="1" x14ac:dyDescent="0.2">
      <c r="B540" s="2"/>
      <c r="C540" s="29"/>
      <c r="D540" s="29"/>
      <c r="E540" s="263"/>
      <c r="F540" s="29"/>
      <c r="G540" s="29"/>
      <c r="H540" s="29"/>
      <c r="I540" s="7"/>
      <c r="J540" s="7"/>
      <c r="K540" s="7"/>
      <c r="L540" s="7"/>
      <c r="M540" s="2"/>
      <c r="N540" s="2"/>
    </row>
    <row r="541" spans="2:14" ht="15.75" customHeight="1" x14ac:dyDescent="0.2">
      <c r="B541" s="2"/>
      <c r="C541" s="29"/>
      <c r="D541" s="29"/>
      <c r="E541" s="263"/>
      <c r="F541" s="29"/>
      <c r="G541" s="29"/>
      <c r="H541" s="29"/>
      <c r="I541" s="7"/>
      <c r="J541" s="7"/>
      <c r="K541" s="7"/>
      <c r="L541" s="7"/>
      <c r="M541" s="2"/>
      <c r="N541" s="2"/>
    </row>
    <row r="542" spans="2:14" ht="15.75" customHeight="1" x14ac:dyDescent="0.2">
      <c r="B542" s="2"/>
      <c r="C542" s="29"/>
      <c r="D542" s="29"/>
      <c r="E542" s="263"/>
      <c r="F542" s="29"/>
      <c r="G542" s="29"/>
      <c r="H542" s="29"/>
      <c r="I542" s="7"/>
      <c r="J542" s="7"/>
      <c r="K542" s="7"/>
      <c r="L542" s="7"/>
      <c r="M542" s="2"/>
      <c r="N542" s="2"/>
    </row>
    <row r="543" spans="2:14" ht="15.75" customHeight="1" x14ac:dyDescent="0.2">
      <c r="B543" s="2"/>
      <c r="C543" s="29"/>
      <c r="D543" s="29"/>
      <c r="E543" s="263"/>
      <c r="F543" s="29"/>
      <c r="G543" s="29"/>
      <c r="H543" s="29"/>
      <c r="I543" s="7"/>
      <c r="J543" s="7"/>
      <c r="K543" s="7"/>
      <c r="L543" s="7"/>
      <c r="M543" s="2"/>
      <c r="N543" s="2"/>
    </row>
    <row r="544" spans="2:14" ht="15.75" customHeight="1" x14ac:dyDescent="0.2">
      <c r="B544" s="2"/>
      <c r="C544" s="29"/>
      <c r="D544" s="29"/>
      <c r="E544" s="263"/>
      <c r="F544" s="29"/>
      <c r="G544" s="29"/>
      <c r="H544" s="29"/>
      <c r="I544" s="7"/>
      <c r="J544" s="7"/>
      <c r="K544" s="7"/>
      <c r="L544" s="7"/>
      <c r="M544" s="2"/>
      <c r="N544" s="2"/>
    </row>
    <row r="545" spans="2:14" ht="15.75" customHeight="1" x14ac:dyDescent="0.2">
      <c r="B545" s="2"/>
      <c r="C545" s="29"/>
      <c r="D545" s="29"/>
      <c r="E545" s="263"/>
      <c r="F545" s="29"/>
      <c r="G545" s="29"/>
      <c r="H545" s="29"/>
      <c r="I545" s="7"/>
      <c r="J545" s="7"/>
      <c r="K545" s="7"/>
      <c r="L545" s="7"/>
      <c r="M545" s="2"/>
      <c r="N545" s="2"/>
    </row>
    <row r="546" spans="2:14" ht="15.75" customHeight="1" x14ac:dyDescent="0.2">
      <c r="B546" s="2"/>
      <c r="C546" s="29"/>
      <c r="D546" s="29"/>
      <c r="E546" s="263"/>
      <c r="F546" s="29"/>
      <c r="G546" s="29"/>
      <c r="H546" s="29"/>
      <c r="I546" s="7"/>
      <c r="J546" s="7"/>
      <c r="K546" s="7"/>
      <c r="L546" s="7"/>
      <c r="M546" s="2"/>
      <c r="N546" s="2"/>
    </row>
    <row r="547" spans="2:14" ht="15.75" customHeight="1" x14ac:dyDescent="0.2">
      <c r="B547" s="2"/>
      <c r="C547" s="29"/>
      <c r="D547" s="29"/>
      <c r="E547" s="263"/>
      <c r="F547" s="29"/>
      <c r="G547" s="29"/>
      <c r="H547" s="29"/>
      <c r="I547" s="7"/>
      <c r="J547" s="7"/>
      <c r="K547" s="7"/>
      <c r="L547" s="7"/>
      <c r="M547" s="2"/>
      <c r="N547" s="2"/>
    </row>
    <row r="548" spans="2:14" ht="15.75" customHeight="1" x14ac:dyDescent="0.2">
      <c r="B548" s="2"/>
      <c r="C548" s="29"/>
      <c r="D548" s="29"/>
      <c r="E548" s="263"/>
      <c r="F548" s="29"/>
      <c r="G548" s="29"/>
      <c r="H548" s="29"/>
      <c r="I548" s="7"/>
      <c r="J548" s="7"/>
      <c r="K548" s="7"/>
      <c r="L548" s="7"/>
      <c r="M548" s="2"/>
      <c r="N548" s="2"/>
    </row>
    <row r="549" spans="2:14" ht="15.75" customHeight="1" x14ac:dyDescent="0.2">
      <c r="B549" s="2"/>
      <c r="C549" s="29"/>
      <c r="D549" s="29"/>
      <c r="E549" s="263"/>
      <c r="F549" s="29"/>
      <c r="G549" s="29"/>
      <c r="H549" s="29"/>
      <c r="I549" s="7"/>
      <c r="J549" s="7"/>
      <c r="K549" s="7"/>
      <c r="L549" s="7"/>
      <c r="M549" s="2"/>
      <c r="N549" s="2"/>
    </row>
    <row r="550" spans="2:14" ht="15.75" customHeight="1" x14ac:dyDescent="0.2">
      <c r="B550" s="2"/>
      <c r="C550" s="29"/>
      <c r="D550" s="29"/>
      <c r="E550" s="263"/>
      <c r="F550" s="29"/>
      <c r="G550" s="29"/>
      <c r="H550" s="29"/>
      <c r="I550" s="7"/>
      <c r="J550" s="7"/>
      <c r="K550" s="7"/>
      <c r="L550" s="7"/>
      <c r="M550" s="2"/>
      <c r="N550" s="2"/>
    </row>
    <row r="551" spans="2:14" ht="15.75" customHeight="1" x14ac:dyDescent="0.2">
      <c r="B551" s="2"/>
      <c r="C551" s="29"/>
      <c r="D551" s="29"/>
      <c r="E551" s="263"/>
      <c r="F551" s="29"/>
      <c r="G551" s="29"/>
      <c r="H551" s="29"/>
      <c r="I551" s="7"/>
      <c r="J551" s="7"/>
      <c r="K551" s="7"/>
      <c r="L551" s="7"/>
      <c r="M551" s="2"/>
      <c r="N551" s="2"/>
    </row>
    <row r="552" spans="2:14" ht="15.75" customHeight="1" x14ac:dyDescent="0.2">
      <c r="B552" s="2"/>
      <c r="C552" s="29"/>
      <c r="D552" s="29"/>
      <c r="E552" s="263"/>
      <c r="F552" s="29"/>
      <c r="G552" s="29"/>
      <c r="H552" s="29"/>
      <c r="I552" s="7"/>
      <c r="J552" s="7"/>
      <c r="K552" s="7"/>
      <c r="L552" s="7"/>
      <c r="M552" s="2"/>
      <c r="N552" s="2"/>
    </row>
    <row r="553" spans="2:14" ht="15.75" customHeight="1" x14ac:dyDescent="0.2">
      <c r="B553" s="2"/>
      <c r="C553" s="29"/>
      <c r="D553" s="29"/>
      <c r="E553" s="263"/>
      <c r="F553" s="29"/>
      <c r="G553" s="29"/>
      <c r="H553" s="29"/>
      <c r="I553" s="7"/>
      <c r="J553" s="7"/>
      <c r="K553" s="7"/>
      <c r="L553" s="7"/>
      <c r="M553" s="2"/>
      <c r="N553" s="2"/>
    </row>
    <row r="554" spans="2:14" ht="15.75" customHeight="1" x14ac:dyDescent="0.2">
      <c r="B554" s="2"/>
      <c r="C554" s="29"/>
      <c r="D554" s="29"/>
      <c r="E554" s="263"/>
      <c r="F554" s="29"/>
      <c r="G554" s="29"/>
      <c r="H554" s="29"/>
      <c r="I554" s="7"/>
      <c r="J554" s="7"/>
      <c r="K554" s="7"/>
      <c r="L554" s="7"/>
      <c r="M554" s="2"/>
      <c r="N554" s="2"/>
    </row>
    <row r="555" spans="2:14" ht="15.75" customHeight="1" x14ac:dyDescent="0.2">
      <c r="B555" s="2"/>
      <c r="C555" s="29"/>
      <c r="D555" s="29"/>
      <c r="E555" s="263"/>
      <c r="F555" s="29"/>
      <c r="G555" s="29"/>
      <c r="H555" s="29"/>
      <c r="I555" s="7"/>
      <c r="J555" s="7"/>
      <c r="K555" s="7"/>
      <c r="L555" s="7"/>
      <c r="M555" s="2"/>
      <c r="N555" s="2"/>
    </row>
    <row r="556" spans="2:14" ht="15.75" customHeight="1" x14ac:dyDescent="0.2">
      <c r="B556" s="2"/>
      <c r="C556" s="29"/>
      <c r="D556" s="29"/>
      <c r="E556" s="263"/>
      <c r="F556" s="29"/>
      <c r="G556" s="29"/>
      <c r="H556" s="29"/>
      <c r="I556" s="7"/>
      <c r="J556" s="7"/>
      <c r="K556" s="7"/>
      <c r="L556" s="7"/>
      <c r="M556" s="2"/>
      <c r="N556" s="2"/>
    </row>
    <row r="557" spans="2:14" ht="15.75" customHeight="1" x14ac:dyDescent="0.2">
      <c r="B557" s="2"/>
      <c r="C557" s="29"/>
      <c r="D557" s="29"/>
      <c r="E557" s="263"/>
      <c r="F557" s="29"/>
      <c r="G557" s="29"/>
      <c r="H557" s="29"/>
      <c r="I557" s="7"/>
      <c r="J557" s="7"/>
      <c r="K557" s="7"/>
      <c r="L557" s="7"/>
      <c r="M557" s="2"/>
      <c r="N557" s="2"/>
    </row>
    <row r="558" spans="2:14" ht="15.75" customHeight="1" x14ac:dyDescent="0.2">
      <c r="B558" s="2"/>
      <c r="C558" s="29"/>
      <c r="D558" s="29"/>
      <c r="E558" s="263"/>
      <c r="F558" s="29"/>
      <c r="G558" s="29"/>
      <c r="H558" s="29"/>
      <c r="I558" s="7"/>
      <c r="J558" s="7"/>
      <c r="K558" s="7"/>
      <c r="L558" s="7"/>
      <c r="M558" s="2"/>
      <c r="N558" s="2"/>
    </row>
    <row r="559" spans="2:14" ht="15.75" customHeight="1" x14ac:dyDescent="0.2">
      <c r="B559" s="2"/>
      <c r="C559" s="29"/>
      <c r="D559" s="29"/>
      <c r="E559" s="263"/>
      <c r="F559" s="29"/>
      <c r="G559" s="29"/>
      <c r="H559" s="29"/>
      <c r="I559" s="7"/>
      <c r="J559" s="7"/>
      <c r="K559" s="7"/>
      <c r="L559" s="7"/>
      <c r="M559" s="2"/>
      <c r="N559" s="2"/>
    </row>
    <row r="560" spans="2:14" ht="15.75" customHeight="1" x14ac:dyDescent="0.2">
      <c r="B560" s="2"/>
      <c r="C560" s="29"/>
      <c r="D560" s="29"/>
      <c r="E560" s="263"/>
      <c r="F560" s="29"/>
      <c r="G560" s="29"/>
      <c r="H560" s="29"/>
      <c r="I560" s="7"/>
      <c r="J560" s="7"/>
      <c r="K560" s="7"/>
      <c r="L560" s="7"/>
      <c r="M560" s="2"/>
      <c r="N560" s="2"/>
    </row>
    <row r="561" spans="2:14" ht="15.75" customHeight="1" x14ac:dyDescent="0.2">
      <c r="B561" s="2"/>
      <c r="C561" s="29"/>
      <c r="D561" s="29"/>
      <c r="E561" s="263"/>
      <c r="F561" s="29"/>
      <c r="G561" s="29"/>
      <c r="H561" s="29"/>
      <c r="I561" s="7"/>
      <c r="J561" s="7"/>
      <c r="K561" s="7"/>
      <c r="L561" s="7"/>
      <c r="M561" s="2"/>
      <c r="N561" s="2"/>
    </row>
    <row r="562" spans="2:14" ht="15.75" customHeight="1" x14ac:dyDescent="0.2">
      <c r="B562" s="2"/>
      <c r="C562" s="29"/>
      <c r="D562" s="29"/>
      <c r="E562" s="263"/>
      <c r="F562" s="29"/>
      <c r="G562" s="29"/>
      <c r="H562" s="29"/>
      <c r="I562" s="7"/>
      <c r="J562" s="7"/>
      <c r="K562" s="7"/>
      <c r="L562" s="7"/>
      <c r="M562" s="2"/>
      <c r="N562" s="2"/>
    </row>
    <row r="563" spans="2:14" ht="15.75" customHeight="1" x14ac:dyDescent="0.2">
      <c r="B563" s="2"/>
      <c r="C563" s="29"/>
      <c r="D563" s="29"/>
      <c r="E563" s="263"/>
      <c r="F563" s="29"/>
      <c r="G563" s="29"/>
      <c r="H563" s="29"/>
      <c r="I563" s="7"/>
      <c r="J563" s="7"/>
      <c r="K563" s="7"/>
      <c r="L563" s="7"/>
      <c r="M563" s="2"/>
      <c r="N563" s="2"/>
    </row>
    <row r="564" spans="2:14" ht="15.75" customHeight="1" x14ac:dyDescent="0.2">
      <c r="B564" s="2"/>
      <c r="C564" s="29"/>
      <c r="D564" s="29"/>
      <c r="E564" s="263"/>
      <c r="F564" s="29"/>
      <c r="G564" s="29"/>
      <c r="H564" s="29"/>
      <c r="I564" s="7"/>
      <c r="J564" s="7"/>
      <c r="K564" s="7"/>
      <c r="L564" s="7"/>
      <c r="M564" s="2"/>
      <c r="N564" s="2"/>
    </row>
    <row r="565" spans="2:14" ht="15.75" customHeight="1" x14ac:dyDescent="0.2">
      <c r="B565" s="2"/>
      <c r="C565" s="29"/>
      <c r="D565" s="29"/>
      <c r="E565" s="263"/>
      <c r="F565" s="29"/>
      <c r="G565" s="29"/>
      <c r="H565" s="29"/>
      <c r="I565" s="7"/>
      <c r="J565" s="7"/>
      <c r="K565" s="7"/>
      <c r="L565" s="7"/>
      <c r="M565" s="2"/>
      <c r="N565" s="2"/>
    </row>
    <row r="566" spans="2:14" ht="15.75" customHeight="1" x14ac:dyDescent="0.2">
      <c r="B566" s="2"/>
      <c r="C566" s="29"/>
      <c r="D566" s="29"/>
      <c r="E566" s="263"/>
      <c r="F566" s="29"/>
      <c r="G566" s="29"/>
      <c r="H566" s="29"/>
      <c r="I566" s="7"/>
      <c r="J566" s="7"/>
      <c r="K566" s="7"/>
      <c r="L566" s="7"/>
      <c r="M566" s="2"/>
      <c r="N566" s="2"/>
    </row>
    <row r="567" spans="2:14" ht="15.75" customHeight="1" x14ac:dyDescent="0.2">
      <c r="B567" s="2"/>
      <c r="C567" s="29"/>
      <c r="D567" s="29"/>
      <c r="E567" s="263"/>
      <c r="F567" s="29"/>
      <c r="G567" s="29"/>
      <c r="H567" s="29"/>
      <c r="I567" s="7"/>
      <c r="J567" s="7"/>
      <c r="K567" s="7"/>
      <c r="L567" s="7"/>
      <c r="M567" s="2"/>
      <c r="N567" s="2"/>
    </row>
    <row r="568" spans="2:14" ht="15.75" customHeight="1" x14ac:dyDescent="0.2">
      <c r="B568" s="2"/>
      <c r="C568" s="29"/>
      <c r="D568" s="29"/>
      <c r="E568" s="263"/>
      <c r="F568" s="29"/>
      <c r="G568" s="29"/>
      <c r="H568" s="29"/>
      <c r="I568" s="7"/>
      <c r="J568" s="7"/>
      <c r="K568" s="7"/>
      <c r="L568" s="7"/>
      <c r="M568" s="2"/>
      <c r="N568" s="2"/>
    </row>
    <row r="569" spans="2:14" ht="15.75" customHeight="1" x14ac:dyDescent="0.2">
      <c r="B569" s="2"/>
      <c r="C569" s="29"/>
      <c r="D569" s="29"/>
      <c r="E569" s="263"/>
      <c r="F569" s="29"/>
      <c r="G569" s="29"/>
      <c r="H569" s="29"/>
      <c r="I569" s="7"/>
      <c r="J569" s="7"/>
      <c r="K569" s="7"/>
      <c r="L569" s="7"/>
      <c r="M569" s="2"/>
      <c r="N569" s="2"/>
    </row>
    <row r="570" spans="2:14" ht="15.75" customHeight="1" x14ac:dyDescent="0.2">
      <c r="B570" s="2"/>
      <c r="C570" s="29"/>
      <c r="D570" s="29"/>
      <c r="E570" s="263"/>
      <c r="F570" s="29"/>
      <c r="G570" s="29"/>
      <c r="H570" s="29"/>
      <c r="I570" s="7"/>
      <c r="J570" s="7"/>
      <c r="K570" s="7"/>
      <c r="L570" s="7"/>
      <c r="M570" s="2"/>
      <c r="N570" s="2"/>
    </row>
    <row r="571" spans="2:14" ht="15.75" customHeight="1" x14ac:dyDescent="0.2">
      <c r="B571" s="2"/>
      <c r="C571" s="29"/>
      <c r="D571" s="29"/>
      <c r="E571" s="263"/>
      <c r="F571" s="29"/>
      <c r="G571" s="29"/>
      <c r="H571" s="29"/>
      <c r="I571" s="7"/>
      <c r="J571" s="7"/>
      <c r="K571" s="7"/>
      <c r="L571" s="7"/>
      <c r="M571" s="2"/>
      <c r="N571" s="2"/>
    </row>
    <row r="572" spans="2:14" ht="15.75" customHeight="1" x14ac:dyDescent="0.2">
      <c r="B572" s="2"/>
      <c r="C572" s="29"/>
      <c r="D572" s="29"/>
      <c r="E572" s="263"/>
      <c r="F572" s="29"/>
      <c r="G572" s="29"/>
      <c r="H572" s="29"/>
      <c r="I572" s="7"/>
      <c r="J572" s="7"/>
      <c r="K572" s="7"/>
      <c r="L572" s="7"/>
      <c r="M572" s="2"/>
      <c r="N572" s="2"/>
    </row>
    <row r="573" spans="2:14" ht="15.75" customHeight="1" x14ac:dyDescent="0.2">
      <c r="B573" s="2"/>
      <c r="C573" s="29"/>
      <c r="D573" s="29"/>
      <c r="E573" s="263"/>
      <c r="F573" s="29"/>
      <c r="G573" s="29"/>
      <c r="H573" s="29"/>
      <c r="I573" s="7"/>
      <c r="J573" s="7"/>
      <c r="K573" s="7"/>
      <c r="L573" s="7"/>
      <c r="M573" s="2"/>
      <c r="N573" s="2"/>
    </row>
    <row r="574" spans="2:14" ht="15.75" customHeight="1" x14ac:dyDescent="0.2">
      <c r="B574" s="2"/>
      <c r="C574" s="29"/>
      <c r="D574" s="29"/>
      <c r="E574" s="263"/>
      <c r="F574" s="29"/>
      <c r="G574" s="29"/>
      <c r="H574" s="29"/>
      <c r="I574" s="7"/>
      <c r="J574" s="7"/>
      <c r="K574" s="7"/>
      <c r="L574" s="7"/>
      <c r="M574" s="2"/>
      <c r="N574" s="2"/>
    </row>
    <row r="575" spans="2:14" ht="15.75" customHeight="1" x14ac:dyDescent="0.2">
      <c r="B575" s="2"/>
      <c r="C575" s="29"/>
      <c r="D575" s="29"/>
      <c r="E575" s="263"/>
      <c r="F575" s="29"/>
      <c r="G575" s="29"/>
      <c r="H575" s="29"/>
      <c r="I575" s="7"/>
      <c r="J575" s="7"/>
      <c r="K575" s="7"/>
      <c r="L575" s="7"/>
      <c r="M575" s="2"/>
      <c r="N575" s="2"/>
    </row>
    <row r="576" spans="2:14" ht="15.75" customHeight="1" x14ac:dyDescent="0.2">
      <c r="B576" s="2"/>
      <c r="C576" s="29"/>
      <c r="D576" s="29"/>
      <c r="E576" s="263"/>
      <c r="F576" s="29"/>
      <c r="G576" s="29"/>
      <c r="H576" s="29"/>
      <c r="I576" s="7"/>
      <c r="J576" s="7"/>
      <c r="K576" s="7"/>
      <c r="L576" s="7"/>
      <c r="M576" s="2"/>
      <c r="N576" s="2"/>
    </row>
    <row r="577" spans="2:14" ht="15.75" customHeight="1" x14ac:dyDescent="0.2">
      <c r="B577" s="2"/>
      <c r="C577" s="29"/>
      <c r="D577" s="29"/>
      <c r="E577" s="263"/>
      <c r="F577" s="29"/>
      <c r="G577" s="29"/>
      <c r="H577" s="29"/>
      <c r="I577" s="7"/>
      <c r="J577" s="7"/>
      <c r="K577" s="7"/>
      <c r="L577" s="7"/>
      <c r="M577" s="2"/>
      <c r="N577" s="2"/>
    </row>
    <row r="578" spans="2:14" ht="15.75" customHeight="1" x14ac:dyDescent="0.2">
      <c r="B578" s="2"/>
      <c r="C578" s="29"/>
      <c r="D578" s="29"/>
      <c r="E578" s="263"/>
      <c r="F578" s="29"/>
      <c r="G578" s="29"/>
      <c r="H578" s="29"/>
      <c r="I578" s="7"/>
      <c r="J578" s="7"/>
      <c r="K578" s="7"/>
      <c r="L578" s="7"/>
      <c r="M578" s="2"/>
      <c r="N578" s="2"/>
    </row>
    <row r="579" spans="2:14" ht="15.75" customHeight="1" x14ac:dyDescent="0.2">
      <c r="B579" s="2"/>
      <c r="C579" s="29"/>
      <c r="D579" s="29"/>
      <c r="E579" s="263"/>
      <c r="F579" s="29"/>
      <c r="G579" s="29"/>
      <c r="H579" s="29"/>
      <c r="I579" s="7"/>
      <c r="J579" s="7"/>
      <c r="K579" s="7"/>
      <c r="L579" s="7"/>
      <c r="M579" s="2"/>
      <c r="N579" s="2"/>
    </row>
    <row r="580" spans="2:14" ht="15.75" customHeight="1" x14ac:dyDescent="0.2">
      <c r="B580" s="2"/>
      <c r="C580" s="29"/>
      <c r="D580" s="29"/>
      <c r="E580" s="263"/>
      <c r="F580" s="29"/>
      <c r="G580" s="29"/>
      <c r="H580" s="29"/>
      <c r="I580" s="7"/>
      <c r="J580" s="7"/>
      <c r="K580" s="7"/>
      <c r="L580" s="7"/>
      <c r="M580" s="2"/>
      <c r="N580" s="2"/>
    </row>
    <row r="581" spans="2:14" ht="15.75" customHeight="1" x14ac:dyDescent="0.2">
      <c r="B581" s="2"/>
      <c r="C581" s="29"/>
      <c r="D581" s="29"/>
      <c r="E581" s="263"/>
      <c r="F581" s="29"/>
      <c r="G581" s="29"/>
      <c r="H581" s="29"/>
      <c r="I581" s="7"/>
      <c r="J581" s="7"/>
      <c r="K581" s="7"/>
      <c r="L581" s="7"/>
      <c r="M581" s="2"/>
      <c r="N581" s="2"/>
    </row>
    <row r="582" spans="2:14" ht="15.75" customHeight="1" x14ac:dyDescent="0.2">
      <c r="B582" s="2"/>
      <c r="C582" s="29"/>
      <c r="D582" s="29"/>
      <c r="E582" s="263"/>
      <c r="F582" s="29"/>
      <c r="G582" s="29"/>
      <c r="H582" s="29"/>
      <c r="I582" s="7"/>
      <c r="J582" s="7"/>
      <c r="K582" s="7"/>
      <c r="L582" s="7"/>
      <c r="M582" s="2"/>
      <c r="N582" s="2"/>
    </row>
    <row r="583" spans="2:14" ht="15.75" customHeight="1" x14ac:dyDescent="0.2">
      <c r="B583" s="2"/>
      <c r="C583" s="29"/>
      <c r="D583" s="29"/>
      <c r="E583" s="263"/>
      <c r="F583" s="29"/>
      <c r="G583" s="29"/>
      <c r="H583" s="29"/>
      <c r="I583" s="7"/>
      <c r="J583" s="7"/>
      <c r="K583" s="7"/>
      <c r="L583" s="7"/>
      <c r="M583" s="2"/>
      <c r="N583" s="2"/>
    </row>
    <row r="584" spans="2:14" ht="15.75" customHeight="1" x14ac:dyDescent="0.2">
      <c r="B584" s="2"/>
      <c r="C584" s="29"/>
      <c r="D584" s="29"/>
      <c r="E584" s="263"/>
      <c r="F584" s="29"/>
      <c r="G584" s="29"/>
      <c r="H584" s="29"/>
      <c r="I584" s="7"/>
      <c r="J584" s="7"/>
      <c r="K584" s="7"/>
      <c r="L584" s="7"/>
      <c r="M584" s="2"/>
      <c r="N584" s="2"/>
    </row>
    <row r="585" spans="2:14" ht="15.75" customHeight="1" x14ac:dyDescent="0.2">
      <c r="B585" s="2"/>
      <c r="C585" s="29"/>
      <c r="D585" s="29"/>
      <c r="E585" s="263"/>
      <c r="F585" s="29"/>
      <c r="G585" s="29"/>
      <c r="H585" s="29"/>
      <c r="I585" s="7"/>
      <c r="J585" s="7"/>
      <c r="K585" s="7"/>
      <c r="L585" s="7"/>
      <c r="M585" s="2"/>
      <c r="N585" s="2"/>
    </row>
    <row r="586" spans="2:14" ht="15.75" customHeight="1" x14ac:dyDescent="0.2">
      <c r="B586" s="2"/>
      <c r="C586" s="29"/>
      <c r="D586" s="29"/>
      <c r="E586" s="263"/>
      <c r="F586" s="29"/>
      <c r="G586" s="29"/>
      <c r="H586" s="29"/>
      <c r="I586" s="7"/>
      <c r="J586" s="7"/>
      <c r="K586" s="7"/>
      <c r="L586" s="7"/>
      <c r="M586" s="2"/>
      <c r="N586" s="2"/>
    </row>
    <row r="587" spans="2:14" ht="15.75" customHeight="1" x14ac:dyDescent="0.2">
      <c r="B587" s="2"/>
      <c r="C587" s="29"/>
      <c r="D587" s="29"/>
      <c r="E587" s="263"/>
      <c r="F587" s="29"/>
      <c r="G587" s="29"/>
      <c r="H587" s="29"/>
      <c r="I587" s="7"/>
      <c r="J587" s="7"/>
      <c r="K587" s="7"/>
      <c r="L587" s="7"/>
      <c r="M587" s="2"/>
      <c r="N587" s="2"/>
    </row>
    <row r="588" spans="2:14" ht="15.75" customHeight="1" x14ac:dyDescent="0.2">
      <c r="B588" s="2"/>
      <c r="C588" s="29"/>
      <c r="D588" s="29"/>
      <c r="E588" s="263"/>
      <c r="F588" s="29"/>
      <c r="G588" s="29"/>
      <c r="H588" s="29"/>
      <c r="I588" s="7"/>
      <c r="J588" s="7"/>
      <c r="K588" s="7"/>
      <c r="L588" s="7"/>
      <c r="M588" s="2"/>
      <c r="N588" s="2"/>
    </row>
    <row r="589" spans="2:14" ht="15.75" customHeight="1" x14ac:dyDescent="0.2">
      <c r="B589" s="2"/>
      <c r="C589" s="29"/>
      <c r="D589" s="29"/>
      <c r="E589" s="263"/>
      <c r="F589" s="29"/>
      <c r="G589" s="29"/>
      <c r="H589" s="29"/>
      <c r="I589" s="7"/>
      <c r="J589" s="7"/>
      <c r="K589" s="7"/>
      <c r="L589" s="7"/>
      <c r="M589" s="2"/>
      <c r="N589" s="2"/>
    </row>
    <row r="590" spans="2:14" ht="15.75" customHeight="1" x14ac:dyDescent="0.2">
      <c r="B590" s="2"/>
      <c r="C590" s="29"/>
      <c r="D590" s="29"/>
      <c r="E590" s="263"/>
      <c r="F590" s="29"/>
      <c r="G590" s="29"/>
      <c r="H590" s="29"/>
      <c r="I590" s="7"/>
      <c r="J590" s="7"/>
      <c r="K590" s="7"/>
      <c r="L590" s="7"/>
      <c r="M590" s="2"/>
      <c r="N590" s="2"/>
    </row>
    <row r="591" spans="2:14" ht="15.75" customHeight="1" x14ac:dyDescent="0.2">
      <c r="B591" s="2"/>
      <c r="C591" s="29"/>
      <c r="D591" s="29"/>
      <c r="E591" s="263"/>
      <c r="F591" s="29"/>
      <c r="G591" s="29"/>
      <c r="H591" s="29"/>
      <c r="I591" s="7"/>
      <c r="J591" s="7"/>
      <c r="K591" s="7"/>
      <c r="L591" s="7"/>
      <c r="M591" s="2"/>
      <c r="N591" s="2"/>
    </row>
    <row r="592" spans="2:14" ht="15.75" customHeight="1" x14ac:dyDescent="0.2">
      <c r="B592" s="2"/>
      <c r="C592" s="29"/>
      <c r="D592" s="29"/>
      <c r="E592" s="263"/>
      <c r="F592" s="29"/>
      <c r="G592" s="29"/>
      <c r="H592" s="29"/>
      <c r="I592" s="7"/>
      <c r="J592" s="7"/>
      <c r="K592" s="7"/>
      <c r="L592" s="7"/>
      <c r="M592" s="2"/>
      <c r="N592" s="2"/>
    </row>
    <row r="593" spans="2:14" ht="15.75" customHeight="1" x14ac:dyDescent="0.2">
      <c r="B593" s="2"/>
      <c r="C593" s="29"/>
      <c r="D593" s="29"/>
      <c r="E593" s="263"/>
      <c r="F593" s="29"/>
      <c r="G593" s="29"/>
      <c r="H593" s="29"/>
      <c r="I593" s="7"/>
      <c r="J593" s="7"/>
      <c r="K593" s="7"/>
      <c r="L593" s="7"/>
      <c r="M593" s="2"/>
      <c r="N593" s="2"/>
    </row>
    <row r="594" spans="2:14" ht="15.75" customHeight="1" x14ac:dyDescent="0.2">
      <c r="B594" s="2"/>
      <c r="C594" s="29"/>
      <c r="D594" s="29"/>
      <c r="E594" s="263"/>
      <c r="F594" s="29"/>
      <c r="G594" s="29"/>
      <c r="H594" s="29"/>
      <c r="I594" s="7"/>
      <c r="J594" s="7"/>
      <c r="K594" s="7"/>
      <c r="L594" s="7"/>
      <c r="M594" s="2"/>
      <c r="N594" s="2"/>
    </row>
    <row r="595" spans="2:14" ht="15.75" customHeight="1" x14ac:dyDescent="0.2">
      <c r="B595" s="2"/>
      <c r="C595" s="29"/>
      <c r="D595" s="29"/>
      <c r="E595" s="263"/>
      <c r="F595" s="29"/>
      <c r="G595" s="29"/>
      <c r="H595" s="29"/>
      <c r="I595" s="7"/>
      <c r="J595" s="7"/>
      <c r="K595" s="7"/>
      <c r="L595" s="7"/>
      <c r="M595" s="2"/>
      <c r="N595" s="2"/>
    </row>
    <row r="596" spans="2:14" ht="15.75" customHeight="1" x14ac:dyDescent="0.2">
      <c r="B596" s="2"/>
      <c r="C596" s="29"/>
      <c r="D596" s="29"/>
      <c r="E596" s="263"/>
      <c r="F596" s="29"/>
      <c r="G596" s="29"/>
      <c r="H596" s="29"/>
      <c r="I596" s="7"/>
      <c r="J596" s="7"/>
      <c r="K596" s="7"/>
      <c r="L596" s="7"/>
      <c r="M596" s="2"/>
      <c r="N596" s="2"/>
    </row>
    <row r="597" spans="2:14" ht="15.75" customHeight="1" x14ac:dyDescent="0.2">
      <c r="B597" s="2"/>
      <c r="C597" s="29"/>
      <c r="D597" s="29"/>
      <c r="E597" s="263"/>
      <c r="F597" s="29"/>
      <c r="G597" s="29"/>
      <c r="H597" s="29"/>
      <c r="I597" s="7"/>
      <c r="J597" s="7"/>
      <c r="K597" s="7"/>
      <c r="L597" s="7"/>
      <c r="M597" s="2"/>
      <c r="N597" s="2"/>
    </row>
    <row r="598" spans="2:14" ht="15.75" customHeight="1" x14ac:dyDescent="0.2">
      <c r="B598" s="2"/>
      <c r="C598" s="29"/>
      <c r="D598" s="29"/>
      <c r="E598" s="263"/>
      <c r="F598" s="29"/>
      <c r="G598" s="29"/>
      <c r="H598" s="29"/>
      <c r="I598" s="7"/>
      <c r="J598" s="7"/>
      <c r="K598" s="7"/>
      <c r="L598" s="7"/>
      <c r="M598" s="2"/>
      <c r="N598" s="2"/>
    </row>
    <row r="599" spans="2:14" ht="15.75" customHeight="1" x14ac:dyDescent="0.2">
      <c r="B599" s="2"/>
      <c r="C599" s="29"/>
      <c r="D599" s="29"/>
      <c r="E599" s="263"/>
      <c r="F599" s="29"/>
      <c r="G599" s="29"/>
      <c r="H599" s="29"/>
      <c r="I599" s="7"/>
      <c r="J599" s="7"/>
      <c r="K599" s="7"/>
      <c r="L599" s="7"/>
      <c r="M599" s="2"/>
      <c r="N599" s="2"/>
    </row>
    <row r="600" spans="2:14" ht="15.75" customHeight="1" x14ac:dyDescent="0.2">
      <c r="B600" s="2"/>
      <c r="C600" s="29"/>
      <c r="D600" s="29"/>
      <c r="E600" s="263"/>
      <c r="F600" s="29"/>
      <c r="G600" s="29"/>
      <c r="H600" s="29"/>
      <c r="I600" s="7"/>
      <c r="J600" s="7"/>
      <c r="K600" s="7"/>
      <c r="L600" s="7"/>
      <c r="M600" s="2"/>
      <c r="N600" s="2"/>
    </row>
    <row r="601" spans="2:14" ht="15.75" customHeight="1" x14ac:dyDescent="0.2">
      <c r="B601" s="2"/>
      <c r="C601" s="29"/>
      <c r="D601" s="29"/>
      <c r="E601" s="263"/>
      <c r="F601" s="29"/>
      <c r="G601" s="29"/>
      <c r="H601" s="29"/>
      <c r="I601" s="7"/>
      <c r="J601" s="7"/>
      <c r="K601" s="7"/>
      <c r="L601" s="7"/>
      <c r="M601" s="2"/>
      <c r="N601" s="2"/>
    </row>
    <row r="602" spans="2:14" ht="15.75" customHeight="1" x14ac:dyDescent="0.2">
      <c r="B602" s="2"/>
      <c r="C602" s="29"/>
      <c r="D602" s="29"/>
      <c r="E602" s="263"/>
      <c r="F602" s="29"/>
      <c r="G602" s="29"/>
      <c r="H602" s="29"/>
      <c r="I602" s="7"/>
      <c r="J602" s="7"/>
      <c r="K602" s="7"/>
      <c r="L602" s="7"/>
      <c r="M602" s="2"/>
      <c r="N602" s="2"/>
    </row>
    <row r="603" spans="2:14" ht="15.75" customHeight="1" x14ac:dyDescent="0.2">
      <c r="B603" s="2"/>
      <c r="C603" s="29"/>
      <c r="D603" s="29"/>
      <c r="E603" s="263"/>
      <c r="F603" s="29"/>
      <c r="G603" s="29"/>
      <c r="H603" s="29"/>
      <c r="I603" s="7"/>
      <c r="J603" s="7"/>
      <c r="K603" s="7"/>
      <c r="L603" s="7"/>
      <c r="M603" s="2"/>
      <c r="N603" s="2"/>
    </row>
    <row r="604" spans="2:14" ht="15.75" customHeight="1" x14ac:dyDescent="0.2">
      <c r="B604" s="2"/>
      <c r="C604" s="29"/>
      <c r="D604" s="29"/>
      <c r="E604" s="263"/>
      <c r="F604" s="29"/>
      <c r="G604" s="29"/>
      <c r="H604" s="29"/>
      <c r="I604" s="7"/>
      <c r="J604" s="7"/>
      <c r="K604" s="7"/>
      <c r="L604" s="7"/>
      <c r="M604" s="2"/>
      <c r="N604" s="2"/>
    </row>
    <row r="605" spans="2:14" ht="15.75" customHeight="1" x14ac:dyDescent="0.2">
      <c r="B605" s="2"/>
      <c r="C605" s="29"/>
      <c r="D605" s="29"/>
      <c r="E605" s="263"/>
      <c r="F605" s="29"/>
      <c r="G605" s="29"/>
      <c r="H605" s="29"/>
      <c r="I605" s="7"/>
      <c r="J605" s="7"/>
      <c r="K605" s="7"/>
      <c r="L605" s="7"/>
      <c r="M605" s="2"/>
      <c r="N605" s="2"/>
    </row>
    <row r="606" spans="2:14" ht="15.75" customHeight="1" x14ac:dyDescent="0.2">
      <c r="B606" s="2"/>
      <c r="C606" s="29"/>
      <c r="D606" s="29"/>
      <c r="E606" s="263"/>
      <c r="F606" s="29"/>
      <c r="G606" s="29"/>
      <c r="H606" s="29"/>
      <c r="I606" s="7"/>
      <c r="J606" s="7"/>
      <c r="K606" s="7"/>
      <c r="L606" s="7"/>
      <c r="M606" s="2"/>
      <c r="N606" s="2"/>
    </row>
    <row r="607" spans="2:14" ht="15.75" customHeight="1" x14ac:dyDescent="0.2">
      <c r="B607" s="2"/>
      <c r="C607" s="29"/>
      <c r="D607" s="29"/>
      <c r="E607" s="263"/>
      <c r="F607" s="29"/>
      <c r="G607" s="29"/>
      <c r="H607" s="29"/>
      <c r="I607" s="7"/>
      <c r="J607" s="7"/>
      <c r="K607" s="7"/>
      <c r="L607" s="7"/>
      <c r="M607" s="2"/>
      <c r="N607" s="2"/>
    </row>
    <row r="608" spans="2:14" ht="15.75" customHeight="1" x14ac:dyDescent="0.2">
      <c r="B608" s="2"/>
      <c r="C608" s="29"/>
      <c r="D608" s="29"/>
      <c r="E608" s="263"/>
      <c r="F608" s="29"/>
      <c r="G608" s="29"/>
      <c r="H608" s="29"/>
      <c r="I608" s="7"/>
      <c r="J608" s="7"/>
      <c r="K608" s="7"/>
      <c r="L608" s="7"/>
      <c r="M608" s="2"/>
      <c r="N608" s="2"/>
    </row>
    <row r="609" spans="2:14" ht="15.75" customHeight="1" x14ac:dyDescent="0.2">
      <c r="B609" s="2"/>
      <c r="C609" s="29"/>
      <c r="D609" s="29"/>
      <c r="E609" s="263"/>
      <c r="F609" s="29"/>
      <c r="G609" s="29"/>
      <c r="H609" s="29"/>
      <c r="I609" s="7"/>
      <c r="J609" s="7"/>
      <c r="K609" s="7"/>
      <c r="L609" s="7"/>
      <c r="M609" s="2"/>
      <c r="N609" s="2"/>
    </row>
    <row r="610" spans="2:14" ht="15.75" customHeight="1" x14ac:dyDescent="0.2">
      <c r="B610" s="2"/>
      <c r="C610" s="29"/>
      <c r="D610" s="29"/>
      <c r="E610" s="263"/>
      <c r="F610" s="29"/>
      <c r="G610" s="29"/>
      <c r="H610" s="29"/>
      <c r="I610" s="7"/>
      <c r="J610" s="7"/>
      <c r="K610" s="7"/>
      <c r="L610" s="7"/>
      <c r="M610" s="2"/>
      <c r="N610" s="2"/>
    </row>
    <row r="611" spans="2:14" ht="15.75" customHeight="1" x14ac:dyDescent="0.2">
      <c r="B611" s="2"/>
      <c r="C611" s="29"/>
      <c r="D611" s="29"/>
      <c r="E611" s="263"/>
      <c r="F611" s="29"/>
      <c r="G611" s="29"/>
      <c r="H611" s="29"/>
      <c r="I611" s="7"/>
      <c r="J611" s="7"/>
      <c r="K611" s="7"/>
      <c r="L611" s="7"/>
      <c r="M611" s="2"/>
      <c r="N611" s="2"/>
    </row>
    <row r="612" spans="2:14" ht="15.75" customHeight="1" x14ac:dyDescent="0.2">
      <c r="B612" s="2"/>
      <c r="C612" s="29"/>
      <c r="D612" s="29"/>
      <c r="E612" s="263"/>
      <c r="F612" s="29"/>
      <c r="G612" s="29"/>
      <c r="H612" s="29"/>
      <c r="I612" s="7"/>
      <c r="J612" s="7"/>
      <c r="K612" s="7"/>
      <c r="L612" s="7"/>
      <c r="M612" s="2"/>
      <c r="N612" s="2"/>
    </row>
    <row r="613" spans="2:14" ht="15.75" customHeight="1" x14ac:dyDescent="0.2">
      <c r="B613" s="2"/>
      <c r="C613" s="29"/>
      <c r="D613" s="29"/>
      <c r="E613" s="263"/>
      <c r="F613" s="29"/>
      <c r="G613" s="29"/>
      <c r="H613" s="29"/>
      <c r="I613" s="7"/>
      <c r="J613" s="7"/>
      <c r="K613" s="7"/>
      <c r="L613" s="7"/>
      <c r="M613" s="2"/>
      <c r="N613" s="2"/>
    </row>
    <row r="614" spans="2:14" ht="15.75" customHeight="1" x14ac:dyDescent="0.2">
      <c r="B614" s="2"/>
      <c r="C614" s="29"/>
      <c r="D614" s="29"/>
      <c r="E614" s="263"/>
      <c r="F614" s="29"/>
      <c r="G614" s="29"/>
      <c r="H614" s="29"/>
      <c r="I614" s="7"/>
      <c r="J614" s="7"/>
      <c r="K614" s="7"/>
      <c r="L614" s="7"/>
      <c r="M614" s="2"/>
      <c r="N614" s="2"/>
    </row>
    <row r="615" spans="2:14" ht="15.75" customHeight="1" x14ac:dyDescent="0.2">
      <c r="B615" s="2"/>
      <c r="C615" s="29"/>
      <c r="D615" s="29"/>
      <c r="E615" s="263"/>
      <c r="F615" s="29"/>
      <c r="G615" s="29"/>
      <c r="H615" s="29"/>
      <c r="I615" s="7"/>
      <c r="J615" s="7"/>
      <c r="K615" s="7"/>
      <c r="L615" s="7"/>
      <c r="M615" s="2"/>
      <c r="N615" s="2"/>
    </row>
    <row r="616" spans="2:14" ht="15.75" customHeight="1" x14ac:dyDescent="0.2">
      <c r="B616" s="2"/>
      <c r="C616" s="29"/>
      <c r="D616" s="29"/>
      <c r="E616" s="263"/>
      <c r="F616" s="29"/>
      <c r="G616" s="29"/>
      <c r="H616" s="29"/>
      <c r="I616" s="7"/>
      <c r="J616" s="7"/>
      <c r="K616" s="7"/>
      <c r="L616" s="7"/>
      <c r="M616" s="2"/>
      <c r="N616" s="2"/>
    </row>
    <row r="617" spans="2:14" ht="15.75" customHeight="1" x14ac:dyDescent="0.2">
      <c r="B617" s="2"/>
      <c r="C617" s="29"/>
      <c r="D617" s="29"/>
      <c r="E617" s="263"/>
      <c r="F617" s="29"/>
      <c r="G617" s="29"/>
      <c r="H617" s="29"/>
      <c r="I617" s="7"/>
      <c r="J617" s="7"/>
      <c r="K617" s="7"/>
      <c r="L617" s="7"/>
      <c r="M617" s="2"/>
      <c r="N617" s="2"/>
    </row>
    <row r="618" spans="2:14" ht="15.75" customHeight="1" x14ac:dyDescent="0.2">
      <c r="B618" s="2"/>
      <c r="C618" s="29"/>
      <c r="D618" s="29"/>
      <c r="E618" s="263"/>
      <c r="F618" s="29"/>
      <c r="G618" s="29"/>
      <c r="H618" s="29"/>
      <c r="I618" s="7"/>
      <c r="J618" s="7"/>
      <c r="K618" s="7"/>
      <c r="L618" s="7"/>
      <c r="M618" s="2"/>
      <c r="N618" s="2"/>
    </row>
    <row r="619" spans="2:14" ht="15.75" customHeight="1" x14ac:dyDescent="0.2">
      <c r="B619" s="2"/>
      <c r="C619" s="29"/>
      <c r="D619" s="29"/>
      <c r="E619" s="263"/>
      <c r="F619" s="29"/>
      <c r="G619" s="29"/>
      <c r="H619" s="29"/>
      <c r="I619" s="7"/>
      <c r="J619" s="7"/>
      <c r="K619" s="7"/>
      <c r="L619" s="7"/>
      <c r="M619" s="2"/>
      <c r="N619" s="2"/>
    </row>
    <row r="620" spans="2:14" ht="15.75" customHeight="1" x14ac:dyDescent="0.2">
      <c r="B620" s="2"/>
      <c r="C620" s="29"/>
      <c r="D620" s="29"/>
      <c r="E620" s="263"/>
      <c r="F620" s="29"/>
      <c r="G620" s="29"/>
      <c r="H620" s="29"/>
      <c r="I620" s="7"/>
      <c r="J620" s="7"/>
      <c r="K620" s="7"/>
      <c r="L620" s="7"/>
      <c r="M620" s="2"/>
      <c r="N620" s="2"/>
    </row>
    <row r="621" spans="2:14" ht="15.75" customHeight="1" x14ac:dyDescent="0.2">
      <c r="B621" s="2"/>
      <c r="C621" s="29"/>
      <c r="D621" s="29"/>
      <c r="E621" s="263"/>
      <c r="F621" s="29"/>
      <c r="G621" s="29"/>
      <c r="H621" s="29"/>
      <c r="I621" s="7"/>
      <c r="J621" s="7"/>
      <c r="K621" s="7"/>
      <c r="L621" s="7"/>
      <c r="M621" s="2"/>
      <c r="N621" s="2"/>
    </row>
    <row r="622" spans="2:14" ht="15.75" customHeight="1" x14ac:dyDescent="0.2">
      <c r="B622" s="2"/>
      <c r="C622" s="29"/>
      <c r="D622" s="29"/>
      <c r="E622" s="263"/>
      <c r="F622" s="29"/>
      <c r="G622" s="29"/>
      <c r="H622" s="29"/>
      <c r="I622" s="7"/>
      <c r="J622" s="7"/>
      <c r="K622" s="7"/>
      <c r="L622" s="7"/>
      <c r="M622" s="2"/>
      <c r="N622" s="2"/>
    </row>
    <row r="623" spans="2:14" ht="15.75" customHeight="1" x14ac:dyDescent="0.2">
      <c r="B623" s="2"/>
      <c r="C623" s="29"/>
      <c r="D623" s="29"/>
      <c r="E623" s="263"/>
      <c r="F623" s="29"/>
      <c r="G623" s="29"/>
      <c r="H623" s="29"/>
      <c r="I623" s="7"/>
      <c r="J623" s="7"/>
      <c r="K623" s="7"/>
      <c r="L623" s="7"/>
      <c r="M623" s="2"/>
      <c r="N623" s="2"/>
    </row>
    <row r="624" spans="2:14" ht="15.75" customHeight="1" x14ac:dyDescent="0.2">
      <c r="B624" s="2"/>
      <c r="C624" s="29"/>
      <c r="D624" s="29"/>
      <c r="E624" s="263"/>
      <c r="F624" s="29"/>
      <c r="G624" s="29"/>
      <c r="H624" s="29"/>
      <c r="I624" s="7"/>
      <c r="J624" s="7"/>
      <c r="K624" s="7"/>
      <c r="L624" s="7"/>
      <c r="M624" s="2"/>
      <c r="N624" s="2"/>
    </row>
    <row r="625" spans="2:14" ht="15.75" customHeight="1" x14ac:dyDescent="0.2">
      <c r="B625" s="2"/>
      <c r="C625" s="29"/>
      <c r="D625" s="29"/>
      <c r="E625" s="263"/>
      <c r="F625" s="29"/>
      <c r="G625" s="29"/>
      <c r="H625" s="29"/>
      <c r="I625" s="7"/>
      <c r="J625" s="7"/>
      <c r="K625" s="7"/>
      <c r="L625" s="7"/>
      <c r="M625" s="2"/>
      <c r="N625" s="2"/>
    </row>
    <row r="626" spans="2:14" ht="15.75" customHeight="1" x14ac:dyDescent="0.2">
      <c r="B626" s="2"/>
      <c r="C626" s="29"/>
      <c r="D626" s="29"/>
      <c r="E626" s="263"/>
      <c r="F626" s="29"/>
      <c r="G626" s="29"/>
      <c r="H626" s="29"/>
      <c r="I626" s="7"/>
      <c r="J626" s="7"/>
      <c r="K626" s="7"/>
      <c r="L626" s="7"/>
      <c r="M626" s="2"/>
      <c r="N626" s="2"/>
    </row>
    <row r="627" spans="2:14" ht="15.75" customHeight="1" x14ac:dyDescent="0.2">
      <c r="B627" s="2"/>
      <c r="C627" s="29"/>
      <c r="D627" s="29"/>
      <c r="E627" s="263"/>
      <c r="F627" s="29"/>
      <c r="G627" s="29"/>
      <c r="H627" s="29"/>
      <c r="I627" s="7"/>
      <c r="J627" s="7"/>
      <c r="K627" s="7"/>
      <c r="L627" s="7"/>
      <c r="M627" s="2"/>
      <c r="N627" s="2"/>
    </row>
    <row r="628" spans="2:14" ht="15.75" customHeight="1" x14ac:dyDescent="0.2">
      <c r="B628" s="2"/>
      <c r="C628" s="29"/>
      <c r="D628" s="29"/>
      <c r="E628" s="263"/>
      <c r="F628" s="29"/>
      <c r="G628" s="29"/>
      <c r="H628" s="29"/>
      <c r="I628" s="7"/>
      <c r="J628" s="7"/>
      <c r="K628" s="7"/>
      <c r="L628" s="7"/>
      <c r="M628" s="2"/>
      <c r="N628" s="2"/>
    </row>
    <row r="629" spans="2:14" ht="15.75" customHeight="1" x14ac:dyDescent="0.2">
      <c r="B629" s="2"/>
      <c r="C629" s="29"/>
      <c r="D629" s="29"/>
      <c r="E629" s="263"/>
      <c r="F629" s="29"/>
      <c r="G629" s="29"/>
      <c r="H629" s="29"/>
      <c r="I629" s="7"/>
      <c r="J629" s="7"/>
      <c r="K629" s="7"/>
      <c r="L629" s="7"/>
      <c r="M629" s="2"/>
      <c r="N629" s="2"/>
    </row>
    <row r="630" spans="2:14" ht="15.75" customHeight="1" x14ac:dyDescent="0.2">
      <c r="B630" s="2"/>
      <c r="C630" s="29"/>
      <c r="D630" s="29"/>
      <c r="E630" s="263"/>
      <c r="F630" s="29"/>
      <c r="G630" s="29"/>
      <c r="H630" s="29"/>
      <c r="I630" s="7"/>
      <c r="J630" s="7"/>
      <c r="K630" s="7"/>
      <c r="L630" s="7"/>
      <c r="M630" s="2"/>
      <c r="N630" s="2"/>
    </row>
    <row r="631" spans="2:14" ht="15.75" customHeight="1" x14ac:dyDescent="0.2">
      <c r="B631" s="2"/>
      <c r="C631" s="29"/>
      <c r="D631" s="29"/>
      <c r="E631" s="263"/>
      <c r="F631" s="29"/>
      <c r="G631" s="29"/>
      <c r="H631" s="29"/>
      <c r="I631" s="7"/>
      <c r="J631" s="7"/>
      <c r="K631" s="7"/>
      <c r="L631" s="7"/>
      <c r="M631" s="2"/>
      <c r="N631" s="2"/>
    </row>
    <row r="632" spans="2:14" ht="15.75" customHeight="1" x14ac:dyDescent="0.2">
      <c r="B632" s="2"/>
      <c r="C632" s="29"/>
      <c r="D632" s="29"/>
      <c r="E632" s="263"/>
      <c r="F632" s="29"/>
      <c r="G632" s="29"/>
      <c r="H632" s="29"/>
      <c r="I632" s="7"/>
      <c r="J632" s="7"/>
      <c r="K632" s="7"/>
      <c r="L632" s="7"/>
      <c r="M632" s="2"/>
      <c r="N632" s="2"/>
    </row>
    <row r="633" spans="2:14" ht="15.75" customHeight="1" x14ac:dyDescent="0.2">
      <c r="B633" s="2"/>
      <c r="C633" s="29"/>
      <c r="D633" s="29"/>
      <c r="E633" s="263"/>
      <c r="F633" s="29"/>
      <c r="G633" s="29"/>
      <c r="H633" s="29"/>
      <c r="I633" s="7"/>
      <c r="J633" s="7"/>
      <c r="K633" s="7"/>
      <c r="L633" s="7"/>
      <c r="M633" s="2"/>
      <c r="N633" s="2"/>
    </row>
    <row r="634" spans="2:14" ht="15.75" customHeight="1" x14ac:dyDescent="0.2">
      <c r="B634" s="2"/>
      <c r="C634" s="29"/>
      <c r="D634" s="29"/>
      <c r="E634" s="263"/>
      <c r="F634" s="29"/>
      <c r="G634" s="29"/>
      <c r="H634" s="29"/>
      <c r="I634" s="7"/>
      <c r="J634" s="7"/>
      <c r="K634" s="7"/>
      <c r="L634" s="7"/>
      <c r="M634" s="2"/>
      <c r="N634" s="2"/>
    </row>
    <row r="635" spans="2:14" ht="15.75" customHeight="1" x14ac:dyDescent="0.2">
      <c r="B635" s="2"/>
      <c r="C635" s="29"/>
      <c r="D635" s="29"/>
      <c r="E635" s="263"/>
      <c r="F635" s="29"/>
      <c r="G635" s="29"/>
      <c r="H635" s="29"/>
      <c r="I635" s="7"/>
      <c r="J635" s="7"/>
      <c r="K635" s="7"/>
      <c r="L635" s="7"/>
      <c r="M635" s="2"/>
      <c r="N635" s="2"/>
    </row>
    <row r="636" spans="2:14" ht="15.75" customHeight="1" x14ac:dyDescent="0.2">
      <c r="B636" s="2"/>
      <c r="C636" s="29"/>
      <c r="D636" s="29"/>
      <c r="E636" s="263"/>
      <c r="F636" s="29"/>
      <c r="G636" s="29"/>
      <c r="H636" s="29"/>
      <c r="I636" s="7"/>
      <c r="J636" s="7"/>
      <c r="K636" s="7"/>
      <c r="L636" s="7"/>
      <c r="M636" s="2"/>
      <c r="N636" s="2"/>
    </row>
    <row r="637" spans="2:14" ht="15.75" customHeight="1" x14ac:dyDescent="0.2">
      <c r="B637" s="2"/>
      <c r="C637" s="29"/>
      <c r="D637" s="29"/>
      <c r="E637" s="263"/>
      <c r="F637" s="29"/>
      <c r="G637" s="29"/>
      <c r="H637" s="29"/>
      <c r="I637" s="7"/>
      <c r="J637" s="7"/>
      <c r="K637" s="7"/>
      <c r="L637" s="7"/>
      <c r="M637" s="2"/>
      <c r="N637" s="2"/>
    </row>
    <row r="638" spans="2:14" ht="15.75" customHeight="1" x14ac:dyDescent="0.2">
      <c r="B638" s="2"/>
      <c r="C638" s="29"/>
      <c r="D638" s="29"/>
      <c r="E638" s="263"/>
      <c r="F638" s="29"/>
      <c r="G638" s="29"/>
      <c r="H638" s="29"/>
      <c r="I638" s="7"/>
      <c r="J638" s="7"/>
      <c r="K638" s="7"/>
      <c r="L638" s="7"/>
      <c r="M638" s="2"/>
      <c r="N638" s="2"/>
    </row>
    <row r="639" spans="2:14" ht="15.75" customHeight="1" x14ac:dyDescent="0.2">
      <c r="B639" s="2"/>
      <c r="C639" s="29"/>
      <c r="D639" s="29"/>
      <c r="E639" s="263"/>
      <c r="F639" s="29"/>
      <c r="G639" s="29"/>
      <c r="H639" s="29"/>
      <c r="I639" s="7"/>
      <c r="J639" s="7"/>
      <c r="K639" s="7"/>
      <c r="L639" s="7"/>
      <c r="M639" s="2"/>
      <c r="N639" s="2"/>
    </row>
    <row r="640" spans="2:14" ht="15.75" customHeight="1" x14ac:dyDescent="0.2">
      <c r="B640" s="2"/>
      <c r="C640" s="29"/>
      <c r="D640" s="29"/>
      <c r="E640" s="263"/>
      <c r="F640" s="29"/>
      <c r="G640" s="29"/>
      <c r="H640" s="29"/>
      <c r="I640" s="7"/>
      <c r="J640" s="7"/>
      <c r="K640" s="7"/>
      <c r="L640" s="7"/>
      <c r="M640" s="2"/>
      <c r="N640" s="2"/>
    </row>
    <row r="641" spans="2:14" ht="15.75" customHeight="1" x14ac:dyDescent="0.2">
      <c r="B641" s="2"/>
      <c r="C641" s="29"/>
      <c r="D641" s="29"/>
      <c r="E641" s="263"/>
      <c r="F641" s="29"/>
      <c r="G641" s="29"/>
      <c r="H641" s="29"/>
      <c r="I641" s="7"/>
      <c r="J641" s="7"/>
      <c r="K641" s="7"/>
      <c r="L641" s="7"/>
      <c r="M641" s="2"/>
      <c r="N641" s="2"/>
    </row>
    <row r="642" spans="2:14" ht="15.75" customHeight="1" x14ac:dyDescent="0.2">
      <c r="B642" s="2"/>
      <c r="C642" s="29"/>
      <c r="D642" s="29"/>
      <c r="E642" s="263"/>
      <c r="F642" s="29"/>
      <c r="G642" s="29"/>
      <c r="H642" s="29"/>
      <c r="I642" s="7"/>
      <c r="J642" s="7"/>
      <c r="K642" s="7"/>
      <c r="L642" s="7"/>
      <c r="M642" s="2"/>
      <c r="N642" s="2"/>
    </row>
    <row r="643" spans="2:14" ht="15.75" customHeight="1" x14ac:dyDescent="0.2">
      <c r="B643" s="2"/>
      <c r="C643" s="29"/>
      <c r="D643" s="29"/>
      <c r="E643" s="263"/>
      <c r="F643" s="29"/>
      <c r="G643" s="29"/>
      <c r="H643" s="29"/>
      <c r="I643" s="7"/>
      <c r="J643" s="7"/>
      <c r="K643" s="7"/>
      <c r="L643" s="7"/>
      <c r="M643" s="2"/>
      <c r="N643" s="2"/>
    </row>
    <row r="644" spans="2:14" ht="15.75" customHeight="1" x14ac:dyDescent="0.2">
      <c r="B644" s="2"/>
      <c r="C644" s="29"/>
      <c r="D644" s="29"/>
      <c r="E644" s="263"/>
      <c r="F644" s="29"/>
      <c r="G644" s="29"/>
      <c r="H644" s="29"/>
      <c r="I644" s="7"/>
      <c r="J644" s="7"/>
      <c r="K644" s="7"/>
      <c r="L644" s="7"/>
      <c r="M644" s="2"/>
      <c r="N644" s="2"/>
    </row>
    <row r="645" spans="2:14" ht="15.75" customHeight="1" x14ac:dyDescent="0.2">
      <c r="B645" s="2"/>
      <c r="C645" s="29"/>
      <c r="D645" s="29"/>
      <c r="E645" s="263"/>
      <c r="F645" s="29"/>
      <c r="G645" s="29"/>
      <c r="H645" s="29"/>
      <c r="I645" s="7"/>
      <c r="J645" s="7"/>
      <c r="K645" s="7"/>
      <c r="L645" s="7"/>
      <c r="M645" s="2"/>
      <c r="N645" s="2"/>
    </row>
    <row r="646" spans="2:14" ht="15.75" customHeight="1" x14ac:dyDescent="0.2">
      <c r="B646" s="2"/>
      <c r="C646" s="29"/>
      <c r="D646" s="29"/>
      <c r="E646" s="263"/>
      <c r="F646" s="29"/>
      <c r="G646" s="29"/>
      <c r="H646" s="29"/>
      <c r="I646" s="7"/>
      <c r="J646" s="7"/>
      <c r="K646" s="7"/>
      <c r="L646" s="7"/>
      <c r="M646" s="2"/>
      <c r="N646" s="2"/>
    </row>
    <row r="647" spans="2:14" ht="15.75" customHeight="1" x14ac:dyDescent="0.2">
      <c r="B647" s="2"/>
      <c r="C647" s="29"/>
      <c r="D647" s="29"/>
      <c r="E647" s="263"/>
      <c r="F647" s="29"/>
      <c r="G647" s="29"/>
      <c r="H647" s="29"/>
      <c r="I647" s="7"/>
      <c r="J647" s="7"/>
      <c r="K647" s="7"/>
      <c r="L647" s="7"/>
      <c r="M647" s="2"/>
      <c r="N647" s="2"/>
    </row>
    <row r="648" spans="2:14" ht="15.75" customHeight="1" x14ac:dyDescent="0.2">
      <c r="B648" s="2"/>
      <c r="C648" s="29"/>
      <c r="D648" s="29"/>
      <c r="E648" s="263"/>
      <c r="F648" s="29"/>
      <c r="G648" s="29"/>
      <c r="H648" s="29"/>
      <c r="I648" s="7"/>
      <c r="J648" s="7"/>
      <c r="K648" s="7"/>
      <c r="L648" s="7"/>
      <c r="M648" s="2"/>
      <c r="N648" s="2"/>
    </row>
    <row r="649" spans="2:14" ht="15.75" customHeight="1" x14ac:dyDescent="0.2">
      <c r="B649" s="2"/>
      <c r="C649" s="29"/>
      <c r="D649" s="29"/>
      <c r="E649" s="263"/>
      <c r="F649" s="29"/>
      <c r="G649" s="29"/>
      <c r="H649" s="29"/>
      <c r="I649" s="7"/>
      <c r="J649" s="7"/>
      <c r="K649" s="7"/>
      <c r="L649" s="7"/>
      <c r="M649" s="2"/>
      <c r="N649" s="2"/>
    </row>
    <row r="650" spans="2:14" ht="15.75" customHeight="1" x14ac:dyDescent="0.2">
      <c r="B650" s="2"/>
      <c r="C650" s="29"/>
      <c r="D650" s="29"/>
      <c r="E650" s="263"/>
      <c r="F650" s="29"/>
      <c r="G650" s="29"/>
      <c r="H650" s="29"/>
      <c r="I650" s="7"/>
      <c r="J650" s="7"/>
      <c r="K650" s="7"/>
      <c r="L650" s="7"/>
      <c r="M650" s="2"/>
      <c r="N650" s="2"/>
    </row>
    <row r="651" spans="2:14" ht="15.75" customHeight="1" x14ac:dyDescent="0.2">
      <c r="B651" s="2"/>
      <c r="C651" s="29"/>
      <c r="D651" s="29"/>
      <c r="E651" s="263"/>
      <c r="F651" s="29"/>
      <c r="G651" s="29"/>
      <c r="H651" s="29"/>
      <c r="I651" s="7"/>
      <c r="J651" s="7"/>
      <c r="K651" s="7"/>
      <c r="L651" s="7"/>
      <c r="M651" s="2"/>
      <c r="N651" s="2"/>
    </row>
    <row r="652" spans="2:14" ht="15.75" customHeight="1" x14ac:dyDescent="0.2">
      <c r="B652" s="2"/>
      <c r="C652" s="29"/>
      <c r="D652" s="29"/>
      <c r="E652" s="263"/>
      <c r="F652" s="29"/>
      <c r="G652" s="29"/>
      <c r="H652" s="29"/>
      <c r="I652" s="7"/>
      <c r="J652" s="7"/>
      <c r="K652" s="7"/>
      <c r="L652" s="7"/>
      <c r="M652" s="2"/>
      <c r="N652" s="2"/>
    </row>
    <row r="653" spans="2:14" ht="15.75" customHeight="1" x14ac:dyDescent="0.2">
      <c r="B653" s="2"/>
      <c r="C653" s="29"/>
      <c r="D653" s="29"/>
      <c r="E653" s="263"/>
      <c r="F653" s="29"/>
      <c r="G653" s="29"/>
      <c r="H653" s="29"/>
      <c r="I653" s="7"/>
      <c r="J653" s="7"/>
      <c r="K653" s="7"/>
      <c r="L653" s="7"/>
      <c r="M653" s="2"/>
      <c r="N653" s="2"/>
    </row>
    <row r="654" spans="2:14" ht="15.75" customHeight="1" x14ac:dyDescent="0.2">
      <c r="B654" s="2"/>
      <c r="C654" s="29"/>
      <c r="D654" s="29"/>
      <c r="E654" s="263"/>
      <c r="F654" s="29"/>
      <c r="G654" s="29"/>
      <c r="H654" s="29"/>
      <c r="I654" s="7"/>
      <c r="J654" s="7"/>
      <c r="K654" s="7"/>
      <c r="L654" s="7"/>
      <c r="M654" s="2"/>
      <c r="N654" s="2"/>
    </row>
    <row r="655" spans="2:14" ht="15.75" customHeight="1" x14ac:dyDescent="0.2">
      <c r="B655" s="2"/>
      <c r="C655" s="29"/>
      <c r="D655" s="29"/>
      <c r="E655" s="263"/>
      <c r="F655" s="29"/>
      <c r="G655" s="29"/>
      <c r="H655" s="29"/>
      <c r="I655" s="7"/>
      <c r="J655" s="7"/>
      <c r="K655" s="7"/>
      <c r="L655" s="7"/>
      <c r="M655" s="2"/>
      <c r="N655" s="2"/>
    </row>
    <row r="656" spans="2:14" ht="15.75" customHeight="1" x14ac:dyDescent="0.2">
      <c r="B656" s="2"/>
      <c r="C656" s="29"/>
      <c r="D656" s="29"/>
      <c r="E656" s="263"/>
      <c r="F656" s="29"/>
      <c r="G656" s="29"/>
      <c r="H656" s="29"/>
      <c r="I656" s="7"/>
      <c r="J656" s="7"/>
      <c r="K656" s="7"/>
      <c r="L656" s="7"/>
      <c r="M656" s="2"/>
      <c r="N656" s="2"/>
    </row>
    <row r="657" spans="2:14" ht="15.75" customHeight="1" x14ac:dyDescent="0.2">
      <c r="B657" s="2"/>
      <c r="C657" s="29"/>
      <c r="D657" s="29"/>
      <c r="E657" s="263"/>
      <c r="F657" s="29"/>
      <c r="G657" s="29"/>
      <c r="H657" s="29"/>
      <c r="I657" s="7"/>
      <c r="J657" s="7"/>
      <c r="K657" s="7"/>
      <c r="L657" s="7"/>
      <c r="M657" s="2"/>
      <c r="N657" s="2"/>
    </row>
    <row r="658" spans="2:14" ht="15.75" customHeight="1" x14ac:dyDescent="0.2">
      <c r="B658" s="2"/>
      <c r="C658" s="29"/>
      <c r="D658" s="29"/>
      <c r="E658" s="263"/>
      <c r="F658" s="29"/>
      <c r="G658" s="29"/>
      <c r="H658" s="29"/>
      <c r="I658" s="7"/>
      <c r="J658" s="7"/>
      <c r="K658" s="7"/>
      <c r="L658" s="7"/>
      <c r="M658" s="2"/>
      <c r="N658" s="2"/>
    </row>
    <row r="659" spans="2:14" ht="15.75" customHeight="1" x14ac:dyDescent="0.2">
      <c r="B659" s="2"/>
      <c r="C659" s="29"/>
      <c r="D659" s="29"/>
      <c r="E659" s="263"/>
      <c r="F659" s="29"/>
      <c r="G659" s="29"/>
      <c r="H659" s="29"/>
      <c r="I659" s="7"/>
      <c r="J659" s="7"/>
      <c r="K659" s="7"/>
      <c r="L659" s="7"/>
      <c r="M659" s="2"/>
      <c r="N659" s="2"/>
    </row>
    <row r="660" spans="2:14" ht="15.75" customHeight="1" x14ac:dyDescent="0.2">
      <c r="B660" s="2"/>
      <c r="C660" s="29"/>
      <c r="D660" s="29"/>
      <c r="E660" s="263"/>
      <c r="F660" s="29"/>
      <c r="G660" s="29"/>
      <c r="H660" s="29"/>
      <c r="I660" s="7"/>
      <c r="J660" s="7"/>
      <c r="K660" s="7"/>
      <c r="L660" s="7"/>
      <c r="M660" s="2"/>
      <c r="N660" s="2"/>
    </row>
    <row r="661" spans="2:14" ht="15.75" customHeight="1" x14ac:dyDescent="0.2">
      <c r="B661" s="2"/>
      <c r="C661" s="29"/>
      <c r="D661" s="29"/>
      <c r="E661" s="263"/>
      <c r="F661" s="29"/>
      <c r="G661" s="29"/>
      <c r="H661" s="29"/>
      <c r="I661" s="7"/>
      <c r="J661" s="7"/>
      <c r="K661" s="7"/>
      <c r="L661" s="7"/>
      <c r="M661" s="2"/>
      <c r="N661" s="2"/>
    </row>
    <row r="662" spans="2:14" ht="15.75" customHeight="1" x14ac:dyDescent="0.2">
      <c r="B662" s="2"/>
      <c r="C662" s="29"/>
      <c r="D662" s="29"/>
      <c r="E662" s="263"/>
      <c r="F662" s="29"/>
      <c r="G662" s="29"/>
      <c r="H662" s="29"/>
      <c r="I662" s="7"/>
      <c r="J662" s="7"/>
      <c r="K662" s="7"/>
      <c r="L662" s="7"/>
      <c r="M662" s="2"/>
      <c r="N662" s="2"/>
    </row>
    <row r="663" spans="2:14" ht="15.75" customHeight="1" x14ac:dyDescent="0.2">
      <c r="B663" s="2"/>
      <c r="C663" s="29"/>
      <c r="D663" s="29"/>
      <c r="E663" s="263"/>
      <c r="F663" s="29"/>
      <c r="G663" s="29"/>
      <c r="H663" s="29"/>
      <c r="I663" s="7"/>
      <c r="J663" s="7"/>
      <c r="K663" s="7"/>
      <c r="L663" s="7"/>
      <c r="M663" s="2"/>
      <c r="N663" s="2"/>
    </row>
    <row r="664" spans="2:14" ht="15.75" customHeight="1" x14ac:dyDescent="0.2">
      <c r="B664" s="2"/>
      <c r="C664" s="29"/>
      <c r="D664" s="29"/>
      <c r="E664" s="263"/>
      <c r="F664" s="29"/>
      <c r="G664" s="29"/>
      <c r="H664" s="29"/>
      <c r="I664" s="7"/>
      <c r="J664" s="7"/>
      <c r="K664" s="7"/>
      <c r="L664" s="7"/>
      <c r="M664" s="2"/>
      <c r="N664" s="2"/>
    </row>
    <row r="665" spans="2:14" ht="15.75" customHeight="1" x14ac:dyDescent="0.2">
      <c r="B665" s="2"/>
      <c r="C665" s="29"/>
      <c r="D665" s="29"/>
      <c r="E665" s="263"/>
      <c r="F665" s="29"/>
      <c r="G665" s="29"/>
      <c r="H665" s="29"/>
      <c r="I665" s="7"/>
      <c r="J665" s="7"/>
      <c r="K665" s="7"/>
      <c r="L665" s="7"/>
      <c r="M665" s="2"/>
      <c r="N665" s="2"/>
    </row>
    <row r="666" spans="2:14" ht="15.75" customHeight="1" x14ac:dyDescent="0.2">
      <c r="B666" s="2"/>
      <c r="C666" s="29"/>
      <c r="D666" s="29"/>
      <c r="E666" s="263"/>
      <c r="F666" s="29"/>
      <c r="G666" s="29"/>
      <c r="H666" s="29"/>
      <c r="I666" s="7"/>
      <c r="J666" s="7"/>
      <c r="K666" s="7"/>
      <c r="L666" s="7"/>
      <c r="M666" s="2"/>
      <c r="N666" s="2"/>
    </row>
    <row r="667" spans="2:14" ht="15.75" customHeight="1" x14ac:dyDescent="0.2">
      <c r="B667" s="2"/>
      <c r="C667" s="29"/>
      <c r="D667" s="29"/>
      <c r="E667" s="263"/>
      <c r="F667" s="29"/>
      <c r="G667" s="29"/>
      <c r="H667" s="29"/>
      <c r="I667" s="7"/>
      <c r="J667" s="7"/>
      <c r="K667" s="7"/>
      <c r="L667" s="7"/>
      <c r="M667" s="2"/>
      <c r="N667" s="2"/>
    </row>
    <row r="668" spans="2:14" ht="15.75" customHeight="1" x14ac:dyDescent="0.2">
      <c r="B668" s="2"/>
      <c r="C668" s="29"/>
      <c r="D668" s="29"/>
      <c r="E668" s="263"/>
      <c r="F668" s="29"/>
      <c r="G668" s="29"/>
      <c r="H668" s="29"/>
      <c r="I668" s="7"/>
      <c r="J668" s="7"/>
      <c r="K668" s="7"/>
      <c r="L668" s="7"/>
      <c r="M668" s="2"/>
      <c r="N668" s="2"/>
    </row>
    <row r="669" spans="2:14" ht="15.75" customHeight="1" x14ac:dyDescent="0.2">
      <c r="B669" s="2"/>
      <c r="C669" s="29"/>
      <c r="D669" s="29"/>
      <c r="E669" s="263"/>
      <c r="F669" s="29"/>
      <c r="G669" s="29"/>
      <c r="H669" s="29"/>
      <c r="I669" s="7"/>
      <c r="J669" s="7"/>
      <c r="K669" s="7"/>
      <c r="L669" s="7"/>
      <c r="M669" s="2"/>
      <c r="N669" s="2"/>
    </row>
    <row r="670" spans="2:14" ht="15.75" customHeight="1" x14ac:dyDescent="0.2">
      <c r="B670" s="2"/>
      <c r="C670" s="29"/>
      <c r="D670" s="29"/>
      <c r="E670" s="263"/>
      <c r="F670" s="29"/>
      <c r="G670" s="29"/>
      <c r="H670" s="29"/>
      <c r="I670" s="7"/>
      <c r="J670" s="7"/>
      <c r="K670" s="7"/>
      <c r="L670" s="7"/>
      <c r="M670" s="2"/>
      <c r="N670" s="2"/>
    </row>
    <row r="671" spans="2:14" ht="15.75" customHeight="1" x14ac:dyDescent="0.2">
      <c r="B671" s="2"/>
      <c r="C671" s="29"/>
      <c r="D671" s="29"/>
      <c r="E671" s="263"/>
      <c r="F671" s="29"/>
      <c r="G671" s="29"/>
      <c r="H671" s="29"/>
      <c r="I671" s="7"/>
      <c r="J671" s="7"/>
      <c r="K671" s="7"/>
      <c r="L671" s="7"/>
      <c r="M671" s="2"/>
      <c r="N671" s="2"/>
    </row>
    <row r="672" spans="2:14" ht="15.75" customHeight="1" x14ac:dyDescent="0.2">
      <c r="B672" s="2"/>
      <c r="C672" s="29"/>
      <c r="D672" s="29"/>
      <c r="E672" s="263"/>
      <c r="F672" s="29"/>
      <c r="G672" s="29"/>
      <c r="H672" s="29"/>
      <c r="I672" s="7"/>
      <c r="J672" s="7"/>
      <c r="K672" s="7"/>
      <c r="L672" s="7"/>
      <c r="M672" s="2"/>
      <c r="N672" s="2"/>
    </row>
    <row r="673" spans="2:14" ht="15.75" customHeight="1" x14ac:dyDescent="0.2">
      <c r="B673" s="2"/>
      <c r="C673" s="29"/>
      <c r="D673" s="29"/>
      <c r="E673" s="263"/>
      <c r="F673" s="29"/>
      <c r="G673" s="29"/>
      <c r="H673" s="29"/>
      <c r="I673" s="7"/>
      <c r="J673" s="7"/>
      <c r="K673" s="7"/>
      <c r="L673" s="7"/>
      <c r="M673" s="2"/>
      <c r="N673" s="2"/>
    </row>
    <row r="674" spans="2:14" ht="15.75" customHeight="1" x14ac:dyDescent="0.2">
      <c r="B674" s="2"/>
      <c r="C674" s="29"/>
      <c r="D674" s="29"/>
      <c r="E674" s="263"/>
      <c r="F674" s="29"/>
      <c r="G674" s="29"/>
      <c r="H674" s="29"/>
      <c r="I674" s="7"/>
      <c r="J674" s="7"/>
      <c r="K674" s="7"/>
      <c r="L674" s="7"/>
      <c r="M674" s="2"/>
      <c r="N674" s="2"/>
    </row>
    <row r="675" spans="2:14" ht="15.75" customHeight="1" x14ac:dyDescent="0.2">
      <c r="B675" s="2"/>
      <c r="C675" s="29"/>
      <c r="D675" s="29"/>
      <c r="E675" s="263"/>
      <c r="F675" s="29"/>
      <c r="G675" s="29"/>
      <c r="H675" s="29"/>
      <c r="I675" s="7"/>
      <c r="J675" s="7"/>
      <c r="K675" s="7"/>
      <c r="L675" s="7"/>
      <c r="M675" s="2"/>
      <c r="N675" s="2"/>
    </row>
    <row r="676" spans="2:14" ht="15.75" customHeight="1" x14ac:dyDescent="0.2">
      <c r="B676" s="2"/>
      <c r="C676" s="29"/>
      <c r="D676" s="29"/>
      <c r="E676" s="263"/>
      <c r="F676" s="29"/>
      <c r="G676" s="29"/>
      <c r="H676" s="29"/>
      <c r="I676" s="7"/>
      <c r="J676" s="7"/>
      <c r="K676" s="7"/>
      <c r="L676" s="7"/>
      <c r="M676" s="2"/>
      <c r="N676" s="2"/>
    </row>
    <row r="677" spans="2:14" ht="15.75" customHeight="1" x14ac:dyDescent="0.2">
      <c r="B677" s="2"/>
      <c r="C677" s="29"/>
      <c r="D677" s="29"/>
      <c r="E677" s="263"/>
      <c r="F677" s="29"/>
      <c r="G677" s="29"/>
      <c r="H677" s="29"/>
      <c r="I677" s="7"/>
      <c r="J677" s="7"/>
      <c r="K677" s="7"/>
      <c r="L677" s="7"/>
      <c r="M677" s="2"/>
      <c r="N677" s="2"/>
    </row>
    <row r="678" spans="2:14" ht="15.75" customHeight="1" x14ac:dyDescent="0.2">
      <c r="B678" s="2"/>
      <c r="C678" s="29"/>
      <c r="D678" s="29"/>
      <c r="E678" s="263"/>
      <c r="F678" s="29"/>
      <c r="G678" s="29"/>
      <c r="H678" s="29"/>
      <c r="I678" s="7"/>
      <c r="J678" s="7"/>
      <c r="K678" s="7"/>
      <c r="L678" s="7"/>
      <c r="M678" s="2"/>
      <c r="N678" s="2"/>
    </row>
    <row r="679" spans="2:14" ht="15.75" customHeight="1" x14ac:dyDescent="0.2">
      <c r="B679" s="2"/>
      <c r="C679" s="29"/>
      <c r="D679" s="29"/>
      <c r="E679" s="263"/>
      <c r="F679" s="29"/>
      <c r="G679" s="29"/>
      <c r="H679" s="29"/>
      <c r="I679" s="7"/>
      <c r="J679" s="7"/>
      <c r="K679" s="7"/>
      <c r="L679" s="7"/>
      <c r="M679" s="2"/>
      <c r="N679" s="2"/>
    </row>
    <row r="680" spans="2:14" ht="15.75" customHeight="1" x14ac:dyDescent="0.2">
      <c r="B680" s="2"/>
      <c r="C680" s="29"/>
      <c r="D680" s="29"/>
      <c r="E680" s="263"/>
      <c r="F680" s="29"/>
      <c r="G680" s="29"/>
      <c r="H680" s="29"/>
      <c r="I680" s="7"/>
      <c r="J680" s="7"/>
      <c r="K680" s="7"/>
      <c r="L680" s="7"/>
      <c r="M680" s="2"/>
      <c r="N680" s="2"/>
    </row>
    <row r="681" spans="2:14" ht="15.75" customHeight="1" x14ac:dyDescent="0.2">
      <c r="B681" s="2"/>
      <c r="C681" s="29"/>
      <c r="D681" s="29"/>
      <c r="E681" s="263"/>
      <c r="F681" s="29"/>
      <c r="G681" s="29"/>
      <c r="H681" s="29"/>
      <c r="I681" s="7"/>
      <c r="J681" s="7"/>
      <c r="K681" s="7"/>
      <c r="L681" s="7"/>
      <c r="M681" s="2"/>
      <c r="N681" s="2"/>
    </row>
    <row r="682" spans="2:14" ht="15.75" customHeight="1" x14ac:dyDescent="0.2">
      <c r="B682" s="2"/>
      <c r="C682" s="29"/>
      <c r="D682" s="29"/>
      <c r="E682" s="263"/>
      <c r="F682" s="29"/>
      <c r="G682" s="29"/>
      <c r="H682" s="29"/>
      <c r="I682" s="7"/>
      <c r="J682" s="7"/>
      <c r="K682" s="7"/>
      <c r="L682" s="7"/>
    </row>
    <row r="683" spans="2:14" ht="15.75" customHeight="1" x14ac:dyDescent="0.2">
      <c r="B683" s="2"/>
      <c r="C683" s="29"/>
      <c r="D683" s="29"/>
      <c r="E683" s="263"/>
      <c r="F683" s="29"/>
      <c r="G683" s="29"/>
      <c r="H683" s="29"/>
      <c r="I683" s="7"/>
      <c r="J683" s="7"/>
      <c r="K683" s="7"/>
      <c r="L683" s="7"/>
    </row>
    <row r="684" spans="2:14" ht="15.75" customHeight="1" x14ac:dyDescent="0.2">
      <c r="B684" s="2"/>
      <c r="C684" s="29"/>
      <c r="D684" s="29"/>
      <c r="E684" s="263"/>
      <c r="F684" s="29"/>
      <c r="G684" s="29"/>
      <c r="H684" s="29"/>
      <c r="I684" s="7"/>
      <c r="J684" s="7"/>
      <c r="K684" s="7"/>
      <c r="L684" s="7"/>
    </row>
    <row r="685" spans="2:14" ht="15.75" customHeight="1" x14ac:dyDescent="0.2">
      <c r="B685" s="2"/>
      <c r="C685" s="29"/>
      <c r="D685" s="29"/>
      <c r="E685" s="263"/>
      <c r="F685" s="29"/>
      <c r="G685" s="29"/>
      <c r="H685" s="29"/>
      <c r="I685" s="7"/>
      <c r="J685" s="7"/>
      <c r="K685" s="7"/>
      <c r="L685" s="7"/>
    </row>
    <row r="686" spans="2:14" ht="15.75" customHeight="1" x14ac:dyDescent="0.2">
      <c r="B686" s="2"/>
      <c r="C686" s="29"/>
      <c r="D686" s="29"/>
      <c r="E686" s="263"/>
      <c r="F686" s="29"/>
      <c r="G686" s="29"/>
      <c r="H686" s="29"/>
      <c r="I686" s="7"/>
      <c r="J686" s="7"/>
      <c r="K686" s="7"/>
      <c r="L686" s="7"/>
    </row>
    <row r="687" spans="2:14" ht="15.75" customHeight="1" x14ac:dyDescent="0.2">
      <c r="B687" s="2"/>
      <c r="C687" s="29"/>
      <c r="D687" s="29"/>
      <c r="E687" s="263"/>
      <c r="F687" s="29"/>
      <c r="G687" s="29"/>
      <c r="H687" s="29"/>
      <c r="I687" s="7"/>
      <c r="J687" s="7"/>
      <c r="K687" s="7"/>
      <c r="L687" s="7"/>
    </row>
    <row r="688" spans="2:14" ht="15.75" customHeight="1" x14ac:dyDescent="0.2">
      <c r="B688" s="2"/>
      <c r="C688" s="29"/>
      <c r="D688" s="29"/>
      <c r="E688" s="263"/>
      <c r="F688" s="29"/>
      <c r="G688" s="29"/>
      <c r="H688" s="29"/>
      <c r="I688" s="7"/>
      <c r="J688" s="7"/>
      <c r="K688" s="7"/>
      <c r="L688" s="7"/>
    </row>
    <row r="689" spans="2:14" ht="15.75" customHeight="1" x14ac:dyDescent="0.2">
      <c r="B689" s="2"/>
      <c r="C689" s="29"/>
      <c r="D689" s="29"/>
      <c r="E689" s="263"/>
      <c r="F689" s="29"/>
      <c r="G689" s="29"/>
      <c r="H689" s="29"/>
      <c r="I689" s="7"/>
      <c r="J689" s="7"/>
      <c r="K689" s="7"/>
      <c r="L689" s="7"/>
    </row>
    <row r="690" spans="2:14" ht="15.75" customHeight="1" x14ac:dyDescent="0.2">
      <c r="B690" s="2"/>
      <c r="C690" s="29"/>
      <c r="D690" s="29"/>
      <c r="E690" s="263"/>
      <c r="F690" s="29"/>
      <c r="G690" s="29"/>
      <c r="H690" s="29"/>
      <c r="I690" s="7"/>
      <c r="J690" s="7"/>
      <c r="K690" s="7"/>
      <c r="L690" s="7"/>
    </row>
    <row r="691" spans="2:14" ht="15.75" customHeight="1" x14ac:dyDescent="0.2">
      <c r="B691" s="2"/>
      <c r="C691" s="29"/>
      <c r="D691" s="29"/>
      <c r="E691" s="263"/>
      <c r="F691" s="29"/>
      <c r="G691" s="29"/>
      <c r="H691" s="29"/>
      <c r="I691" s="7"/>
      <c r="J691" s="7"/>
      <c r="K691" s="7"/>
      <c r="L691" s="7"/>
    </row>
    <row r="692" spans="2:14" ht="15.75" customHeight="1" x14ac:dyDescent="0.2">
      <c r="B692" s="2"/>
      <c r="C692" s="29"/>
      <c r="D692" s="29"/>
      <c r="E692" s="263"/>
      <c r="F692" s="29"/>
      <c r="G692" s="29"/>
      <c r="H692" s="29"/>
      <c r="I692" s="7"/>
      <c r="J692" s="7"/>
      <c r="K692" s="7"/>
      <c r="L692" s="7"/>
    </row>
    <row r="693" spans="2:14" ht="15.75" customHeight="1" x14ac:dyDescent="0.2">
      <c r="B693" s="2"/>
      <c r="C693" s="29"/>
      <c r="D693" s="29"/>
      <c r="E693" s="263"/>
      <c r="F693" s="29"/>
      <c r="G693" s="29"/>
      <c r="H693" s="29"/>
      <c r="I693" s="7"/>
      <c r="J693" s="7"/>
      <c r="K693" s="7"/>
      <c r="L693" s="7"/>
    </row>
    <row r="694" spans="2:14" ht="15.75" customHeight="1" x14ac:dyDescent="0.2"/>
    <row r="695" spans="2:14" ht="15.75" customHeight="1" x14ac:dyDescent="0.2"/>
    <row r="696" spans="2:14" ht="15.75" customHeight="1" x14ac:dyDescent="0.2"/>
    <row r="697" spans="2:14" ht="15.75" customHeight="1" x14ac:dyDescent="0.2"/>
    <row r="698" spans="2:14" ht="15.75" customHeight="1" x14ac:dyDescent="0.2"/>
    <row r="699" spans="2:14" ht="15.75" customHeight="1" x14ac:dyDescent="0.2"/>
    <row r="700" spans="2:14" ht="15.75" customHeight="1" x14ac:dyDescent="0.2"/>
    <row r="701" spans="2:14" ht="15.75" customHeight="1" x14ac:dyDescent="0.2"/>
    <row r="702" spans="2:14" ht="15.75" customHeight="1" x14ac:dyDescent="0.2"/>
    <row r="703" spans="2:14" ht="15.75" customHeight="1" x14ac:dyDescent="0.2"/>
    <row r="704" spans="2:14" s="2" customFormat="1" ht="15.75" customHeight="1" x14ac:dyDescent="0.2">
      <c r="B704"/>
      <c r="C704" s="37"/>
      <c r="D704" s="37"/>
      <c r="E704" s="169"/>
      <c r="F704" s="37"/>
      <c r="G704" s="37"/>
      <c r="H704" s="37"/>
      <c r="I704" s="76"/>
      <c r="J704" s="76"/>
      <c r="K704" s="76"/>
      <c r="L704" s="76"/>
      <c r="M704"/>
      <c r="N704"/>
    </row>
    <row r="705" spans="2:14" s="2" customFormat="1" ht="15.75" customHeight="1" x14ac:dyDescent="0.2">
      <c r="B705"/>
      <c r="C705" s="37"/>
      <c r="D705" s="37"/>
      <c r="E705" s="169"/>
      <c r="F705" s="37"/>
      <c r="G705" s="37"/>
      <c r="H705" s="37"/>
      <c r="I705" s="76"/>
      <c r="J705" s="76"/>
      <c r="K705" s="76"/>
      <c r="L705" s="76"/>
      <c r="M705"/>
      <c r="N705"/>
    </row>
    <row r="706" spans="2:14" s="2" customFormat="1" ht="15.75" customHeight="1" x14ac:dyDescent="0.2">
      <c r="B706"/>
      <c r="C706" s="37"/>
      <c r="D706" s="37"/>
      <c r="E706" s="169"/>
      <c r="F706" s="37"/>
      <c r="G706" s="37"/>
      <c r="H706" s="37"/>
      <c r="I706" s="76"/>
      <c r="J706" s="76"/>
      <c r="K706" s="76"/>
      <c r="L706" s="76"/>
      <c r="M706"/>
      <c r="N706"/>
    </row>
    <row r="707" spans="2:14" s="2" customFormat="1" ht="15.75" customHeight="1" x14ac:dyDescent="0.2">
      <c r="B707"/>
      <c r="C707" s="37"/>
      <c r="D707" s="37"/>
      <c r="E707" s="169"/>
      <c r="F707" s="37"/>
      <c r="G707" s="37"/>
      <c r="H707" s="37"/>
      <c r="I707" s="76"/>
      <c r="J707" s="76"/>
      <c r="K707" s="76"/>
      <c r="L707" s="76"/>
      <c r="M707"/>
      <c r="N707"/>
    </row>
    <row r="708" spans="2:14" s="2" customFormat="1" ht="15.75" customHeight="1" x14ac:dyDescent="0.2">
      <c r="B708"/>
      <c r="C708" s="37"/>
      <c r="D708" s="37"/>
      <c r="E708" s="169"/>
      <c r="F708" s="37"/>
      <c r="G708" s="37"/>
      <c r="H708" s="37"/>
      <c r="I708" s="76"/>
      <c r="J708" s="76"/>
      <c r="K708" s="76"/>
      <c r="L708" s="76"/>
      <c r="M708"/>
      <c r="N708"/>
    </row>
    <row r="709" spans="2:14" s="2" customFormat="1" ht="15.75" customHeight="1" x14ac:dyDescent="0.2">
      <c r="B709"/>
      <c r="C709" s="37"/>
      <c r="D709" s="37"/>
      <c r="E709" s="169"/>
      <c r="F709" s="37"/>
      <c r="G709" s="37"/>
      <c r="H709" s="37"/>
      <c r="I709" s="76"/>
      <c r="J709" s="76"/>
      <c r="K709" s="76"/>
      <c r="L709" s="76"/>
      <c r="M709"/>
      <c r="N709"/>
    </row>
    <row r="710" spans="2:14" s="2" customFormat="1" ht="15.75" customHeight="1" x14ac:dyDescent="0.2">
      <c r="B710"/>
      <c r="C710" s="37"/>
      <c r="D710" s="37"/>
      <c r="E710" s="169"/>
      <c r="F710" s="37"/>
      <c r="G710" s="37"/>
      <c r="H710" s="37"/>
      <c r="I710" s="76"/>
      <c r="J710" s="76"/>
      <c r="K710" s="76"/>
      <c r="L710" s="76"/>
      <c r="M710"/>
      <c r="N710"/>
    </row>
    <row r="711" spans="2:14" s="2" customFormat="1" ht="15.75" customHeight="1" x14ac:dyDescent="0.2">
      <c r="B711"/>
      <c r="C711" s="37"/>
      <c r="D711" s="37"/>
      <c r="E711" s="169"/>
      <c r="F711" s="37"/>
      <c r="G711" s="37"/>
      <c r="H711" s="37"/>
      <c r="I711" s="76"/>
      <c r="J711" s="76"/>
      <c r="K711" s="76"/>
      <c r="L711" s="76"/>
      <c r="M711"/>
      <c r="N711"/>
    </row>
    <row r="712" spans="2:14" s="2" customFormat="1" ht="15.75" customHeight="1" x14ac:dyDescent="0.2">
      <c r="B712"/>
      <c r="C712" s="37"/>
      <c r="D712" s="37"/>
      <c r="E712" s="169"/>
      <c r="F712" s="37"/>
      <c r="G712" s="37"/>
      <c r="H712" s="37"/>
      <c r="I712" s="76"/>
      <c r="J712" s="76"/>
      <c r="K712" s="76"/>
      <c r="L712" s="76"/>
      <c r="M712"/>
      <c r="N712"/>
    </row>
    <row r="713" spans="2:14" s="2" customFormat="1" ht="15.75" customHeight="1" x14ac:dyDescent="0.2">
      <c r="B713"/>
      <c r="C713" s="37"/>
      <c r="D713" s="37"/>
      <c r="E713" s="169"/>
      <c r="F713" s="37"/>
      <c r="G713" s="37"/>
      <c r="H713" s="37"/>
      <c r="I713" s="76"/>
      <c r="J713" s="76"/>
      <c r="K713" s="76"/>
      <c r="L713" s="76"/>
      <c r="M713"/>
      <c r="N713"/>
    </row>
    <row r="714" spans="2:14" s="2" customFormat="1" ht="15.75" customHeight="1" x14ac:dyDescent="0.2">
      <c r="B714"/>
      <c r="C714" s="37"/>
      <c r="D714" s="37"/>
      <c r="E714" s="169"/>
      <c r="F714" s="37"/>
      <c r="G714" s="37"/>
      <c r="H714" s="37"/>
      <c r="I714" s="76"/>
      <c r="J714" s="76"/>
      <c r="K714" s="76"/>
      <c r="L714" s="76"/>
      <c r="M714"/>
      <c r="N714"/>
    </row>
    <row r="715" spans="2:14" s="2" customFormat="1" ht="15.75" customHeight="1" x14ac:dyDescent="0.2">
      <c r="B715"/>
      <c r="C715" s="37"/>
      <c r="D715" s="37"/>
      <c r="E715" s="169"/>
      <c r="F715" s="37"/>
      <c r="G715" s="37"/>
      <c r="H715" s="37"/>
      <c r="I715" s="76"/>
      <c r="J715" s="76"/>
      <c r="K715" s="76"/>
      <c r="L715" s="76"/>
      <c r="M715"/>
      <c r="N715"/>
    </row>
    <row r="716" spans="2:14" s="2" customFormat="1" ht="15.75" customHeight="1" x14ac:dyDescent="0.2">
      <c r="B716"/>
      <c r="C716" s="37"/>
      <c r="D716" s="37"/>
      <c r="E716" s="169"/>
      <c r="F716" s="37"/>
      <c r="G716" s="37"/>
      <c r="H716" s="37"/>
      <c r="I716" s="76"/>
      <c r="J716" s="76"/>
      <c r="K716" s="76"/>
      <c r="L716" s="76"/>
      <c r="M716"/>
      <c r="N716"/>
    </row>
    <row r="717" spans="2:14" s="2" customFormat="1" ht="15.75" customHeight="1" x14ac:dyDescent="0.2">
      <c r="B717"/>
      <c r="C717" s="37"/>
      <c r="D717" s="37"/>
      <c r="E717" s="169"/>
      <c r="F717" s="37"/>
      <c r="G717" s="37"/>
      <c r="H717" s="37"/>
      <c r="I717" s="76"/>
      <c r="J717" s="76"/>
      <c r="K717" s="76"/>
      <c r="L717" s="76"/>
      <c r="M717"/>
      <c r="N717"/>
    </row>
    <row r="718" spans="2:14" s="2" customFormat="1" ht="15.75" customHeight="1" x14ac:dyDescent="0.2">
      <c r="B718"/>
      <c r="C718" s="37"/>
      <c r="D718" s="37"/>
      <c r="E718" s="169"/>
      <c r="F718" s="37"/>
      <c r="G718" s="37"/>
      <c r="H718" s="37"/>
      <c r="I718" s="76"/>
      <c r="J718" s="76"/>
      <c r="K718" s="76"/>
      <c r="L718" s="76"/>
      <c r="M718"/>
      <c r="N718"/>
    </row>
    <row r="719" spans="2:14" s="2" customFormat="1" ht="15.75" customHeight="1" x14ac:dyDescent="0.2">
      <c r="B719"/>
      <c r="C719" s="37"/>
      <c r="D719" s="37"/>
      <c r="E719" s="169"/>
      <c r="F719" s="37"/>
      <c r="G719" s="37"/>
      <c r="H719" s="37"/>
      <c r="I719" s="76"/>
      <c r="J719" s="76"/>
      <c r="K719" s="76"/>
      <c r="L719" s="76"/>
      <c r="M719"/>
      <c r="N719"/>
    </row>
    <row r="720" spans="2:14" s="2" customFormat="1" ht="15.75" customHeight="1" x14ac:dyDescent="0.2">
      <c r="B720"/>
      <c r="C720" s="37"/>
      <c r="D720" s="37"/>
      <c r="E720" s="169"/>
      <c r="F720" s="37"/>
      <c r="G720" s="37"/>
      <c r="H720" s="37"/>
      <c r="I720" s="76"/>
      <c r="J720" s="76"/>
      <c r="K720" s="76"/>
      <c r="L720" s="76"/>
      <c r="M720"/>
      <c r="N720"/>
    </row>
    <row r="721" spans="2:14" s="2" customFormat="1" ht="15.75" customHeight="1" x14ac:dyDescent="0.2">
      <c r="B721"/>
      <c r="C721" s="37"/>
      <c r="D721" s="37"/>
      <c r="E721" s="169"/>
      <c r="F721" s="37"/>
      <c r="G721" s="37"/>
      <c r="H721" s="37"/>
      <c r="I721" s="76"/>
      <c r="J721" s="76"/>
      <c r="K721" s="76"/>
      <c r="L721" s="76"/>
      <c r="M721"/>
      <c r="N721"/>
    </row>
    <row r="722" spans="2:14" s="2" customFormat="1" ht="15.75" customHeight="1" x14ac:dyDescent="0.2">
      <c r="B722"/>
      <c r="C722" s="37"/>
      <c r="D722" s="37"/>
      <c r="E722" s="169"/>
      <c r="F722" s="37"/>
      <c r="G722" s="37"/>
      <c r="H722" s="37"/>
      <c r="I722" s="76"/>
      <c r="J722" s="76"/>
      <c r="K722" s="76"/>
      <c r="L722" s="76"/>
      <c r="M722"/>
      <c r="N722"/>
    </row>
    <row r="723" spans="2:14" s="2" customFormat="1" ht="15.75" customHeight="1" x14ac:dyDescent="0.2">
      <c r="B723"/>
      <c r="C723" s="37"/>
      <c r="D723" s="37"/>
      <c r="E723" s="169"/>
      <c r="F723" s="37"/>
      <c r="G723" s="37"/>
      <c r="H723" s="37"/>
      <c r="I723" s="76"/>
      <c r="J723" s="76"/>
      <c r="K723" s="76"/>
      <c r="L723" s="76"/>
      <c r="M723"/>
      <c r="N723"/>
    </row>
    <row r="724" spans="2:14" s="2" customFormat="1" ht="15.75" customHeight="1" x14ac:dyDescent="0.2">
      <c r="B724"/>
      <c r="C724" s="37"/>
      <c r="D724" s="37"/>
      <c r="E724" s="169"/>
      <c r="F724" s="37"/>
      <c r="G724" s="37"/>
      <c r="H724" s="37"/>
      <c r="I724" s="76"/>
      <c r="J724" s="76"/>
      <c r="K724" s="76"/>
      <c r="L724" s="76"/>
      <c r="M724"/>
      <c r="N724"/>
    </row>
    <row r="725" spans="2:14" s="2" customFormat="1" ht="15.75" customHeight="1" x14ac:dyDescent="0.2">
      <c r="B725"/>
      <c r="C725" s="37"/>
      <c r="D725" s="37"/>
      <c r="E725" s="169"/>
      <c r="F725" s="37"/>
      <c r="G725" s="37"/>
      <c r="H725" s="37"/>
      <c r="I725" s="76"/>
      <c r="J725" s="76"/>
      <c r="K725" s="76"/>
      <c r="L725" s="76"/>
      <c r="M725"/>
      <c r="N725"/>
    </row>
    <row r="726" spans="2:14" s="2" customFormat="1" ht="15.75" customHeight="1" x14ac:dyDescent="0.2">
      <c r="B726"/>
      <c r="C726" s="37"/>
      <c r="D726" s="37"/>
      <c r="E726" s="169"/>
      <c r="F726" s="37"/>
      <c r="G726" s="37"/>
      <c r="H726" s="37"/>
      <c r="I726" s="76"/>
      <c r="J726" s="76"/>
      <c r="K726" s="76"/>
      <c r="L726" s="76"/>
      <c r="M726"/>
      <c r="N726"/>
    </row>
    <row r="727" spans="2:14" s="2" customFormat="1" ht="15.75" customHeight="1" x14ac:dyDescent="0.2">
      <c r="B727"/>
      <c r="C727" s="37"/>
      <c r="D727" s="37"/>
      <c r="E727" s="169"/>
      <c r="F727" s="37"/>
      <c r="G727" s="37"/>
      <c r="H727" s="37"/>
      <c r="I727" s="76"/>
      <c r="J727" s="76"/>
      <c r="K727" s="76"/>
      <c r="L727" s="76"/>
      <c r="M727"/>
      <c r="N727"/>
    </row>
    <row r="728" spans="2:14" s="2" customFormat="1" ht="15.75" customHeight="1" x14ac:dyDescent="0.2">
      <c r="B728"/>
      <c r="C728" s="37"/>
      <c r="D728" s="37"/>
      <c r="E728" s="169"/>
      <c r="F728" s="37"/>
      <c r="G728" s="37"/>
      <c r="H728" s="37"/>
      <c r="I728" s="76"/>
      <c r="J728" s="76"/>
      <c r="K728" s="76"/>
      <c r="L728" s="76"/>
      <c r="M728"/>
      <c r="N728"/>
    </row>
    <row r="729" spans="2:14" s="2" customFormat="1" ht="15.75" customHeight="1" x14ac:dyDescent="0.2">
      <c r="B729"/>
      <c r="C729" s="37"/>
      <c r="D729" s="37"/>
      <c r="E729" s="169"/>
      <c r="F729" s="37"/>
      <c r="G729" s="37"/>
      <c r="H729" s="37"/>
      <c r="I729" s="76"/>
      <c r="J729" s="76"/>
      <c r="K729" s="76"/>
      <c r="L729" s="76"/>
      <c r="M729"/>
      <c r="N729"/>
    </row>
    <row r="730" spans="2:14" s="2" customFormat="1" ht="15.75" customHeight="1" x14ac:dyDescent="0.2">
      <c r="B730"/>
      <c r="C730" s="37"/>
      <c r="D730" s="37"/>
      <c r="E730" s="169"/>
      <c r="F730" s="37"/>
      <c r="G730" s="37"/>
      <c r="H730" s="37"/>
      <c r="I730" s="76"/>
      <c r="J730" s="76"/>
      <c r="K730" s="76"/>
      <c r="L730" s="76"/>
      <c r="M730"/>
      <c r="N730"/>
    </row>
    <row r="731" spans="2:14" s="2" customFormat="1" ht="15.75" customHeight="1" x14ac:dyDescent="0.2">
      <c r="B731"/>
      <c r="C731" s="37"/>
      <c r="D731" s="37"/>
      <c r="E731" s="169"/>
      <c r="F731" s="37"/>
      <c r="G731" s="37"/>
      <c r="H731" s="37"/>
      <c r="I731" s="76"/>
      <c r="J731" s="76"/>
      <c r="K731" s="76"/>
      <c r="L731" s="76"/>
      <c r="M731"/>
      <c r="N731"/>
    </row>
    <row r="732" spans="2:14" s="2" customFormat="1" ht="15.75" customHeight="1" x14ac:dyDescent="0.2">
      <c r="B732"/>
      <c r="C732" s="37"/>
      <c r="D732" s="37"/>
      <c r="E732" s="169"/>
      <c r="F732" s="37"/>
      <c r="G732" s="37"/>
      <c r="H732" s="37"/>
      <c r="I732" s="76"/>
      <c r="J732" s="76"/>
      <c r="K732" s="76"/>
      <c r="L732" s="76"/>
      <c r="M732"/>
      <c r="N732"/>
    </row>
    <row r="733" spans="2:14" s="2" customFormat="1" ht="15.75" customHeight="1" x14ac:dyDescent="0.2">
      <c r="B733"/>
      <c r="C733" s="37"/>
      <c r="D733" s="37"/>
      <c r="E733" s="169"/>
      <c r="F733" s="37"/>
      <c r="G733" s="37"/>
      <c r="H733" s="37"/>
      <c r="I733" s="76"/>
      <c r="J733" s="76"/>
      <c r="K733" s="76"/>
      <c r="L733" s="76"/>
      <c r="M733"/>
      <c r="N733"/>
    </row>
    <row r="734" spans="2:14" s="2" customFormat="1" ht="15.75" customHeight="1" x14ac:dyDescent="0.2">
      <c r="B734"/>
      <c r="C734" s="37"/>
      <c r="D734" s="37"/>
      <c r="E734" s="169"/>
      <c r="F734" s="37"/>
      <c r="G734" s="37"/>
      <c r="H734" s="37"/>
      <c r="I734" s="76"/>
      <c r="J734" s="76"/>
      <c r="K734" s="76"/>
      <c r="L734" s="76"/>
      <c r="M734"/>
      <c r="N734"/>
    </row>
    <row r="735" spans="2:14" s="2" customFormat="1" ht="15.75" customHeight="1" x14ac:dyDescent="0.2">
      <c r="B735"/>
      <c r="C735" s="37"/>
      <c r="D735" s="37"/>
      <c r="E735" s="169"/>
      <c r="F735" s="37"/>
      <c r="G735" s="37"/>
      <c r="H735" s="37"/>
      <c r="I735" s="76"/>
      <c r="J735" s="76"/>
      <c r="K735" s="76"/>
      <c r="L735" s="76"/>
      <c r="M735"/>
      <c r="N735"/>
    </row>
    <row r="736" spans="2:14" s="2" customFormat="1" ht="15.75" customHeight="1" x14ac:dyDescent="0.2">
      <c r="B736"/>
      <c r="C736" s="37"/>
      <c r="D736" s="37"/>
      <c r="E736" s="169"/>
      <c r="F736" s="37"/>
      <c r="G736" s="37"/>
      <c r="H736" s="37"/>
      <c r="I736" s="76"/>
      <c r="J736" s="76"/>
      <c r="K736" s="76"/>
      <c r="L736" s="76"/>
      <c r="M736"/>
      <c r="N736"/>
    </row>
    <row r="737" spans="2:14" s="2" customFormat="1" ht="15.75" customHeight="1" x14ac:dyDescent="0.2">
      <c r="B737"/>
      <c r="C737" s="37"/>
      <c r="D737" s="37"/>
      <c r="E737" s="169"/>
      <c r="F737" s="37"/>
      <c r="G737" s="37"/>
      <c r="H737" s="37"/>
      <c r="I737" s="76"/>
      <c r="J737" s="76"/>
      <c r="K737" s="76"/>
      <c r="L737" s="76"/>
      <c r="M737"/>
      <c r="N737"/>
    </row>
    <row r="738" spans="2:14" s="2" customFormat="1" ht="15.75" customHeight="1" x14ac:dyDescent="0.2">
      <c r="B738"/>
      <c r="C738" s="37"/>
      <c r="D738" s="37"/>
      <c r="E738" s="169"/>
      <c r="F738" s="37"/>
      <c r="G738" s="37"/>
      <c r="H738" s="37"/>
      <c r="I738" s="76"/>
      <c r="J738" s="76"/>
      <c r="K738" s="76"/>
      <c r="L738" s="76"/>
      <c r="M738"/>
      <c r="N738"/>
    </row>
    <row r="739" spans="2:14" s="2" customFormat="1" ht="15.75" customHeight="1" x14ac:dyDescent="0.2">
      <c r="B739"/>
      <c r="C739" s="37"/>
      <c r="D739" s="37"/>
      <c r="E739" s="169"/>
      <c r="F739" s="37"/>
      <c r="G739" s="37"/>
      <c r="H739" s="37"/>
      <c r="I739" s="76"/>
      <c r="J739" s="76"/>
      <c r="K739" s="76"/>
      <c r="L739" s="76"/>
      <c r="M739"/>
      <c r="N739"/>
    </row>
    <row r="740" spans="2:14" s="2" customFormat="1" ht="15.75" customHeight="1" x14ac:dyDescent="0.2">
      <c r="B740"/>
      <c r="C740" s="37"/>
      <c r="D740" s="37"/>
      <c r="E740" s="169"/>
      <c r="F740" s="37"/>
      <c r="G740" s="37"/>
      <c r="H740" s="37"/>
      <c r="I740" s="76"/>
      <c r="J740" s="76"/>
      <c r="K740" s="76"/>
      <c r="L740" s="76"/>
      <c r="M740"/>
      <c r="N740"/>
    </row>
    <row r="741" spans="2:14" s="2" customFormat="1" ht="15.75" customHeight="1" x14ac:dyDescent="0.2">
      <c r="B741"/>
      <c r="C741" s="37"/>
      <c r="D741" s="37"/>
      <c r="E741" s="169"/>
      <c r="F741" s="37"/>
      <c r="G741" s="37"/>
      <c r="H741" s="37"/>
      <c r="I741" s="76"/>
      <c r="J741" s="76"/>
      <c r="K741" s="76"/>
      <c r="L741" s="76"/>
      <c r="M741"/>
      <c r="N741"/>
    </row>
    <row r="742" spans="2:14" s="2" customFormat="1" ht="15.75" customHeight="1" x14ac:dyDescent="0.2">
      <c r="B742"/>
      <c r="C742" s="37"/>
      <c r="D742" s="37"/>
      <c r="E742" s="169"/>
      <c r="F742" s="37"/>
      <c r="G742" s="37"/>
      <c r="H742" s="37"/>
      <c r="I742" s="76"/>
      <c r="J742" s="76"/>
      <c r="K742" s="76"/>
      <c r="L742" s="76"/>
      <c r="M742"/>
      <c r="N742"/>
    </row>
    <row r="743" spans="2:14" s="2" customFormat="1" ht="15.75" customHeight="1" x14ac:dyDescent="0.2">
      <c r="B743"/>
      <c r="C743" s="37"/>
      <c r="D743" s="37"/>
      <c r="E743" s="169"/>
      <c r="F743" s="37"/>
      <c r="G743" s="37"/>
      <c r="H743" s="37"/>
      <c r="I743" s="76"/>
      <c r="J743" s="76"/>
      <c r="K743" s="76"/>
      <c r="L743" s="76"/>
      <c r="M743"/>
      <c r="N743"/>
    </row>
    <row r="744" spans="2:14" s="2" customFormat="1" ht="15.75" customHeight="1" x14ac:dyDescent="0.2">
      <c r="B744"/>
      <c r="C744" s="37"/>
      <c r="D744" s="37"/>
      <c r="E744" s="169"/>
      <c r="F744" s="37"/>
      <c r="G744" s="37"/>
      <c r="H744" s="37"/>
      <c r="I744" s="76"/>
      <c r="J744" s="76"/>
      <c r="K744" s="76"/>
      <c r="L744" s="76"/>
      <c r="M744"/>
      <c r="N744"/>
    </row>
    <row r="745" spans="2:14" s="2" customFormat="1" ht="15.75" customHeight="1" x14ac:dyDescent="0.2">
      <c r="B745"/>
      <c r="C745" s="37"/>
      <c r="D745" s="37"/>
      <c r="E745" s="169"/>
      <c r="F745" s="37"/>
      <c r="G745" s="37"/>
      <c r="H745" s="37"/>
      <c r="I745" s="76"/>
      <c r="J745" s="76"/>
      <c r="K745" s="76"/>
      <c r="L745" s="76"/>
      <c r="M745"/>
      <c r="N745"/>
    </row>
    <row r="746" spans="2:14" s="2" customFormat="1" ht="15.75" customHeight="1" x14ac:dyDescent="0.2">
      <c r="B746"/>
      <c r="C746" s="37"/>
      <c r="D746" s="37"/>
      <c r="E746" s="169"/>
      <c r="F746" s="37"/>
      <c r="G746" s="37"/>
      <c r="H746" s="37"/>
      <c r="I746" s="76"/>
      <c r="J746" s="76"/>
      <c r="K746" s="76"/>
      <c r="L746" s="76"/>
      <c r="M746"/>
      <c r="N746"/>
    </row>
    <row r="747" spans="2:14" s="2" customFormat="1" ht="15.75" customHeight="1" x14ac:dyDescent="0.2">
      <c r="B747"/>
      <c r="C747" s="37"/>
      <c r="D747" s="37"/>
      <c r="E747" s="169"/>
      <c r="F747" s="37"/>
      <c r="G747" s="37"/>
      <c r="H747" s="37"/>
      <c r="I747" s="76"/>
      <c r="J747" s="76"/>
      <c r="K747" s="76"/>
      <c r="L747" s="76"/>
      <c r="M747"/>
      <c r="N747"/>
    </row>
    <row r="748" spans="2:14" s="2" customFormat="1" ht="15.75" customHeight="1" x14ac:dyDescent="0.2">
      <c r="B748"/>
      <c r="C748" s="37"/>
      <c r="D748" s="37"/>
      <c r="E748" s="169"/>
      <c r="F748" s="37"/>
      <c r="G748" s="37"/>
      <c r="H748" s="37"/>
      <c r="I748" s="76"/>
      <c r="J748" s="76"/>
      <c r="K748" s="76"/>
      <c r="L748" s="76"/>
      <c r="M748"/>
      <c r="N748"/>
    </row>
    <row r="749" spans="2:14" s="2" customFormat="1" ht="15.75" customHeight="1" x14ac:dyDescent="0.2">
      <c r="B749"/>
      <c r="C749" s="37"/>
      <c r="D749" s="37"/>
      <c r="E749" s="169"/>
      <c r="F749" s="37"/>
      <c r="G749" s="37"/>
      <c r="H749" s="37"/>
      <c r="I749" s="76"/>
      <c r="J749" s="76"/>
      <c r="K749" s="76"/>
      <c r="L749" s="76"/>
      <c r="M749"/>
      <c r="N749"/>
    </row>
    <row r="750" spans="2:14" s="2" customFormat="1" ht="15.75" customHeight="1" x14ac:dyDescent="0.2">
      <c r="B750"/>
      <c r="C750" s="37"/>
      <c r="D750" s="37"/>
      <c r="E750" s="169"/>
      <c r="F750" s="37"/>
      <c r="G750" s="37"/>
      <c r="H750" s="37"/>
      <c r="I750" s="76"/>
      <c r="J750" s="76"/>
      <c r="K750" s="76"/>
      <c r="L750" s="76"/>
      <c r="M750"/>
      <c r="N750"/>
    </row>
    <row r="751" spans="2:14" s="2" customFormat="1" ht="15.75" customHeight="1" x14ac:dyDescent="0.2">
      <c r="B751"/>
      <c r="C751" s="37"/>
      <c r="D751" s="37"/>
      <c r="E751" s="169"/>
      <c r="F751" s="37"/>
      <c r="G751" s="37"/>
      <c r="H751" s="37"/>
      <c r="I751" s="76"/>
      <c r="J751" s="76"/>
      <c r="K751" s="76"/>
      <c r="L751" s="76"/>
      <c r="M751"/>
      <c r="N751"/>
    </row>
    <row r="752" spans="2:14" s="2" customFormat="1" ht="15.75" customHeight="1" x14ac:dyDescent="0.2">
      <c r="B752"/>
      <c r="C752" s="37"/>
      <c r="D752" s="37"/>
      <c r="E752" s="169"/>
      <c r="F752" s="37"/>
      <c r="G752" s="37"/>
      <c r="H752" s="37"/>
      <c r="I752" s="76"/>
      <c r="J752" s="76"/>
      <c r="K752" s="76"/>
      <c r="L752" s="76"/>
      <c r="M752"/>
      <c r="N752"/>
    </row>
    <row r="753" spans="2:14" s="2" customFormat="1" ht="15.75" customHeight="1" x14ac:dyDescent="0.2">
      <c r="B753"/>
      <c r="C753" s="37"/>
      <c r="D753" s="37"/>
      <c r="E753" s="169"/>
      <c r="F753" s="37"/>
      <c r="G753" s="37"/>
      <c r="H753" s="37"/>
      <c r="I753" s="76"/>
      <c r="J753" s="76"/>
      <c r="K753" s="76"/>
      <c r="L753" s="76"/>
      <c r="M753"/>
      <c r="N753"/>
    </row>
    <row r="754" spans="2:14" s="2" customFormat="1" ht="15.75" customHeight="1" x14ac:dyDescent="0.2">
      <c r="B754"/>
      <c r="C754" s="37"/>
      <c r="D754" s="37"/>
      <c r="E754" s="169"/>
      <c r="F754" s="37"/>
      <c r="G754" s="37"/>
      <c r="H754" s="37"/>
      <c r="I754" s="76"/>
      <c r="J754" s="76"/>
      <c r="K754" s="76"/>
      <c r="L754" s="76"/>
      <c r="M754"/>
      <c r="N754"/>
    </row>
    <row r="755" spans="2:14" s="2" customFormat="1" ht="15.75" customHeight="1" x14ac:dyDescent="0.2">
      <c r="B755"/>
      <c r="C755" s="37"/>
      <c r="D755" s="37"/>
      <c r="E755" s="169"/>
      <c r="F755" s="37"/>
      <c r="G755" s="37"/>
      <c r="H755" s="37"/>
      <c r="I755" s="76"/>
      <c r="J755" s="76"/>
      <c r="K755" s="76"/>
      <c r="L755" s="76"/>
      <c r="M755"/>
      <c r="N755"/>
    </row>
    <row r="756" spans="2:14" s="2" customFormat="1" ht="15.75" customHeight="1" x14ac:dyDescent="0.2">
      <c r="B756"/>
      <c r="C756" s="37"/>
      <c r="D756" s="37"/>
      <c r="E756" s="169"/>
      <c r="F756" s="37"/>
      <c r="G756" s="37"/>
      <c r="H756" s="37"/>
      <c r="I756" s="76"/>
      <c r="J756" s="76"/>
      <c r="K756" s="76"/>
      <c r="L756" s="76"/>
      <c r="M756"/>
      <c r="N756"/>
    </row>
    <row r="757" spans="2:14" s="2" customFormat="1" ht="15.75" customHeight="1" x14ac:dyDescent="0.2">
      <c r="B757"/>
      <c r="C757" s="37"/>
      <c r="D757" s="37"/>
      <c r="E757" s="169"/>
      <c r="F757" s="37"/>
      <c r="G757" s="37"/>
      <c r="H757" s="37"/>
      <c r="I757" s="76"/>
      <c r="J757" s="76"/>
      <c r="K757" s="76"/>
      <c r="L757" s="76"/>
      <c r="M757"/>
      <c r="N757"/>
    </row>
    <row r="758" spans="2:14" s="2" customFormat="1" ht="15.75" customHeight="1" x14ac:dyDescent="0.2">
      <c r="B758"/>
      <c r="C758" s="37"/>
      <c r="D758" s="37"/>
      <c r="E758" s="169"/>
      <c r="F758" s="37"/>
      <c r="G758" s="37"/>
      <c r="H758" s="37"/>
      <c r="I758" s="76"/>
      <c r="J758" s="76"/>
      <c r="K758" s="76"/>
      <c r="L758" s="76"/>
      <c r="M758"/>
      <c r="N758"/>
    </row>
    <row r="759" spans="2:14" s="2" customFormat="1" ht="15.75" customHeight="1" x14ac:dyDescent="0.2">
      <c r="B759"/>
      <c r="C759" s="37"/>
      <c r="D759" s="37"/>
      <c r="E759" s="169"/>
      <c r="F759" s="37"/>
      <c r="G759" s="37"/>
      <c r="H759" s="37"/>
      <c r="I759" s="76"/>
      <c r="J759" s="76"/>
      <c r="K759" s="76"/>
      <c r="L759" s="76"/>
      <c r="M759"/>
      <c r="N759"/>
    </row>
    <row r="760" spans="2:14" s="2" customFormat="1" ht="15.75" customHeight="1" x14ac:dyDescent="0.2">
      <c r="B760"/>
      <c r="C760" s="37"/>
      <c r="D760" s="37"/>
      <c r="E760" s="169"/>
      <c r="F760" s="37"/>
      <c r="G760" s="37"/>
      <c r="H760" s="37"/>
      <c r="I760" s="76"/>
      <c r="J760" s="76"/>
      <c r="K760" s="76"/>
      <c r="L760" s="76"/>
      <c r="M760"/>
      <c r="N760"/>
    </row>
    <row r="761" spans="2:14" s="2" customFormat="1" ht="15.75" customHeight="1" x14ac:dyDescent="0.2">
      <c r="B761"/>
      <c r="C761" s="37"/>
      <c r="D761" s="37"/>
      <c r="E761" s="169"/>
      <c r="F761" s="37"/>
      <c r="G761" s="37"/>
      <c r="H761" s="37"/>
      <c r="I761" s="76"/>
      <c r="J761" s="76"/>
      <c r="K761" s="76"/>
      <c r="L761" s="76"/>
      <c r="M761"/>
      <c r="N761"/>
    </row>
    <row r="762" spans="2:14" s="2" customFormat="1" ht="15.75" customHeight="1" x14ac:dyDescent="0.2">
      <c r="B762"/>
      <c r="C762" s="37"/>
      <c r="D762" s="37"/>
      <c r="E762" s="169"/>
      <c r="F762" s="37"/>
      <c r="G762" s="37"/>
      <c r="H762" s="37"/>
      <c r="I762" s="76"/>
      <c r="J762" s="76"/>
      <c r="K762" s="76"/>
      <c r="L762" s="76"/>
      <c r="M762"/>
      <c r="N762"/>
    </row>
    <row r="763" spans="2:14" s="2" customFormat="1" ht="15.75" customHeight="1" x14ac:dyDescent="0.2">
      <c r="B763"/>
      <c r="C763" s="37"/>
      <c r="D763" s="37"/>
      <c r="E763" s="169"/>
      <c r="F763" s="37"/>
      <c r="G763" s="37"/>
      <c r="H763" s="37"/>
      <c r="I763" s="76"/>
      <c r="J763" s="76"/>
      <c r="K763" s="76"/>
      <c r="L763" s="76"/>
      <c r="M763"/>
      <c r="N763"/>
    </row>
    <row r="764" spans="2:14" s="2" customFormat="1" ht="15.75" customHeight="1" x14ac:dyDescent="0.2">
      <c r="B764"/>
      <c r="C764" s="37"/>
      <c r="D764" s="37"/>
      <c r="E764" s="169"/>
      <c r="F764" s="37"/>
      <c r="G764" s="37"/>
      <c r="H764" s="37"/>
      <c r="I764" s="76"/>
      <c r="J764" s="76"/>
      <c r="K764" s="76"/>
      <c r="L764" s="76"/>
      <c r="M764"/>
      <c r="N764"/>
    </row>
    <row r="765" spans="2:14" s="2" customFormat="1" ht="15.75" customHeight="1" x14ac:dyDescent="0.2">
      <c r="B765"/>
      <c r="C765" s="37"/>
      <c r="D765" s="37"/>
      <c r="E765" s="169"/>
      <c r="F765" s="37"/>
      <c r="G765" s="37"/>
      <c r="H765" s="37"/>
      <c r="I765" s="76"/>
      <c r="J765" s="76"/>
      <c r="K765" s="76"/>
      <c r="L765" s="76"/>
      <c r="M765"/>
      <c r="N765"/>
    </row>
    <row r="766" spans="2:14" s="2" customFormat="1" ht="15.75" customHeight="1" x14ac:dyDescent="0.2">
      <c r="B766"/>
      <c r="C766" s="37"/>
      <c r="D766" s="37"/>
      <c r="E766" s="169"/>
      <c r="F766" s="37"/>
      <c r="G766" s="37"/>
      <c r="H766" s="37"/>
      <c r="I766" s="76"/>
      <c r="J766" s="76"/>
      <c r="K766" s="76"/>
      <c r="L766" s="76"/>
      <c r="M766"/>
      <c r="N766"/>
    </row>
    <row r="767" spans="2:14" s="2" customFormat="1" ht="15.75" customHeight="1" x14ac:dyDescent="0.2">
      <c r="B767"/>
      <c r="C767" s="37"/>
      <c r="D767" s="37"/>
      <c r="E767" s="169"/>
      <c r="F767" s="37"/>
      <c r="G767" s="37"/>
      <c r="H767" s="37"/>
      <c r="I767" s="76"/>
      <c r="J767" s="76"/>
      <c r="K767" s="76"/>
      <c r="L767" s="76"/>
      <c r="M767"/>
      <c r="N767"/>
    </row>
    <row r="768" spans="2:14" s="2" customFormat="1" ht="15.75" customHeight="1" x14ac:dyDescent="0.2">
      <c r="B768"/>
      <c r="C768" s="37"/>
      <c r="D768" s="37"/>
      <c r="E768" s="169"/>
      <c r="F768" s="37"/>
      <c r="G768" s="37"/>
      <c r="H768" s="37"/>
      <c r="I768" s="76"/>
      <c r="J768" s="76"/>
      <c r="K768" s="76"/>
      <c r="L768" s="76"/>
      <c r="M768"/>
      <c r="N768"/>
    </row>
    <row r="769" spans="2:14" s="2" customFormat="1" ht="15.75" customHeight="1" x14ac:dyDescent="0.2">
      <c r="B769"/>
      <c r="C769" s="37"/>
      <c r="D769" s="37"/>
      <c r="E769" s="169"/>
      <c r="F769" s="37"/>
      <c r="G769" s="37"/>
      <c r="H769" s="37"/>
      <c r="I769" s="76"/>
      <c r="J769" s="76"/>
      <c r="K769" s="76"/>
      <c r="L769" s="76"/>
      <c r="M769"/>
      <c r="N769"/>
    </row>
    <row r="770" spans="2:14" s="2" customFormat="1" ht="15.75" customHeight="1" x14ac:dyDescent="0.2">
      <c r="B770"/>
      <c r="C770" s="37"/>
      <c r="D770" s="37"/>
      <c r="E770" s="169"/>
      <c r="F770" s="37"/>
      <c r="G770" s="37"/>
      <c r="H770" s="37"/>
      <c r="I770" s="76"/>
      <c r="J770" s="76"/>
      <c r="K770" s="76"/>
      <c r="L770" s="76"/>
      <c r="M770"/>
      <c r="N770"/>
    </row>
    <row r="771" spans="2:14" s="2" customFormat="1" ht="15.75" customHeight="1" x14ac:dyDescent="0.2">
      <c r="B771"/>
      <c r="C771" s="37"/>
      <c r="D771" s="37"/>
      <c r="E771" s="169"/>
      <c r="F771" s="37"/>
      <c r="G771" s="37"/>
      <c r="H771" s="37"/>
      <c r="I771" s="76"/>
      <c r="J771" s="76"/>
      <c r="K771" s="76"/>
      <c r="L771" s="76"/>
      <c r="M771"/>
      <c r="N771"/>
    </row>
    <row r="772" spans="2:14" s="2" customFormat="1" ht="15.75" customHeight="1" x14ac:dyDescent="0.2">
      <c r="B772"/>
      <c r="C772" s="37"/>
      <c r="D772" s="37"/>
      <c r="E772" s="169"/>
      <c r="F772" s="37"/>
      <c r="G772" s="37"/>
      <c r="H772" s="37"/>
      <c r="I772" s="76"/>
      <c r="J772" s="76"/>
      <c r="K772" s="76"/>
      <c r="L772" s="76"/>
      <c r="M772"/>
      <c r="N772"/>
    </row>
    <row r="773" spans="2:14" s="2" customFormat="1" ht="15.75" customHeight="1" x14ac:dyDescent="0.2">
      <c r="B773"/>
      <c r="C773" s="37"/>
      <c r="D773" s="37"/>
      <c r="E773" s="169"/>
      <c r="F773" s="37"/>
      <c r="G773" s="37"/>
      <c r="H773" s="37"/>
      <c r="I773" s="76"/>
      <c r="J773" s="76"/>
      <c r="K773" s="76"/>
      <c r="L773" s="76"/>
      <c r="M773"/>
      <c r="N773"/>
    </row>
    <row r="774" spans="2:14" s="2" customFormat="1" ht="15.75" customHeight="1" x14ac:dyDescent="0.2">
      <c r="B774"/>
      <c r="C774" s="37"/>
      <c r="D774" s="37"/>
      <c r="E774" s="169"/>
      <c r="F774" s="37"/>
      <c r="G774" s="37"/>
      <c r="H774" s="37"/>
      <c r="I774" s="76"/>
      <c r="J774" s="76"/>
      <c r="K774" s="76"/>
      <c r="L774" s="76"/>
      <c r="M774"/>
      <c r="N774"/>
    </row>
    <row r="775" spans="2:14" s="2" customFormat="1" ht="15.75" customHeight="1" x14ac:dyDescent="0.2">
      <c r="B775"/>
      <c r="C775" s="37"/>
      <c r="D775" s="37"/>
      <c r="E775" s="169"/>
      <c r="F775" s="37"/>
      <c r="G775" s="37"/>
      <c r="H775" s="37"/>
      <c r="I775" s="76"/>
      <c r="J775" s="76"/>
      <c r="K775" s="76"/>
      <c r="L775" s="76"/>
      <c r="M775"/>
      <c r="N775"/>
    </row>
    <row r="776" spans="2:14" s="2" customFormat="1" ht="15.75" customHeight="1" x14ac:dyDescent="0.2">
      <c r="B776"/>
      <c r="C776" s="37"/>
      <c r="D776" s="37"/>
      <c r="E776" s="169"/>
      <c r="F776" s="37"/>
      <c r="G776" s="37"/>
      <c r="H776" s="37"/>
      <c r="I776" s="76"/>
      <c r="J776" s="76"/>
      <c r="K776" s="76"/>
      <c r="L776" s="76"/>
      <c r="M776"/>
      <c r="N776"/>
    </row>
    <row r="777" spans="2:14" s="2" customFormat="1" ht="15.75" customHeight="1" x14ac:dyDescent="0.2">
      <c r="B777"/>
      <c r="C777" s="37"/>
      <c r="D777" s="37"/>
      <c r="E777" s="169"/>
      <c r="F777" s="37"/>
      <c r="G777" s="37"/>
      <c r="H777" s="37"/>
      <c r="I777" s="76"/>
      <c r="J777" s="76"/>
      <c r="K777" s="76"/>
      <c r="L777" s="76"/>
      <c r="M777"/>
      <c r="N777"/>
    </row>
    <row r="778" spans="2:14" s="2" customFormat="1" ht="15.75" customHeight="1" x14ac:dyDescent="0.2">
      <c r="B778"/>
      <c r="C778" s="37"/>
      <c r="D778" s="37"/>
      <c r="E778" s="169"/>
      <c r="F778" s="37"/>
      <c r="G778" s="37"/>
      <c r="H778" s="37"/>
      <c r="I778" s="76"/>
      <c r="J778" s="76"/>
      <c r="K778" s="76"/>
      <c r="L778" s="76"/>
      <c r="M778"/>
      <c r="N778"/>
    </row>
    <row r="779" spans="2:14" s="2" customFormat="1" ht="15.75" customHeight="1" x14ac:dyDescent="0.2">
      <c r="B779"/>
      <c r="C779" s="37"/>
      <c r="D779" s="37"/>
      <c r="E779" s="169"/>
      <c r="F779" s="37"/>
      <c r="G779" s="37"/>
      <c r="H779" s="37"/>
      <c r="I779" s="76"/>
      <c r="J779" s="76"/>
      <c r="K779" s="76"/>
      <c r="L779" s="76"/>
      <c r="M779"/>
      <c r="N779"/>
    </row>
    <row r="780" spans="2:14" s="2" customFormat="1" ht="15.75" customHeight="1" x14ac:dyDescent="0.2">
      <c r="B780"/>
      <c r="C780" s="37"/>
      <c r="D780" s="37"/>
      <c r="E780" s="169"/>
      <c r="F780" s="37"/>
      <c r="G780" s="37"/>
      <c r="H780" s="37"/>
      <c r="I780" s="76"/>
      <c r="J780" s="76"/>
      <c r="K780" s="76"/>
      <c r="L780" s="76"/>
      <c r="M780"/>
      <c r="N780"/>
    </row>
    <row r="781" spans="2:14" s="2" customFormat="1" ht="15.75" customHeight="1" x14ac:dyDescent="0.2">
      <c r="B781"/>
      <c r="C781" s="37"/>
      <c r="D781" s="37"/>
      <c r="E781" s="169"/>
      <c r="F781" s="37"/>
      <c r="G781" s="37"/>
      <c r="H781" s="37"/>
      <c r="I781" s="76"/>
      <c r="J781" s="76"/>
      <c r="K781" s="76"/>
      <c r="L781" s="76"/>
      <c r="M781"/>
      <c r="N781"/>
    </row>
    <row r="782" spans="2:14" s="2" customFormat="1" ht="15.75" customHeight="1" x14ac:dyDescent="0.2">
      <c r="B782"/>
      <c r="C782" s="37"/>
      <c r="D782" s="37"/>
      <c r="E782" s="169"/>
      <c r="F782" s="37"/>
      <c r="G782" s="37"/>
      <c r="H782" s="37"/>
      <c r="I782" s="76"/>
      <c r="J782" s="76"/>
      <c r="K782" s="76"/>
      <c r="L782" s="76"/>
      <c r="M782"/>
      <c r="N782"/>
    </row>
    <row r="783" spans="2:14" s="2" customFormat="1" ht="15.75" customHeight="1" x14ac:dyDescent="0.2">
      <c r="B783"/>
      <c r="C783" s="37"/>
      <c r="D783" s="37"/>
      <c r="E783" s="169"/>
      <c r="F783" s="37"/>
      <c r="G783" s="37"/>
      <c r="H783" s="37"/>
      <c r="I783" s="76"/>
      <c r="J783" s="76"/>
      <c r="K783" s="76"/>
      <c r="L783" s="76"/>
      <c r="M783"/>
      <c r="N783"/>
    </row>
    <row r="784" spans="2:14" s="2" customFormat="1" ht="15.75" customHeight="1" x14ac:dyDescent="0.2">
      <c r="B784"/>
      <c r="C784" s="37"/>
      <c r="D784" s="37"/>
      <c r="E784" s="169"/>
      <c r="F784" s="37"/>
      <c r="G784" s="37"/>
      <c r="H784" s="37"/>
      <c r="I784" s="76"/>
      <c r="J784" s="76"/>
      <c r="K784" s="76"/>
      <c r="L784" s="76"/>
      <c r="M784"/>
      <c r="N784"/>
    </row>
    <row r="785" spans="2:14" s="2" customFormat="1" ht="15.75" customHeight="1" x14ac:dyDescent="0.2">
      <c r="B785"/>
      <c r="C785" s="37"/>
      <c r="D785" s="37"/>
      <c r="E785" s="169"/>
      <c r="F785" s="37"/>
      <c r="G785" s="37"/>
      <c r="H785" s="37"/>
      <c r="I785" s="76"/>
      <c r="J785" s="76"/>
      <c r="K785" s="76"/>
      <c r="L785" s="76"/>
      <c r="M785"/>
      <c r="N785"/>
    </row>
    <row r="786" spans="2:14" s="2" customFormat="1" ht="15.75" customHeight="1" x14ac:dyDescent="0.2">
      <c r="B786"/>
      <c r="C786" s="37"/>
      <c r="D786" s="37"/>
      <c r="E786" s="169"/>
      <c r="F786" s="37"/>
      <c r="G786" s="37"/>
      <c r="H786" s="37"/>
      <c r="I786" s="76"/>
      <c r="J786" s="76"/>
      <c r="K786" s="76"/>
      <c r="L786" s="76"/>
      <c r="M786"/>
      <c r="N786"/>
    </row>
    <row r="787" spans="2:14" s="2" customFormat="1" ht="15.75" customHeight="1" x14ac:dyDescent="0.2">
      <c r="B787"/>
      <c r="C787" s="37"/>
      <c r="D787" s="37"/>
      <c r="E787" s="169"/>
      <c r="F787" s="37"/>
      <c r="G787" s="37"/>
      <c r="H787" s="37"/>
      <c r="I787" s="76"/>
      <c r="J787" s="76"/>
      <c r="K787" s="76"/>
      <c r="L787" s="76"/>
      <c r="M787"/>
      <c r="N787"/>
    </row>
    <row r="788" spans="2:14" s="2" customFormat="1" ht="15.75" customHeight="1" x14ac:dyDescent="0.2">
      <c r="B788"/>
      <c r="C788" s="37"/>
      <c r="D788" s="37"/>
      <c r="E788" s="169"/>
      <c r="F788" s="37"/>
      <c r="G788" s="37"/>
      <c r="H788" s="37"/>
      <c r="I788" s="76"/>
      <c r="J788" s="76"/>
      <c r="K788" s="76"/>
      <c r="L788" s="76"/>
      <c r="M788"/>
      <c r="N788"/>
    </row>
    <row r="789" spans="2:14" s="2" customFormat="1" ht="15.75" customHeight="1" x14ac:dyDescent="0.2">
      <c r="B789"/>
      <c r="C789" s="37"/>
      <c r="D789" s="37"/>
      <c r="E789" s="169"/>
      <c r="F789" s="37"/>
      <c r="G789" s="37"/>
      <c r="H789" s="37"/>
      <c r="I789" s="76"/>
      <c r="J789" s="76"/>
      <c r="K789" s="76"/>
      <c r="L789" s="76"/>
      <c r="M789"/>
      <c r="N789"/>
    </row>
    <row r="790" spans="2:14" s="2" customFormat="1" ht="15.75" customHeight="1" x14ac:dyDescent="0.2">
      <c r="B790"/>
      <c r="C790" s="37"/>
      <c r="D790" s="37"/>
      <c r="E790" s="169"/>
      <c r="F790" s="37"/>
      <c r="G790" s="37"/>
      <c r="H790" s="37"/>
      <c r="I790" s="76"/>
      <c r="J790" s="76"/>
      <c r="K790" s="76"/>
      <c r="L790" s="76"/>
      <c r="M790"/>
      <c r="N790"/>
    </row>
    <row r="791" spans="2:14" s="2" customFormat="1" ht="15.75" customHeight="1" x14ac:dyDescent="0.2">
      <c r="B791"/>
      <c r="C791" s="37"/>
      <c r="D791" s="37"/>
      <c r="E791" s="169"/>
      <c r="F791" s="37"/>
      <c r="G791" s="37"/>
      <c r="H791" s="37"/>
      <c r="I791" s="76"/>
      <c r="J791" s="76"/>
      <c r="K791" s="76"/>
      <c r="L791" s="76"/>
      <c r="M791"/>
      <c r="N791"/>
    </row>
    <row r="792" spans="2:14" s="2" customFormat="1" ht="15.75" customHeight="1" x14ac:dyDescent="0.2">
      <c r="B792"/>
      <c r="C792" s="37"/>
      <c r="D792" s="37"/>
      <c r="E792" s="169"/>
      <c r="F792" s="37"/>
      <c r="G792" s="37"/>
      <c r="H792" s="37"/>
      <c r="I792" s="76"/>
      <c r="J792" s="76"/>
      <c r="K792" s="76"/>
      <c r="L792" s="76"/>
      <c r="M792"/>
      <c r="N792"/>
    </row>
    <row r="793" spans="2:14" s="2" customFormat="1" ht="15.75" customHeight="1" x14ac:dyDescent="0.2">
      <c r="B793"/>
      <c r="C793" s="37"/>
      <c r="D793" s="37"/>
      <c r="E793" s="169"/>
      <c r="F793" s="37"/>
      <c r="G793" s="37"/>
      <c r="H793" s="37"/>
      <c r="I793" s="76"/>
      <c r="J793" s="76"/>
      <c r="K793" s="76"/>
      <c r="L793" s="76"/>
      <c r="M793"/>
      <c r="N793"/>
    </row>
    <row r="794" spans="2:14" s="2" customFormat="1" ht="15.75" customHeight="1" x14ac:dyDescent="0.2">
      <c r="B794"/>
      <c r="C794" s="37"/>
      <c r="D794" s="37"/>
      <c r="E794" s="169"/>
      <c r="F794" s="37"/>
      <c r="G794" s="37"/>
      <c r="H794" s="37"/>
      <c r="I794" s="76"/>
      <c r="J794" s="76"/>
      <c r="K794" s="76"/>
      <c r="L794" s="76"/>
      <c r="M794"/>
      <c r="N794"/>
    </row>
    <row r="795" spans="2:14" s="2" customFormat="1" ht="15.75" customHeight="1" x14ac:dyDescent="0.2">
      <c r="B795"/>
      <c r="C795" s="37"/>
      <c r="D795" s="37"/>
      <c r="E795" s="169"/>
      <c r="F795" s="37"/>
      <c r="G795" s="37"/>
      <c r="H795" s="37"/>
      <c r="I795" s="76"/>
      <c r="J795" s="76"/>
      <c r="K795" s="76"/>
      <c r="L795" s="76"/>
      <c r="M795"/>
      <c r="N795"/>
    </row>
    <row r="796" spans="2:14" s="2" customFormat="1" ht="15.75" customHeight="1" x14ac:dyDescent="0.2">
      <c r="B796"/>
      <c r="C796" s="37"/>
      <c r="D796" s="37"/>
      <c r="E796" s="169"/>
      <c r="F796" s="37"/>
      <c r="G796" s="37"/>
      <c r="H796" s="37"/>
      <c r="I796" s="76"/>
      <c r="J796" s="76"/>
      <c r="K796" s="76"/>
      <c r="L796" s="76"/>
      <c r="M796"/>
      <c r="N796"/>
    </row>
    <row r="797" spans="2:14" s="2" customFormat="1" ht="15.75" customHeight="1" x14ac:dyDescent="0.2">
      <c r="B797"/>
      <c r="C797" s="37"/>
      <c r="D797" s="37"/>
      <c r="E797" s="169"/>
      <c r="F797" s="37"/>
      <c r="G797" s="37"/>
      <c r="H797" s="37"/>
      <c r="I797" s="76"/>
      <c r="J797" s="76"/>
      <c r="K797" s="76"/>
      <c r="L797" s="76"/>
      <c r="M797"/>
      <c r="N797"/>
    </row>
  </sheetData>
  <mergeCells count="2">
    <mergeCell ref="A4:F4"/>
    <mergeCell ref="A5:F5"/>
  </mergeCells>
  <phoneticPr fontId="13" type="noConversion"/>
  <pageMargins left="0.74803149606299213" right="0.15748031496062992" top="0.55118110236220474" bottom="0.15748031496062992" header="0.15748031496062992" footer="0.15748031496062992"/>
  <pageSetup paperSize="9" scale="67" orientation="portrait" r:id="rId1"/>
  <headerFooter alignWithMargins="0"/>
  <rowBreaks count="1" manualBreakCount="1">
    <brk id="8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731"/>
  <sheetViews>
    <sheetView zoomScaleNormal="100" zoomScaleSheetLayoutView="80" workbookViewId="0">
      <selection activeCell="B7" sqref="B7"/>
    </sheetView>
  </sheetViews>
  <sheetFormatPr defaultRowHeight="12.75" x14ac:dyDescent="0.2"/>
  <cols>
    <col min="1" max="1" width="6.28515625" style="2" customWidth="1"/>
    <col min="2" max="2" width="84.140625" customWidth="1"/>
    <col min="3" max="3" width="15.5703125" style="37" customWidth="1"/>
    <col min="4" max="4" width="15.140625" style="37" hidden="1" customWidth="1"/>
    <col min="5" max="6" width="15.140625" style="37" customWidth="1"/>
    <col min="7" max="8" width="13.5703125" style="37" hidden="1" customWidth="1"/>
    <col min="9" max="9" width="7.140625" style="37" customWidth="1"/>
    <col min="10" max="10" width="10.5703125" hidden="1" customWidth="1"/>
    <col min="11" max="11" width="9.140625" customWidth="1"/>
    <col min="12" max="12" width="13.28515625" customWidth="1"/>
    <col min="13" max="13" width="12.7109375" customWidth="1"/>
    <col min="14" max="14" width="13" customWidth="1"/>
    <col min="15" max="23" width="9.140625" customWidth="1"/>
    <col min="24" max="24" width="6.5703125" bestFit="1" customWidth="1"/>
  </cols>
  <sheetData>
    <row r="1" spans="1:43" ht="15" customHeight="1" x14ac:dyDescent="0.3">
      <c r="A1" s="56"/>
      <c r="B1" s="34"/>
      <c r="F1" s="181" t="s">
        <v>900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8.75" x14ac:dyDescent="0.3">
      <c r="A2" s="56"/>
      <c r="B2" s="34"/>
      <c r="F2" s="181" t="str">
        <f>'1.Bev-kiad.'!F2</f>
        <v>a 20/2023.(IX.29.)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3">
      <c r="A3" s="56"/>
      <c r="B3" s="34"/>
      <c r="F3" s="181" t="s">
        <v>1314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758" t="s">
        <v>27</v>
      </c>
      <c r="B4" s="758"/>
      <c r="C4" s="758"/>
      <c r="D4" s="758"/>
      <c r="E4" s="758"/>
      <c r="F4" s="758"/>
      <c r="G4"/>
      <c r="H4"/>
      <c r="I4" s="49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9.5" x14ac:dyDescent="0.35">
      <c r="A5" s="758" t="s">
        <v>1197</v>
      </c>
      <c r="B5" s="758"/>
      <c r="C5" s="758"/>
      <c r="D5" s="758"/>
      <c r="E5" s="758"/>
      <c r="F5" s="758"/>
      <c r="G5"/>
      <c r="H5"/>
      <c r="I5" s="49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3.5" thickBot="1" x14ac:dyDescent="0.25">
      <c r="A6" s="56"/>
      <c r="B6" s="1"/>
      <c r="F6" s="57" t="s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54.75" customHeight="1" thickBot="1" x14ac:dyDescent="0.25">
      <c r="A7" s="217" t="s">
        <v>118</v>
      </c>
      <c r="B7" s="45" t="s">
        <v>209</v>
      </c>
      <c r="C7" s="45" t="str">
        <f>'1.Bev-kiad.'!C7</f>
        <v>2023. évi eredeti előirányzat</v>
      </c>
      <c r="D7" s="45" t="str">
        <f>'1.Bev-kiad.'!D7</f>
        <v>Módosított előirányzat 2023.06.havi</v>
      </c>
      <c r="E7" s="45" t="s">
        <v>1370</v>
      </c>
      <c r="F7" s="45" t="str">
        <f>'1.Bev-kiad.'!F7</f>
        <v>Módosított előirányzat 2023.09.havi</v>
      </c>
      <c r="G7" s="311"/>
      <c r="H7" s="46" t="str">
        <f>'1.Bev-kiad.'!H7</f>
        <v>Teljesítés 2021.12.31.</v>
      </c>
      <c r="I7" s="5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20.25" customHeight="1" x14ac:dyDescent="0.2">
      <c r="A8" s="147" t="s">
        <v>119</v>
      </c>
      <c r="B8" s="226" t="s">
        <v>338</v>
      </c>
      <c r="C8" s="173">
        <f>SUM(C13+C25+C31)</f>
        <v>21700</v>
      </c>
      <c r="D8" s="173">
        <f>SUM(D13+D25+D31)</f>
        <v>719462</v>
      </c>
      <c r="E8" s="173">
        <f>SUM(E13+E25+E31)</f>
        <v>719462</v>
      </c>
      <c r="F8" s="173">
        <f>SUM(F13+F25+F31)</f>
        <v>1187552</v>
      </c>
      <c r="G8" s="173"/>
      <c r="H8" s="173">
        <f>SUM(H13+H25+H31)</f>
        <v>51800</v>
      </c>
      <c r="I8" s="55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2.75" hidden="1" customHeight="1" x14ac:dyDescent="0.2">
      <c r="A9" s="8" t="s">
        <v>122</v>
      </c>
      <c r="B9" s="8" t="s">
        <v>126</v>
      </c>
      <c r="C9" s="6"/>
      <c r="D9" s="6"/>
      <c r="E9" s="6"/>
      <c r="F9" s="6"/>
      <c r="G9" s="6"/>
      <c r="H9" s="6"/>
      <c r="I9" s="19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2.75" hidden="1" customHeight="1" x14ac:dyDescent="0.2">
      <c r="A10" s="8" t="s">
        <v>123</v>
      </c>
      <c r="B10" s="8" t="s">
        <v>127</v>
      </c>
      <c r="C10" s="11"/>
      <c r="D10" s="11"/>
      <c r="E10" s="11"/>
      <c r="F10" s="11"/>
      <c r="G10" s="11"/>
      <c r="H10" s="11"/>
      <c r="I10" s="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2.75" hidden="1" customHeight="1" x14ac:dyDescent="0.2">
      <c r="A11" s="8" t="s">
        <v>124</v>
      </c>
      <c r="B11" s="8" t="s">
        <v>128</v>
      </c>
      <c r="C11" s="11"/>
      <c r="D11" s="11"/>
      <c r="E11" s="11"/>
      <c r="F11" s="11"/>
      <c r="G11" s="11"/>
      <c r="H11" s="11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2.75" hidden="1" customHeight="1" x14ac:dyDescent="0.2">
      <c r="A12" s="8" t="s">
        <v>125</v>
      </c>
      <c r="B12" s="8" t="s">
        <v>130</v>
      </c>
      <c r="C12" s="11"/>
      <c r="D12" s="11"/>
      <c r="E12" s="11"/>
      <c r="F12" s="11"/>
      <c r="G12" s="11"/>
      <c r="H12" s="11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8" customHeight="1" x14ac:dyDescent="0.25">
      <c r="A13" s="14" t="s">
        <v>131</v>
      </c>
      <c r="B13" s="23" t="s">
        <v>248</v>
      </c>
      <c r="C13" s="38">
        <f>C14+C22</f>
        <v>10900</v>
      </c>
      <c r="D13" s="38">
        <f>D14+D22</f>
        <v>708662</v>
      </c>
      <c r="E13" s="38">
        <f>E14+E22</f>
        <v>708662</v>
      </c>
      <c r="F13" s="38">
        <f>F14+F22</f>
        <v>726752</v>
      </c>
      <c r="G13" s="38"/>
      <c r="H13" s="38">
        <f>H14+H22</f>
        <v>40000</v>
      </c>
      <c r="I13" s="55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5" customHeight="1" x14ac:dyDescent="0.2">
      <c r="A14" s="8"/>
      <c r="B14" s="8" t="s">
        <v>325</v>
      </c>
      <c r="C14" s="6">
        <f>SUM(C15:C21)</f>
        <v>0</v>
      </c>
      <c r="D14" s="6">
        <f>SUM(D15:D21)</f>
        <v>0</v>
      </c>
      <c r="E14" s="6">
        <f>SUM(E15:E21)</f>
        <v>0</v>
      </c>
      <c r="F14" s="6">
        <f>SUM(F15:F21)</f>
        <v>18090</v>
      </c>
      <c r="G14" s="6"/>
      <c r="H14" s="6">
        <f>SUM(H15:H21)</f>
        <v>40000</v>
      </c>
      <c r="I14" s="7"/>
      <c r="J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x14ac:dyDescent="0.2">
      <c r="A15" s="8"/>
      <c r="B15" s="8" t="s">
        <v>1380</v>
      </c>
      <c r="C15" s="13">
        <v>0</v>
      </c>
      <c r="D15" s="13">
        <v>0</v>
      </c>
      <c r="E15" s="13">
        <v>0</v>
      </c>
      <c r="F15" s="13">
        <v>18090</v>
      </c>
      <c r="G15" s="13"/>
      <c r="H15" s="13">
        <v>40000</v>
      </c>
      <c r="I15" s="57"/>
      <c r="J15" s="2"/>
      <c r="K15" s="2"/>
      <c r="L15" s="502"/>
      <c r="M15" s="314"/>
      <c r="N15" s="503"/>
      <c r="O15" s="314"/>
      <c r="P15" s="31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idden="1" x14ac:dyDescent="0.2">
      <c r="A16" s="8"/>
      <c r="B16" s="8"/>
      <c r="C16" s="13"/>
      <c r="D16" s="13"/>
      <c r="E16" s="13"/>
      <c r="F16" s="13"/>
      <c r="G16" s="13"/>
      <c r="H16" s="13">
        <v>0</v>
      </c>
      <c r="I16" s="57"/>
      <c r="J16" s="2"/>
      <c r="K16" s="2"/>
      <c r="L16" s="502"/>
      <c r="M16" s="314"/>
      <c r="N16" s="503"/>
      <c r="O16" s="314"/>
      <c r="P16" s="31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idden="1" x14ac:dyDescent="0.2">
      <c r="A17" s="8"/>
      <c r="B17" s="8"/>
      <c r="C17" s="13">
        <v>0</v>
      </c>
      <c r="D17" s="13">
        <v>0</v>
      </c>
      <c r="E17" s="13">
        <v>0</v>
      </c>
      <c r="F17" s="13">
        <v>0</v>
      </c>
      <c r="G17" s="13"/>
      <c r="H17" s="13">
        <v>0</v>
      </c>
      <c r="I17" s="57"/>
      <c r="J17" s="2"/>
      <c r="K17" s="2"/>
      <c r="L17" s="502"/>
      <c r="M17" s="314"/>
      <c r="N17" s="503"/>
      <c r="O17" s="314"/>
      <c r="P17" s="3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idden="1" x14ac:dyDescent="0.2">
      <c r="A18" s="8"/>
      <c r="B18" s="8"/>
      <c r="C18" s="13">
        <v>0</v>
      </c>
      <c r="D18" s="13">
        <v>0</v>
      </c>
      <c r="E18" s="13">
        <v>0</v>
      </c>
      <c r="F18" s="13">
        <v>0</v>
      </c>
      <c r="G18" s="13"/>
      <c r="H18" s="13">
        <v>0</v>
      </c>
      <c r="I18" s="57"/>
      <c r="J18" s="2"/>
      <c r="K18" s="2"/>
      <c r="L18" s="502"/>
      <c r="M18" s="314"/>
      <c r="N18" s="503"/>
      <c r="O18" s="314"/>
      <c r="P18" s="31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idden="1" x14ac:dyDescent="0.2">
      <c r="A19" s="8"/>
      <c r="B19" s="8"/>
      <c r="C19" s="13">
        <v>0</v>
      </c>
      <c r="D19" s="13">
        <v>0</v>
      </c>
      <c r="E19" s="13">
        <v>0</v>
      </c>
      <c r="F19" s="13">
        <v>0</v>
      </c>
      <c r="G19" s="13"/>
      <c r="H19" s="13">
        <v>0</v>
      </c>
      <c r="I19" s="57"/>
      <c r="J19" s="2"/>
      <c r="K19" s="2"/>
      <c r="L19" s="502"/>
      <c r="M19" s="314"/>
      <c r="N19" s="503"/>
      <c r="O19" s="314"/>
      <c r="P19" s="3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idden="1" x14ac:dyDescent="0.2">
      <c r="A20" s="8"/>
      <c r="B20" s="8"/>
      <c r="C20" s="13"/>
      <c r="D20" s="13"/>
      <c r="E20" s="13"/>
      <c r="F20" s="13"/>
      <c r="G20" s="13"/>
      <c r="H20" s="13"/>
      <c r="I20" s="57"/>
      <c r="J20" s="2"/>
      <c r="K20" s="2"/>
      <c r="L20" s="502"/>
      <c r="M20" s="314"/>
      <c r="N20" s="503"/>
      <c r="O20" s="314"/>
      <c r="P20" s="3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idden="1" x14ac:dyDescent="0.2">
      <c r="A21" s="8"/>
      <c r="B21" s="8"/>
      <c r="C21" s="13"/>
      <c r="D21" s="13"/>
      <c r="E21" s="13"/>
      <c r="F21" s="13"/>
      <c r="G21" s="13"/>
      <c r="H21" s="13"/>
      <c r="I21" s="57"/>
      <c r="J21" s="2"/>
      <c r="K21" s="2"/>
      <c r="L21" s="502"/>
      <c r="M21" s="314"/>
      <c r="N21" s="503"/>
      <c r="O21" s="314"/>
      <c r="P21" s="3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x14ac:dyDescent="0.2">
      <c r="A22" s="8"/>
      <c r="B22" s="8" t="s">
        <v>326</v>
      </c>
      <c r="C22" s="6">
        <f>SUM(C24)+C23</f>
        <v>10900</v>
      </c>
      <c r="D22" s="6">
        <f>SUM(D24)+D23</f>
        <v>708662</v>
      </c>
      <c r="E22" s="6">
        <f>SUM(E24)+E23</f>
        <v>708662</v>
      </c>
      <c r="F22" s="6">
        <f>SUM(F24)+F23</f>
        <v>708662</v>
      </c>
      <c r="G22" s="6"/>
      <c r="H22" s="6">
        <f>SUM(H24)+H23</f>
        <v>0</v>
      </c>
      <c r="I22" s="7"/>
      <c r="J22" s="2"/>
      <c r="K22" s="2"/>
      <c r="L22" s="502"/>
      <c r="M22" s="7"/>
      <c r="N22" s="7"/>
      <c r="O22" s="7"/>
      <c r="P22" s="19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x14ac:dyDescent="0.2">
      <c r="A23" s="8" t="s">
        <v>135</v>
      </c>
      <c r="B23" s="20" t="s">
        <v>1326</v>
      </c>
      <c r="C23" s="13">
        <v>10900</v>
      </c>
      <c r="D23" s="13">
        <f>10900-10900+708662</f>
        <v>708662</v>
      </c>
      <c r="E23" s="13">
        <f>10900-10900+708662</f>
        <v>708662</v>
      </c>
      <c r="F23" s="13">
        <f>10900-10900+708662</f>
        <v>708662</v>
      </c>
      <c r="G23" s="13"/>
      <c r="H23" s="13">
        <v>0</v>
      </c>
      <c r="I23" s="7"/>
      <c r="J23" s="2"/>
      <c r="K23" s="2"/>
      <c r="L23" s="502"/>
      <c r="M23" s="7"/>
      <c r="N23" s="7"/>
      <c r="O23" s="7"/>
      <c r="P23" s="19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idden="1" x14ac:dyDescent="0.2">
      <c r="A24" s="8"/>
      <c r="B24" s="8"/>
      <c r="C24" s="13"/>
      <c r="D24" s="13"/>
      <c r="E24" s="13"/>
      <c r="F24" s="13"/>
      <c r="G24" s="13"/>
      <c r="H24" s="13">
        <v>0</v>
      </c>
      <c r="I24" s="626"/>
      <c r="J24" s="2"/>
      <c r="K24" s="2"/>
      <c r="L24" s="502"/>
      <c r="M24" s="7"/>
      <c r="N24" s="7"/>
      <c r="O24" s="7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7.25" customHeight="1" x14ac:dyDescent="0.25">
      <c r="A25" s="14" t="s">
        <v>178</v>
      </c>
      <c r="B25" s="23" t="s">
        <v>249</v>
      </c>
      <c r="C25" s="38">
        <f>SUM(C26:C30)</f>
        <v>500</v>
      </c>
      <c r="D25" s="38">
        <f>SUM(D26:D30)</f>
        <v>500</v>
      </c>
      <c r="E25" s="38">
        <f>SUM(E26:E30)</f>
        <v>500</v>
      </c>
      <c r="F25" s="38">
        <f>SUM(F26:F30)</f>
        <v>450500</v>
      </c>
      <c r="G25" s="38"/>
      <c r="H25" s="38">
        <f>SUM(H26:H30)</f>
        <v>1500</v>
      </c>
      <c r="I25" s="552"/>
      <c r="J25" s="2"/>
      <c r="K25" s="2"/>
      <c r="L25" s="502"/>
      <c r="M25" s="7"/>
      <c r="N25" s="7"/>
      <c r="O25" s="7"/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3.5" customHeight="1" x14ac:dyDescent="0.2">
      <c r="A26" s="8" t="s">
        <v>179</v>
      </c>
      <c r="B26" s="20" t="s">
        <v>402</v>
      </c>
      <c r="C26" s="11">
        <v>0</v>
      </c>
      <c r="D26" s="11">
        <v>0</v>
      </c>
      <c r="E26" s="11">
        <v>0</v>
      </c>
      <c r="F26" s="11">
        <v>0</v>
      </c>
      <c r="G26" s="11"/>
      <c r="H26" s="11">
        <v>0</v>
      </c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3.5" customHeight="1" x14ac:dyDescent="0.2">
      <c r="A27" s="8" t="s">
        <v>180</v>
      </c>
      <c r="B27" s="20" t="s">
        <v>1198</v>
      </c>
      <c r="C27" s="13">
        <f>(500)</f>
        <v>500</v>
      </c>
      <c r="D27" s="13">
        <f>(500)</f>
        <v>500</v>
      </c>
      <c r="E27" s="13">
        <f>(500)</f>
        <v>500</v>
      </c>
      <c r="F27" s="13">
        <f>(500)+450000</f>
        <v>450500</v>
      </c>
      <c r="G27" s="13"/>
      <c r="H27" s="13">
        <f>(500)</f>
        <v>500</v>
      </c>
      <c r="I27" s="57"/>
      <c r="J27" s="2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3.5" customHeight="1" x14ac:dyDescent="0.2">
      <c r="A28" s="8" t="s">
        <v>181</v>
      </c>
      <c r="B28" s="20" t="s">
        <v>451</v>
      </c>
      <c r="C28" s="11">
        <v>0</v>
      </c>
      <c r="D28" s="11">
        <v>0</v>
      </c>
      <c r="E28" s="11">
        <v>0</v>
      </c>
      <c r="F28" s="11">
        <v>0</v>
      </c>
      <c r="G28" s="11"/>
      <c r="H28" s="11">
        <v>1000</v>
      </c>
      <c r="I28" s="7"/>
      <c r="J28" s="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3.5" customHeight="1" x14ac:dyDescent="0.2">
      <c r="A29" s="8" t="s">
        <v>182</v>
      </c>
      <c r="B29" s="20" t="s">
        <v>250</v>
      </c>
      <c r="C29" s="11">
        <v>0</v>
      </c>
      <c r="D29" s="11">
        <v>0</v>
      </c>
      <c r="E29" s="11">
        <v>0</v>
      </c>
      <c r="F29" s="11">
        <v>0</v>
      </c>
      <c r="G29" s="11"/>
      <c r="H29" s="11">
        <v>0</v>
      </c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3.5" customHeight="1" x14ac:dyDescent="0.2">
      <c r="A30" s="8" t="s">
        <v>183</v>
      </c>
      <c r="B30" s="20" t="s">
        <v>251</v>
      </c>
      <c r="C30" s="11">
        <v>0</v>
      </c>
      <c r="D30" s="11">
        <v>0</v>
      </c>
      <c r="E30" s="11">
        <v>0</v>
      </c>
      <c r="F30" s="11">
        <v>0</v>
      </c>
      <c r="G30" s="11"/>
      <c r="H30" s="11">
        <v>0</v>
      </c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8" customHeight="1" x14ac:dyDescent="0.25">
      <c r="A31" s="14" t="s">
        <v>190</v>
      </c>
      <c r="B31" s="23" t="s">
        <v>388</v>
      </c>
      <c r="C31" s="38">
        <f>C33</f>
        <v>10300</v>
      </c>
      <c r="D31" s="38">
        <f>D33</f>
        <v>10300</v>
      </c>
      <c r="E31" s="38">
        <f>E33</f>
        <v>10300</v>
      </c>
      <c r="F31" s="38">
        <f>F33</f>
        <v>10300</v>
      </c>
      <c r="G31" s="38"/>
      <c r="H31" s="38">
        <f>H33</f>
        <v>10300</v>
      </c>
      <c r="I31" s="55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3.5" hidden="1" customHeight="1" x14ac:dyDescent="0.2">
      <c r="A32" s="8" t="s">
        <v>190</v>
      </c>
      <c r="B32" s="20" t="s">
        <v>394</v>
      </c>
      <c r="C32" s="49"/>
      <c r="D32" s="49"/>
      <c r="E32" s="49"/>
      <c r="F32" s="49"/>
      <c r="G32" s="49"/>
      <c r="H32" s="49"/>
      <c r="I32" s="55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3.5" customHeight="1" x14ac:dyDescent="0.2">
      <c r="A33" s="8" t="s">
        <v>483</v>
      </c>
      <c r="B33" s="20" t="s">
        <v>838</v>
      </c>
      <c r="C33" s="670">
        <v>10300</v>
      </c>
      <c r="D33" s="670">
        <v>10300</v>
      </c>
      <c r="E33" s="670">
        <v>10300</v>
      </c>
      <c r="F33" s="670">
        <v>10300</v>
      </c>
      <c r="G33" s="670"/>
      <c r="H33" s="670">
        <v>10300</v>
      </c>
      <c r="I33" s="55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3.5" hidden="1" customHeight="1" x14ac:dyDescent="0.2">
      <c r="A34" s="8"/>
      <c r="B34" s="20"/>
      <c r="C34" s="166"/>
      <c r="D34" s="166"/>
      <c r="E34" s="166"/>
      <c r="F34" s="166"/>
      <c r="G34" s="166"/>
      <c r="H34" s="166"/>
      <c r="I34" s="55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20.25" customHeight="1" x14ac:dyDescent="0.25">
      <c r="A35" s="8"/>
      <c r="B35" s="172" t="s">
        <v>339</v>
      </c>
      <c r="C35" s="159">
        <f>SUM(C36+C40)</f>
        <v>518711</v>
      </c>
      <c r="D35" s="159">
        <f>SUM(D36+D40)</f>
        <v>868711</v>
      </c>
      <c r="E35" s="159">
        <f>SUM(E36+E40)</f>
        <v>868711</v>
      </c>
      <c r="F35" s="159">
        <f>SUM(F36+F40)</f>
        <v>868711</v>
      </c>
      <c r="G35" s="159"/>
      <c r="H35" s="159">
        <f>SUM(H36+H40)</f>
        <v>518711</v>
      </c>
      <c r="I35" s="55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6.5" customHeight="1" x14ac:dyDescent="0.25">
      <c r="A36" s="8"/>
      <c r="B36" s="18" t="s">
        <v>253</v>
      </c>
      <c r="C36" s="191">
        <f>C37</f>
        <v>518711</v>
      </c>
      <c r="D36" s="191">
        <f>D37</f>
        <v>518711</v>
      </c>
      <c r="E36" s="191">
        <f>E37</f>
        <v>518711</v>
      </c>
      <c r="F36" s="191">
        <f>F37</f>
        <v>518711</v>
      </c>
      <c r="G36" s="191"/>
      <c r="H36" s="191">
        <f>H37</f>
        <v>518711</v>
      </c>
      <c r="I36" s="621"/>
      <c r="J36" s="62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3.5" customHeight="1" x14ac:dyDescent="0.2">
      <c r="A37" s="8"/>
      <c r="B37" s="31" t="s">
        <v>427</v>
      </c>
      <c r="C37" s="11">
        <f>(227589+275689+15433)</f>
        <v>518711</v>
      </c>
      <c r="D37" s="11">
        <f>(227589+275689+15433)</f>
        <v>518711</v>
      </c>
      <c r="E37" s="11">
        <f>(227589+275689+15433)</f>
        <v>518711</v>
      </c>
      <c r="F37" s="11">
        <f>(227589+275689+15433)</f>
        <v>518711</v>
      </c>
      <c r="G37" s="11"/>
      <c r="H37" s="11">
        <f>(227589+275689+15433)</f>
        <v>518711</v>
      </c>
      <c r="I37" s="164"/>
      <c r="J37" s="164" t="s">
        <v>1270</v>
      </c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idden="1" x14ac:dyDescent="0.2">
      <c r="A38" s="8"/>
      <c r="B38" s="31" t="s">
        <v>848</v>
      </c>
      <c r="C38" s="13">
        <f>(632574-19378-10058-5652)</f>
        <v>597486</v>
      </c>
      <c r="D38" s="13">
        <f>(632574-19378-10058-5652)</f>
        <v>597486</v>
      </c>
      <c r="E38" s="13">
        <f>(632574-19378-10058-5652)</f>
        <v>597486</v>
      </c>
      <c r="F38" s="13">
        <f>(632574-19378-10058-5652)</f>
        <v>597486</v>
      </c>
      <c r="G38" s="13"/>
      <c r="H38" s="13">
        <f>(632574-19378-10058-5652)</f>
        <v>597486</v>
      </c>
      <c r="I38" s="164"/>
      <c r="J38" s="164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idden="1" x14ac:dyDescent="0.2">
      <c r="A39" s="8"/>
      <c r="B39" s="31" t="s">
        <v>849</v>
      </c>
      <c r="C39" s="13">
        <f>(226930-68956-3881-1049-246-686)</f>
        <v>152112</v>
      </c>
      <c r="D39" s="13">
        <f>(226930-68956-3881-1049-246-686)</f>
        <v>152112</v>
      </c>
      <c r="E39" s="13">
        <f>(226930-68956-3881-1049-246-686)</f>
        <v>152112</v>
      </c>
      <c r="F39" s="13">
        <f>(226930-68956-3881-1049-246-686)</f>
        <v>152112</v>
      </c>
      <c r="G39" s="13"/>
      <c r="H39" s="13">
        <f>(226930-68956-3881-1049-246-686)</f>
        <v>152112</v>
      </c>
      <c r="I39" s="164"/>
      <c r="J39" s="164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6.5" customHeight="1" x14ac:dyDescent="0.25">
      <c r="A40" s="8"/>
      <c r="B40" s="18" t="s">
        <v>254</v>
      </c>
      <c r="C40" s="38">
        <f>SUM(C41:C41)</f>
        <v>0</v>
      </c>
      <c r="D40" s="38">
        <f>SUM(D41:D41)</f>
        <v>350000</v>
      </c>
      <c r="E40" s="38">
        <f>SUM(E41:E41)</f>
        <v>350000</v>
      </c>
      <c r="F40" s="38">
        <f>SUM(F41:F41)</f>
        <v>350000</v>
      </c>
      <c r="G40" s="38"/>
      <c r="H40" s="38">
        <f>SUM(H41:H41)</f>
        <v>0</v>
      </c>
      <c r="I40" s="164"/>
      <c r="J40" s="164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3.5" customHeight="1" thickBot="1" x14ac:dyDescent="0.25">
      <c r="A41" s="12"/>
      <c r="B41" s="8" t="s">
        <v>1354</v>
      </c>
      <c r="C41" s="11">
        <v>0</v>
      </c>
      <c r="D41" s="11">
        <v>350000</v>
      </c>
      <c r="E41" s="11">
        <v>350000</v>
      </c>
      <c r="F41" s="11">
        <v>350000</v>
      </c>
      <c r="G41" s="11"/>
      <c r="H41" s="11">
        <v>0</v>
      </c>
      <c r="I41" s="164"/>
      <c r="J41" s="164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0.25" thickBot="1" x14ac:dyDescent="0.4">
      <c r="A42" s="217"/>
      <c r="B42" s="216" t="s">
        <v>375</v>
      </c>
      <c r="C42" s="227">
        <f>SUM(C8+C35)</f>
        <v>540411</v>
      </c>
      <c r="D42" s="227">
        <f>SUM(D8+D35)</f>
        <v>1588173</v>
      </c>
      <c r="E42" s="227">
        <f>SUM(E8+E35)</f>
        <v>1588173</v>
      </c>
      <c r="F42" s="227">
        <f>SUM(F8+F35)</f>
        <v>2056263</v>
      </c>
      <c r="G42" s="227"/>
      <c r="H42" s="227">
        <f>SUM(H8+H35)</f>
        <v>570511</v>
      </c>
      <c r="I42" s="164"/>
      <c r="J42" s="164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5.75" x14ac:dyDescent="0.25">
      <c r="A43" s="147" t="s">
        <v>352</v>
      </c>
      <c r="B43" s="225" t="s">
        <v>340</v>
      </c>
      <c r="C43" s="174">
        <f>SUM(C44+C66+C82)</f>
        <v>530540</v>
      </c>
      <c r="D43" s="174">
        <f>SUM(D44+D66+D82)</f>
        <v>1516441</v>
      </c>
      <c r="E43" s="174">
        <f>SUM(E44+E66+E82)</f>
        <v>1516441</v>
      </c>
      <c r="F43" s="174">
        <f>SUM(F44+F66+F82)</f>
        <v>1983974</v>
      </c>
      <c r="G43" s="174"/>
      <c r="H43" s="174">
        <f>SUM(H44+H66+H82)</f>
        <v>550540</v>
      </c>
      <c r="I43" s="164"/>
      <c r="J43" s="164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5.75" x14ac:dyDescent="0.25">
      <c r="A44" s="14" t="s">
        <v>252</v>
      </c>
      <c r="B44" s="564" t="s">
        <v>5</v>
      </c>
      <c r="C44" s="565">
        <f>SUM(C45+C63)</f>
        <v>5648</v>
      </c>
      <c r="D44" s="565">
        <f>SUM(D45+D63)</f>
        <v>27776</v>
      </c>
      <c r="E44" s="565">
        <f>SUM(E45+E63)</f>
        <v>27776</v>
      </c>
      <c r="F44" s="565">
        <f>SUM(F45+F63)</f>
        <v>30076</v>
      </c>
      <c r="G44" s="565"/>
      <c r="H44" s="565">
        <f>SUM(H45+H63)</f>
        <v>5648</v>
      </c>
      <c r="I44" s="164"/>
      <c r="J44" s="164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4.25" x14ac:dyDescent="0.2">
      <c r="A45" s="14"/>
      <c r="B45" s="24" t="s">
        <v>341</v>
      </c>
      <c r="C45" s="148">
        <f>SUM(C46+C50+C62)</f>
        <v>4648</v>
      </c>
      <c r="D45" s="148">
        <f>SUM(D46+D50+D62)</f>
        <v>26776</v>
      </c>
      <c r="E45" s="148">
        <f>SUM(E46+E50+E62)</f>
        <v>26776</v>
      </c>
      <c r="F45" s="148">
        <f>SUM(F46+F50+F62)</f>
        <v>27076</v>
      </c>
      <c r="G45" s="148"/>
      <c r="H45" s="148">
        <f>SUM(H46+H50+H62)</f>
        <v>4648</v>
      </c>
      <c r="I45" s="557"/>
      <c r="J45" s="623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4.25" x14ac:dyDescent="0.2">
      <c r="A46" s="14"/>
      <c r="B46" s="24" t="s">
        <v>345</v>
      </c>
      <c r="C46" s="148">
        <f>SUM(C47:C49)</f>
        <v>0</v>
      </c>
      <c r="D46" s="148">
        <f>SUM(D47:D49)</f>
        <v>2128</v>
      </c>
      <c r="E46" s="148">
        <f>SUM(E47:E49)</f>
        <v>2128</v>
      </c>
      <c r="F46" s="148">
        <f>SUM(F47:F49)</f>
        <v>2128</v>
      </c>
      <c r="G46" s="148"/>
      <c r="H46" s="148">
        <f>SUM(H47:H49)</f>
        <v>0</v>
      </c>
      <c r="I46" s="557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x14ac:dyDescent="0.2">
      <c r="A47" s="14"/>
      <c r="B47" s="8" t="s">
        <v>1322</v>
      </c>
      <c r="C47" s="11">
        <v>0</v>
      </c>
      <c r="D47" s="11">
        <v>2128</v>
      </c>
      <c r="E47" s="11">
        <v>2128</v>
      </c>
      <c r="F47" s="11">
        <v>2128</v>
      </c>
      <c r="G47" s="11"/>
      <c r="H47" s="11"/>
      <c r="I47" s="5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x14ac:dyDescent="0.2">
      <c r="A48" s="14"/>
      <c r="B48" s="8"/>
      <c r="C48" s="11"/>
      <c r="D48" s="11"/>
      <c r="E48" s="11"/>
      <c r="F48" s="11"/>
      <c r="G48" s="11"/>
      <c r="H48" s="11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idden="1" x14ac:dyDescent="0.2">
      <c r="A49" s="14"/>
      <c r="B49" s="8"/>
      <c r="C49" s="11"/>
      <c r="D49" s="11"/>
      <c r="E49" s="11"/>
      <c r="F49" s="11"/>
      <c r="G49" s="11"/>
      <c r="H49" s="11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x14ac:dyDescent="0.2">
      <c r="A50" s="14"/>
      <c r="B50" s="14" t="s">
        <v>344</v>
      </c>
      <c r="C50" s="5">
        <f>SUM(C51:C61)</f>
        <v>4648</v>
      </c>
      <c r="D50" s="5">
        <f>SUM(D51:D61)</f>
        <v>24648</v>
      </c>
      <c r="E50" s="5">
        <f>SUM(E51:E61)</f>
        <v>24648</v>
      </c>
      <c r="F50" s="5">
        <f>SUM(F51:F61)</f>
        <v>24948</v>
      </c>
      <c r="G50" s="5"/>
      <c r="H50" s="5">
        <f>SUM(H51:H61)</f>
        <v>4648</v>
      </c>
      <c r="I50" s="55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x14ac:dyDescent="0.2">
      <c r="A51" s="14"/>
      <c r="B51" s="8" t="s">
        <v>1272</v>
      </c>
      <c r="C51" s="13">
        <v>4648</v>
      </c>
      <c r="D51" s="13">
        <v>4648</v>
      </c>
      <c r="E51" s="13">
        <v>4648</v>
      </c>
      <c r="F51" s="13">
        <v>4648</v>
      </c>
      <c r="G51" s="13"/>
      <c r="H51" s="13">
        <v>4648</v>
      </c>
      <c r="I51" s="57"/>
      <c r="J51" s="7"/>
      <c r="K51" s="2"/>
      <c r="L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x14ac:dyDescent="0.2">
      <c r="A52" s="14"/>
      <c r="B52" s="8" t="s">
        <v>1319</v>
      </c>
      <c r="C52" s="13">
        <v>0</v>
      </c>
      <c r="D52" s="13">
        <v>20000</v>
      </c>
      <c r="E52" s="13">
        <v>20000</v>
      </c>
      <c r="F52" s="13">
        <v>20000</v>
      </c>
      <c r="G52" s="13"/>
      <c r="H52" s="13"/>
      <c r="I52" s="57"/>
      <c r="J52" s="7"/>
      <c r="K52" s="2"/>
      <c r="L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x14ac:dyDescent="0.2">
      <c r="A53" s="14"/>
      <c r="B53" s="8" t="s">
        <v>1383</v>
      </c>
      <c r="C53" s="13">
        <v>0</v>
      </c>
      <c r="D53" s="13">
        <v>0</v>
      </c>
      <c r="E53" s="13">
        <v>0</v>
      </c>
      <c r="F53" s="13">
        <v>300</v>
      </c>
      <c r="G53" s="13"/>
      <c r="H53" s="13"/>
      <c r="I53" s="57"/>
      <c r="J53" s="7"/>
      <c r="K53" s="2"/>
      <c r="L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idden="1" x14ac:dyDescent="0.2">
      <c r="A54" s="14"/>
      <c r="B54" s="8"/>
      <c r="C54" s="13"/>
      <c r="D54" s="13"/>
      <c r="E54" s="13"/>
      <c r="F54" s="13"/>
      <c r="G54" s="13"/>
      <c r="H54" s="13"/>
      <c r="I54" s="57"/>
      <c r="J54" s="7"/>
      <c r="K54" s="2"/>
      <c r="L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idden="1" x14ac:dyDescent="0.2">
      <c r="A55" s="14"/>
      <c r="B55" s="8"/>
      <c r="C55" s="13"/>
      <c r="D55" s="13"/>
      <c r="E55" s="13"/>
      <c r="F55" s="13"/>
      <c r="G55" s="13"/>
      <c r="H55" s="13"/>
      <c r="I55" s="57"/>
      <c r="J55" s="7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idden="1" x14ac:dyDescent="0.2">
      <c r="A56" s="14"/>
      <c r="B56" s="8"/>
      <c r="C56" s="13"/>
      <c r="D56" s="13"/>
      <c r="E56" s="13"/>
      <c r="F56" s="13"/>
      <c r="G56" s="13"/>
      <c r="H56" s="13"/>
      <c r="I56" s="57"/>
      <c r="J56" s="7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idden="1" x14ac:dyDescent="0.2">
      <c r="A57" s="14"/>
      <c r="B57" s="20"/>
      <c r="C57" s="13"/>
      <c r="D57" s="13"/>
      <c r="E57" s="13"/>
      <c r="F57" s="13"/>
      <c r="G57" s="13"/>
      <c r="H57" s="13"/>
      <c r="I57" s="57"/>
      <c r="J57" s="7"/>
      <c r="K57" s="2"/>
      <c r="L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idden="1" x14ac:dyDescent="0.2">
      <c r="A58" s="14"/>
      <c r="B58" s="8"/>
      <c r="C58" s="13"/>
      <c r="D58" s="13"/>
      <c r="E58" s="13"/>
      <c r="F58" s="13"/>
      <c r="G58" s="13"/>
      <c r="H58" s="13"/>
      <c r="I58" s="57"/>
      <c r="J58" s="7"/>
      <c r="K58" s="2"/>
      <c r="L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idden="1" x14ac:dyDescent="0.2">
      <c r="A59" s="14"/>
      <c r="B59" s="8"/>
      <c r="C59" s="13"/>
      <c r="D59" s="13"/>
      <c r="E59" s="13"/>
      <c r="F59" s="13"/>
      <c r="G59" s="13"/>
      <c r="H59" s="13"/>
      <c r="I59" s="57"/>
      <c r="J59" s="7"/>
      <c r="K59" s="2"/>
      <c r="L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idden="1" x14ac:dyDescent="0.2">
      <c r="A60" s="14"/>
      <c r="B60" s="8"/>
      <c r="C60" s="13"/>
      <c r="D60" s="13"/>
      <c r="E60" s="13"/>
      <c r="F60" s="13"/>
      <c r="G60" s="13"/>
      <c r="H60" s="13"/>
      <c r="I60" s="57"/>
      <c r="J60" s="7"/>
      <c r="K60" s="2"/>
      <c r="L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idden="1" x14ac:dyDescent="0.2">
      <c r="A61" s="14"/>
      <c r="B61" s="8"/>
      <c r="C61" s="13"/>
      <c r="D61" s="13"/>
      <c r="E61" s="13"/>
      <c r="F61" s="13"/>
      <c r="G61" s="13"/>
      <c r="H61" s="13"/>
      <c r="I61" s="57"/>
      <c r="J61" s="7"/>
      <c r="K61" s="2"/>
      <c r="L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x14ac:dyDescent="0.2">
      <c r="A62" s="14"/>
      <c r="B62" s="14" t="s">
        <v>868</v>
      </c>
      <c r="C62" s="5"/>
      <c r="D62" s="5"/>
      <c r="E62" s="5"/>
      <c r="F62" s="5"/>
      <c r="G62" s="5"/>
      <c r="H62" s="5"/>
      <c r="I62" s="57"/>
      <c r="J62" s="2"/>
      <c r="K62" s="2"/>
      <c r="L62" s="2"/>
      <c r="M62" s="2"/>
      <c r="N62" s="2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3.5" customHeight="1" x14ac:dyDescent="0.2">
      <c r="A63" s="14"/>
      <c r="B63" s="14" t="s">
        <v>383</v>
      </c>
      <c r="C63" s="5">
        <f>SUM(C64)</f>
        <v>1000</v>
      </c>
      <c r="D63" s="5">
        <f>SUM(D64)</f>
        <v>1000</v>
      </c>
      <c r="E63" s="5">
        <f>SUM(E64)</f>
        <v>1000</v>
      </c>
      <c r="F63" s="5">
        <f>SUM(F64)</f>
        <v>3000</v>
      </c>
      <c r="G63" s="5"/>
      <c r="H63" s="5">
        <f>SUM(H64)</f>
        <v>1000</v>
      </c>
      <c r="I63" s="5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3.5" customHeight="1" x14ac:dyDescent="0.2">
      <c r="A64" s="14"/>
      <c r="B64" s="8" t="s">
        <v>870</v>
      </c>
      <c r="C64" s="13">
        <v>1000</v>
      </c>
      <c r="D64" s="13">
        <v>1000</v>
      </c>
      <c r="E64" s="13">
        <v>1000</v>
      </c>
      <c r="F64" s="13">
        <f>1000+2000</f>
        <v>3000</v>
      </c>
      <c r="G64" s="13"/>
      <c r="H64" s="13">
        <v>1000</v>
      </c>
      <c r="I64" s="5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idden="1" x14ac:dyDescent="0.2">
      <c r="A65" s="14"/>
      <c r="B65" s="8"/>
      <c r="C65" s="13"/>
      <c r="D65" s="13"/>
      <c r="E65" s="13"/>
      <c r="F65" s="13"/>
      <c r="G65" s="13"/>
      <c r="H65" s="13"/>
      <c r="I65" s="5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8" customHeight="1" x14ac:dyDescent="0.25">
      <c r="A66" s="14" t="s">
        <v>355</v>
      </c>
      <c r="B66" s="23" t="s">
        <v>1</v>
      </c>
      <c r="C66" s="159">
        <f>SUM(C67+C72)</f>
        <v>444892</v>
      </c>
      <c r="D66" s="159">
        <f>SUM(D67+D72)</f>
        <v>769002</v>
      </c>
      <c r="E66" s="159">
        <f>SUM(E67+E72)</f>
        <v>769002</v>
      </c>
      <c r="F66" s="159">
        <f>SUM(F67+F72)</f>
        <v>992840</v>
      </c>
      <c r="G66" s="159"/>
      <c r="H66" s="159">
        <f>SUM(H67+H72)</f>
        <v>544892</v>
      </c>
      <c r="I66" s="5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3.5" customHeight="1" x14ac:dyDescent="0.2">
      <c r="A67" s="14"/>
      <c r="B67" s="14" t="s">
        <v>2</v>
      </c>
      <c r="C67" s="148">
        <f>SUM(C68:C71)</f>
        <v>409658</v>
      </c>
      <c r="D67" s="148">
        <f>SUM(D68:D71)</f>
        <v>733768</v>
      </c>
      <c r="E67" s="148">
        <f>SUM(E68:E71)</f>
        <v>733768</v>
      </c>
      <c r="F67" s="148">
        <f>SUM(F68:F71)</f>
        <v>733768</v>
      </c>
      <c r="G67" s="148"/>
      <c r="H67" s="148">
        <f t="shared" ref="H67" si="0">SUM(H68:H71)</f>
        <v>409658</v>
      </c>
      <c r="I67" s="57"/>
      <c r="J67" s="2"/>
      <c r="K67" s="2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4.25" customHeight="1" x14ac:dyDescent="0.2">
      <c r="A68" s="14"/>
      <c r="B68" s="20" t="s">
        <v>1372</v>
      </c>
      <c r="C68" s="11">
        <v>188751</v>
      </c>
      <c r="D68" s="11">
        <f>188751+146396+177714</f>
        <v>512861</v>
      </c>
      <c r="E68" s="11">
        <f>(188751-47798)+146396+177714-177714</f>
        <v>287349</v>
      </c>
      <c r="F68" s="11">
        <f>(188751-47798)+146396+177714-177714</f>
        <v>287349</v>
      </c>
      <c r="G68" s="11"/>
      <c r="H68" s="11">
        <v>188751</v>
      </c>
      <c r="I68" s="57"/>
      <c r="K68" s="2"/>
      <c r="L68" s="7"/>
      <c r="M68" s="7"/>
      <c r="N68" s="7"/>
      <c r="O68" s="7"/>
      <c r="P68" s="2"/>
      <c r="Q68" s="2"/>
      <c r="R68" s="7"/>
      <c r="S68" s="7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x14ac:dyDescent="0.2">
      <c r="A69" s="14"/>
      <c r="B69" s="20" t="s">
        <v>1371</v>
      </c>
      <c r="C69" s="11">
        <v>0</v>
      </c>
      <c r="D69" s="11">
        <v>0</v>
      </c>
      <c r="E69" s="11">
        <v>177714</v>
      </c>
      <c r="F69" s="11">
        <v>177714</v>
      </c>
      <c r="G69" s="11"/>
      <c r="H69" s="11"/>
      <c r="I69" s="57"/>
      <c r="K69" s="2"/>
      <c r="L69" s="7"/>
      <c r="M69" s="7"/>
      <c r="N69" s="7"/>
      <c r="O69" s="7"/>
      <c r="P69" s="2"/>
      <c r="Q69" s="2"/>
      <c r="R69" s="7"/>
      <c r="S69" s="7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x14ac:dyDescent="0.2">
      <c r="A70" s="14"/>
      <c r="B70" s="20" t="s">
        <v>1373</v>
      </c>
      <c r="C70" s="11">
        <v>0</v>
      </c>
      <c r="D70" s="11">
        <v>0</v>
      </c>
      <c r="E70" s="11">
        <v>47798</v>
      </c>
      <c r="F70" s="11">
        <v>47798</v>
      </c>
      <c r="G70" s="11"/>
      <c r="H70" s="11"/>
      <c r="I70" s="57"/>
      <c r="K70" s="2"/>
      <c r="L70" s="7"/>
      <c r="M70" s="7"/>
      <c r="N70" s="7"/>
      <c r="O70" s="7"/>
      <c r="P70" s="2"/>
      <c r="Q70" s="2"/>
      <c r="R70" s="7"/>
      <c r="S70" s="7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3.5" customHeight="1" x14ac:dyDescent="0.2">
      <c r="A71" s="14"/>
      <c r="B71" s="8" t="s">
        <v>1256</v>
      </c>
      <c r="C71" s="11">
        <v>220907</v>
      </c>
      <c r="D71" s="11">
        <v>220907</v>
      </c>
      <c r="E71" s="11">
        <v>220907</v>
      </c>
      <c r="F71" s="11">
        <v>220907</v>
      </c>
      <c r="G71" s="11"/>
      <c r="H71" s="11">
        <v>220907</v>
      </c>
      <c r="I71" s="57"/>
      <c r="K71" s="2"/>
      <c r="L71" s="7"/>
      <c r="M71" s="7"/>
      <c r="N71" s="7"/>
      <c r="O71" s="7"/>
      <c r="P71" s="2"/>
      <c r="Q71" s="2"/>
      <c r="R71" s="7"/>
      <c r="S71" s="7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3.5" customHeight="1" x14ac:dyDescent="0.2">
      <c r="A72" s="14"/>
      <c r="B72" s="14" t="s">
        <v>342</v>
      </c>
      <c r="C72" s="148">
        <f>SUM(C73:C81)</f>
        <v>35234</v>
      </c>
      <c r="D72" s="148">
        <f>SUM(D73:D81)</f>
        <v>35234</v>
      </c>
      <c r="E72" s="148">
        <f>SUM(E73:E81)</f>
        <v>35234</v>
      </c>
      <c r="F72" s="148">
        <f>SUM(F73:F81)</f>
        <v>259072</v>
      </c>
      <c r="G72" s="148"/>
      <c r="H72" s="148">
        <f>SUM(H73:H81)</f>
        <v>135234</v>
      </c>
      <c r="I72" s="57"/>
      <c r="J72" s="7"/>
      <c r="K72" s="2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3.5" customHeight="1" x14ac:dyDescent="0.2">
      <c r="A73" s="14"/>
      <c r="B73" s="8" t="s">
        <v>1263</v>
      </c>
      <c r="C73" s="11">
        <v>30234</v>
      </c>
      <c r="D73" s="11">
        <v>30234</v>
      </c>
      <c r="E73" s="11">
        <v>30234</v>
      </c>
      <c r="F73" s="11">
        <v>30234</v>
      </c>
      <c r="G73" s="11"/>
      <c r="H73" s="11">
        <v>30234</v>
      </c>
      <c r="I73" s="57"/>
      <c r="J73" s="7"/>
      <c r="K73" s="2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3.5" hidden="1" customHeight="1" x14ac:dyDescent="0.2">
      <c r="A74" s="14"/>
      <c r="B74" s="669">
        <v>0</v>
      </c>
      <c r="C74" s="530">
        <v>0</v>
      </c>
      <c r="D74" s="530">
        <v>0</v>
      </c>
      <c r="E74" s="530">
        <v>0</v>
      </c>
      <c r="F74" s="530">
        <v>0</v>
      </c>
      <c r="G74" s="11"/>
      <c r="H74" s="11">
        <v>50000</v>
      </c>
      <c r="I74" s="57"/>
      <c r="J74" s="7"/>
      <c r="K74" s="2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3.5" customHeight="1" x14ac:dyDescent="0.2">
      <c r="A75" s="14"/>
      <c r="B75" s="8" t="s">
        <v>1273</v>
      </c>
      <c r="C75" s="13">
        <v>5000</v>
      </c>
      <c r="D75" s="13">
        <v>5000</v>
      </c>
      <c r="E75" s="13">
        <v>5000</v>
      </c>
      <c r="F75" s="13">
        <v>5000</v>
      </c>
      <c r="G75" s="11"/>
      <c r="H75" s="11">
        <v>50000</v>
      </c>
      <c r="I75" s="57"/>
      <c r="J75" s="7"/>
      <c r="K75" s="2"/>
      <c r="L75" s="7"/>
      <c r="M75" s="7"/>
      <c r="N75" s="7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3.5" customHeight="1" x14ac:dyDescent="0.2">
      <c r="A76" s="14"/>
      <c r="B76" s="8" t="s">
        <v>1382</v>
      </c>
      <c r="C76" s="13">
        <v>0</v>
      </c>
      <c r="D76" s="13">
        <v>0</v>
      </c>
      <c r="E76" s="13">
        <v>0</v>
      </c>
      <c r="F76" s="13">
        <v>200552</v>
      </c>
      <c r="G76" s="13"/>
      <c r="H76" s="13">
        <v>5000</v>
      </c>
      <c r="I76" s="57"/>
      <c r="J76" s="7"/>
      <c r="K76" s="2"/>
      <c r="L76" s="7"/>
      <c r="M76" s="7"/>
      <c r="N76" s="7"/>
      <c r="O76" s="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3.5" customHeight="1" x14ac:dyDescent="0.2">
      <c r="A77" s="14"/>
      <c r="B77" s="8" t="s">
        <v>1412</v>
      </c>
      <c r="C77" s="11">
        <v>0</v>
      </c>
      <c r="D77" s="11"/>
      <c r="E77" s="11">
        <v>0</v>
      </c>
      <c r="F77" s="11">
        <v>23286</v>
      </c>
      <c r="G77" s="11"/>
      <c r="H77" s="11"/>
      <c r="I77" s="57"/>
      <c r="J77" s="7"/>
      <c r="K77" s="2"/>
      <c r="L77" s="7"/>
      <c r="M77" s="7"/>
      <c r="N77" s="7"/>
      <c r="O77" s="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3.5" hidden="1" customHeight="1" x14ac:dyDescent="0.2">
      <c r="A78" s="14"/>
      <c r="B78" s="8"/>
      <c r="C78" s="11"/>
      <c r="D78" s="11"/>
      <c r="E78" s="11"/>
      <c r="F78" s="11"/>
      <c r="G78" s="11"/>
      <c r="H78" s="11"/>
      <c r="I78" s="57"/>
      <c r="J78" s="7"/>
      <c r="K78" s="7"/>
      <c r="L78" s="7"/>
      <c r="M78" s="7"/>
      <c r="N78" s="7"/>
      <c r="O78" s="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3.5" hidden="1" customHeight="1" x14ac:dyDescent="0.2">
      <c r="A79" s="14"/>
      <c r="B79" s="8"/>
      <c r="C79" s="11"/>
      <c r="D79" s="11"/>
      <c r="E79" s="11"/>
      <c r="F79" s="11"/>
      <c r="G79" s="11"/>
      <c r="H79" s="11"/>
      <c r="I79" s="57"/>
      <c r="J79" s="7"/>
      <c r="K79" s="2"/>
      <c r="L79" s="7"/>
      <c r="M79" s="7"/>
      <c r="N79" s="7"/>
      <c r="O79" s="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3.5" hidden="1" customHeight="1" x14ac:dyDescent="0.2">
      <c r="A80" s="14"/>
      <c r="B80" s="8"/>
      <c r="C80" s="11"/>
      <c r="D80" s="11"/>
      <c r="E80" s="11"/>
      <c r="F80" s="11"/>
      <c r="G80" s="11"/>
      <c r="H80" s="11"/>
      <c r="I80" s="57"/>
      <c r="J80" s="7"/>
      <c r="K80" s="2"/>
      <c r="L80" s="7"/>
      <c r="M80" s="7"/>
      <c r="N80" s="7"/>
      <c r="O80" s="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3.5" hidden="1" customHeight="1" x14ac:dyDescent="0.2">
      <c r="A81" s="14"/>
      <c r="B81" s="8"/>
      <c r="C81" s="11"/>
      <c r="D81" s="11"/>
      <c r="E81" s="11"/>
      <c r="F81" s="11"/>
      <c r="G81" s="11"/>
      <c r="H81" s="11"/>
      <c r="I81" s="57"/>
      <c r="J81" s="7"/>
      <c r="K81" s="2"/>
      <c r="L81" s="7"/>
      <c r="M81" s="7"/>
      <c r="N81" s="7"/>
      <c r="O81" s="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5" x14ac:dyDescent="0.25">
      <c r="A82" s="14" t="s">
        <v>354</v>
      </c>
      <c r="B82" s="564" t="s">
        <v>13</v>
      </c>
      <c r="C82" s="566">
        <f>SUM(C83:C85)</f>
        <v>80000</v>
      </c>
      <c r="D82" s="566">
        <f>SUM(D83:D85)</f>
        <v>719663</v>
      </c>
      <c r="E82" s="566">
        <f>SUM(E83:E85)</f>
        <v>719663</v>
      </c>
      <c r="F82" s="566">
        <f>SUM(F83:F85)</f>
        <v>961058</v>
      </c>
      <c r="G82" s="566"/>
      <c r="H82" s="566">
        <f>SUM(H83:H85)</f>
        <v>0</v>
      </c>
      <c r="I82" s="5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3.5" customHeight="1" x14ac:dyDescent="0.2">
      <c r="A83" s="8" t="s">
        <v>1033</v>
      </c>
      <c r="B83" s="20" t="s">
        <v>1064</v>
      </c>
      <c r="C83" s="13">
        <v>0</v>
      </c>
      <c r="D83" s="13">
        <v>0</v>
      </c>
      <c r="E83" s="13">
        <v>0</v>
      </c>
      <c r="F83" s="13">
        <v>0</v>
      </c>
      <c r="G83" s="13"/>
      <c r="H83" s="13">
        <v>0</v>
      </c>
      <c r="I83" s="5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3.5" customHeight="1" x14ac:dyDescent="0.2">
      <c r="A84" s="8" t="s">
        <v>1042</v>
      </c>
      <c r="B84" s="20" t="s">
        <v>1065</v>
      </c>
      <c r="C84" s="13">
        <v>0</v>
      </c>
      <c r="D84" s="13">
        <v>0</v>
      </c>
      <c r="E84" s="13">
        <v>0</v>
      </c>
      <c r="F84" s="13">
        <v>0</v>
      </c>
      <c r="G84" s="13"/>
      <c r="H84" s="13">
        <v>0</v>
      </c>
      <c r="I84" s="5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x14ac:dyDescent="0.2">
      <c r="A85" s="14"/>
      <c r="B85" s="8" t="s">
        <v>1320</v>
      </c>
      <c r="C85" s="13">
        <f>30000+50000</f>
        <v>80000</v>
      </c>
      <c r="D85" s="13">
        <f>30000+50000-20000-2128+675428-13637</f>
        <v>719663</v>
      </c>
      <c r="E85" s="13">
        <f>30000+50000-20000-2128+675428-13637</f>
        <v>719663</v>
      </c>
      <c r="F85" s="13">
        <f>(30000+50000-20000-2128+675428-13637)-7753+249448-300</f>
        <v>961058</v>
      </c>
      <c r="G85" s="13"/>
      <c r="H85" s="13">
        <v>0</v>
      </c>
      <c r="J85" s="677" t="s">
        <v>1283</v>
      </c>
      <c r="K85" s="2"/>
      <c r="L85" s="2"/>
      <c r="M85" s="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idden="1" x14ac:dyDescent="0.2">
      <c r="A86" s="14"/>
      <c r="B86" s="8" t="s">
        <v>982</v>
      </c>
      <c r="C86" s="13">
        <v>0</v>
      </c>
      <c r="D86" s="13"/>
      <c r="E86" s="13"/>
      <c r="F86" s="13"/>
      <c r="G86" s="13"/>
      <c r="H86" s="13">
        <v>0</v>
      </c>
      <c r="I86" s="5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.75" x14ac:dyDescent="0.2">
      <c r="A87" s="14" t="s">
        <v>206</v>
      </c>
      <c r="B87" s="187" t="s">
        <v>343</v>
      </c>
      <c r="C87" s="532">
        <f>SUM(C88+C91+C92)</f>
        <v>58156</v>
      </c>
      <c r="D87" s="532">
        <f>SUM(D88+D91+D92)</f>
        <v>58156</v>
      </c>
      <c r="E87" s="532">
        <f>SUM(E88+E91+E92)</f>
        <v>58156</v>
      </c>
      <c r="F87" s="532">
        <f>SUM(F88+F91+F92)</f>
        <v>58156</v>
      </c>
      <c r="G87" s="532"/>
      <c r="H87" s="532">
        <f>SUM(H88+H91+H92)</f>
        <v>58156</v>
      </c>
      <c r="I87" s="55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5" customHeight="1" x14ac:dyDescent="0.2">
      <c r="A88" s="14"/>
      <c r="B88" s="189" t="s">
        <v>378</v>
      </c>
      <c r="C88" s="533">
        <f>SUM(C90)</f>
        <v>58156</v>
      </c>
      <c r="D88" s="533">
        <f>SUM(D90)</f>
        <v>58156</v>
      </c>
      <c r="E88" s="533">
        <f>SUM(E90)</f>
        <v>58156</v>
      </c>
      <c r="F88" s="533">
        <f>SUM(F90)</f>
        <v>58156</v>
      </c>
      <c r="G88" s="533"/>
      <c r="H88" s="533">
        <f>SUM(H90)</f>
        <v>58156</v>
      </c>
      <c r="I88" s="55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3.5" hidden="1" customHeight="1" x14ac:dyDescent="0.2">
      <c r="A89" s="14"/>
      <c r="B89" s="224" t="s">
        <v>379</v>
      </c>
      <c r="C89" s="188"/>
      <c r="D89" s="188"/>
      <c r="E89" s="188"/>
      <c r="F89" s="188"/>
      <c r="G89" s="188"/>
      <c r="H89" s="188"/>
      <c r="I89" s="55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3.5" customHeight="1" x14ac:dyDescent="0.2">
      <c r="A90" s="8" t="s">
        <v>1342</v>
      </c>
      <c r="B90" s="224" t="s">
        <v>1057</v>
      </c>
      <c r="C90" s="83">
        <v>58156</v>
      </c>
      <c r="D90" s="83">
        <f>58156</f>
        <v>58156</v>
      </c>
      <c r="E90" s="83">
        <f>58156</f>
        <v>58156</v>
      </c>
      <c r="F90" s="83">
        <f>58156</f>
        <v>58156</v>
      </c>
      <c r="G90" s="83"/>
      <c r="H90" s="83">
        <v>58156</v>
      </c>
      <c r="I90" s="55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5" customHeight="1" x14ac:dyDescent="0.2">
      <c r="A91" s="14"/>
      <c r="B91" s="189" t="s">
        <v>380</v>
      </c>
      <c r="C91" s="188">
        <v>0</v>
      </c>
      <c r="D91" s="188">
        <v>0</v>
      </c>
      <c r="E91" s="188">
        <v>0</v>
      </c>
      <c r="F91" s="188">
        <v>0</v>
      </c>
      <c r="G91" s="188"/>
      <c r="H91" s="188">
        <v>0</v>
      </c>
      <c r="I91" s="55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5" customHeight="1" thickBot="1" x14ac:dyDescent="0.25">
      <c r="A92" s="22"/>
      <c r="B92" s="186" t="s">
        <v>381</v>
      </c>
      <c r="C92" s="175">
        <v>0</v>
      </c>
      <c r="D92" s="175">
        <v>0</v>
      </c>
      <c r="E92" s="175">
        <v>0</v>
      </c>
      <c r="F92" s="175">
        <v>0</v>
      </c>
      <c r="G92" s="175"/>
      <c r="H92" s="175">
        <v>0</v>
      </c>
      <c r="I92" s="55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24" customHeight="1" thickBot="1" x14ac:dyDescent="0.4">
      <c r="A93" s="217"/>
      <c r="B93" s="251" t="s">
        <v>377</v>
      </c>
      <c r="C93" s="227">
        <f>SUM(C43+C87)</f>
        <v>588696</v>
      </c>
      <c r="D93" s="227">
        <f>SUM(D43+D87)</f>
        <v>1574597</v>
      </c>
      <c r="E93" s="227">
        <f>SUM(E43+E87)</f>
        <v>1574597</v>
      </c>
      <c r="F93" s="227">
        <f>SUM(F43+F87)</f>
        <v>2042130</v>
      </c>
      <c r="G93" s="227"/>
      <c r="H93" s="227">
        <f>SUM(H43+H87)</f>
        <v>608696</v>
      </c>
      <c r="I93" s="594"/>
      <c r="J93" s="7">
        <f>C93-C42</f>
        <v>48285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hidden="1" customHeight="1" x14ac:dyDescent="0.2">
      <c r="B94" s="2"/>
      <c r="C94" s="7">
        <f>SUM(C42-C93)</f>
        <v>-48285</v>
      </c>
      <c r="D94" s="7">
        <f>SUM(D42-D93)</f>
        <v>13576</v>
      </c>
      <c r="E94" s="7">
        <f>SUM(E42-E93)</f>
        <v>13576</v>
      </c>
      <c r="F94" s="7">
        <f>SUM(F42-F93)</f>
        <v>14133</v>
      </c>
      <c r="G94" s="7"/>
      <c r="H94" s="7">
        <f>SUM(H42-H93)</f>
        <v>-38185</v>
      </c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s="170" customFormat="1" ht="13.5" hidden="1" customHeight="1" x14ac:dyDescent="0.2">
      <c r="A95" s="90"/>
      <c r="B95" s="170" t="s">
        <v>333</v>
      </c>
      <c r="C95" s="37">
        <f>SUM(C42-C93)</f>
        <v>-48285</v>
      </c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</row>
    <row r="96" spans="1:43" s="170" customFormat="1" ht="13.5" hidden="1" customHeight="1" x14ac:dyDescent="0.2">
      <c r="A96" s="90"/>
      <c r="B96" s="264" t="s">
        <v>1058</v>
      </c>
      <c r="C96" s="37" t="e">
        <f>-SUM('8.Önk.'!#REF!)</f>
        <v>#REF!</v>
      </c>
      <c r="D96" s="37"/>
      <c r="E96" s="37"/>
      <c r="F96" s="37"/>
      <c r="G96" s="37"/>
      <c r="H96" s="37"/>
      <c r="I96" s="37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</row>
    <row r="97" spans="1:43" s="170" customFormat="1" ht="13.5" hidden="1" customHeight="1" x14ac:dyDescent="0.2">
      <c r="A97" s="90"/>
      <c r="B97" s="170" t="s">
        <v>1059</v>
      </c>
      <c r="C97" s="37">
        <f>-SUM('8.Önk.'!O140)</f>
        <v>-71827</v>
      </c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</row>
    <row r="98" spans="1:43" s="170" customFormat="1" ht="13.5" customHeight="1" x14ac:dyDescent="0.2">
      <c r="A98" s="90"/>
      <c r="C98" s="169"/>
      <c r="D98" s="169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</row>
    <row r="99" spans="1:43" s="170" customFormat="1" ht="13.5" customHeight="1" x14ac:dyDescent="0.2">
      <c r="A99" s="90"/>
      <c r="C99" s="169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</row>
    <row r="100" spans="1:43" s="170" customFormat="1" ht="13.5" customHeight="1" x14ac:dyDescent="0.2">
      <c r="A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</row>
    <row r="101" spans="1:43" s="170" customFormat="1" ht="13.5" customHeight="1" x14ac:dyDescent="0.2">
      <c r="A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</row>
    <row r="102" spans="1:43" s="170" customFormat="1" ht="13.5" customHeight="1" x14ac:dyDescent="0.2">
      <c r="A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</row>
    <row r="103" spans="1:43" s="170" customFormat="1" ht="13.5" customHeight="1" x14ac:dyDescent="0.2">
      <c r="A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</row>
    <row r="104" spans="1:43" s="170" customFormat="1" ht="13.5" customHeight="1" x14ac:dyDescent="0.2">
      <c r="A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</row>
    <row r="105" spans="1:43" s="170" customFormat="1" ht="13.5" customHeight="1" x14ac:dyDescent="0.2">
      <c r="A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</row>
    <row r="106" spans="1:43" s="170" customFormat="1" ht="13.5" customHeight="1" x14ac:dyDescent="0.2">
      <c r="A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</row>
    <row r="107" spans="1:43" s="170" customFormat="1" ht="13.5" customHeight="1" x14ac:dyDescent="0.2">
      <c r="A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</row>
    <row r="108" spans="1:43" s="170" customFormat="1" ht="13.5" customHeight="1" x14ac:dyDescent="0.2">
      <c r="A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</row>
    <row r="109" spans="1:43" s="170" customFormat="1" ht="13.5" customHeight="1" x14ac:dyDescent="0.2">
      <c r="A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</row>
    <row r="110" spans="1:43" s="170" customFormat="1" ht="13.5" customHeight="1" x14ac:dyDescent="0.2">
      <c r="A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</row>
    <row r="111" spans="1:43" ht="15.75" customHeight="1" x14ac:dyDescent="0.2">
      <c r="B111" s="2"/>
      <c r="C111" s="192"/>
      <c r="D111" s="192"/>
      <c r="E111" s="192"/>
      <c r="F111" s="192"/>
      <c r="G111" s="192"/>
      <c r="H111" s="192"/>
      <c r="I111" s="19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5.75" customHeight="1" x14ac:dyDescent="0.2">
      <c r="B112" s="2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5.75" customHeight="1" x14ac:dyDescent="0.2">
      <c r="B113" s="2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5.75" customHeight="1" x14ac:dyDescent="0.2">
      <c r="A1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5.75" customHeight="1" x14ac:dyDescent="0.2">
      <c r="A13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5.75" customHeight="1" x14ac:dyDescent="0.2">
      <c r="A15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5.75" customHeight="1" x14ac:dyDescent="0.2">
      <c r="A15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5.75" customHeight="1" x14ac:dyDescent="0.2">
      <c r="A1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5.75" customHeight="1" x14ac:dyDescent="0.2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5.75" customHeight="1" x14ac:dyDescent="0.2">
      <c r="A155"/>
      <c r="B155" s="2"/>
      <c r="C155" s="29"/>
      <c r="D155" s="29"/>
      <c r="E155" s="29"/>
      <c r="F155" s="29"/>
      <c r="G155" s="29"/>
      <c r="H155" s="29"/>
      <c r="I155" s="2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5.75" customHeight="1" x14ac:dyDescent="0.2">
      <c r="A156"/>
      <c r="B156" s="2"/>
      <c r="C156" s="29"/>
      <c r="D156" s="29"/>
      <c r="E156" s="29"/>
      <c r="F156" s="29"/>
      <c r="G156" s="29"/>
      <c r="H156" s="29"/>
      <c r="I156" s="2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5.75" customHeight="1" x14ac:dyDescent="0.2">
      <c r="A157"/>
      <c r="B157" s="2"/>
      <c r="C157" s="29"/>
      <c r="D157" s="29"/>
      <c r="E157" s="29"/>
      <c r="F157" s="29"/>
      <c r="G157" s="29"/>
      <c r="H157" s="29"/>
      <c r="I157" s="2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5.75" customHeight="1" x14ac:dyDescent="0.2">
      <c r="A158"/>
      <c r="B158" s="2"/>
      <c r="C158" s="29"/>
      <c r="D158" s="29"/>
      <c r="E158" s="29"/>
      <c r="F158" s="29"/>
      <c r="G158" s="29"/>
      <c r="H158" s="29"/>
      <c r="I158" s="2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5.75" customHeight="1" x14ac:dyDescent="0.2">
      <c r="A159"/>
      <c r="B159" s="2"/>
      <c r="C159" s="29"/>
      <c r="D159" s="29"/>
      <c r="E159" s="29"/>
      <c r="F159" s="29"/>
      <c r="G159" s="29"/>
      <c r="H159" s="29"/>
      <c r="I159" s="29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5.75" customHeight="1" x14ac:dyDescent="0.2">
      <c r="A160"/>
      <c r="B160" s="2"/>
      <c r="C160" s="29"/>
      <c r="D160" s="29"/>
      <c r="E160" s="29"/>
      <c r="F160" s="29"/>
      <c r="G160" s="29"/>
      <c r="H160" s="29"/>
      <c r="I160" s="29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5.75" customHeight="1" x14ac:dyDescent="0.2">
      <c r="A161"/>
      <c r="B161" s="2"/>
      <c r="C161" s="29"/>
      <c r="D161" s="29"/>
      <c r="E161" s="29"/>
      <c r="F161" s="29"/>
      <c r="G161" s="29"/>
      <c r="H161" s="29"/>
      <c r="I161" s="2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5.75" customHeight="1" x14ac:dyDescent="0.2">
      <c r="A162"/>
      <c r="B162" s="2"/>
      <c r="C162" s="29"/>
      <c r="D162" s="29"/>
      <c r="E162" s="29"/>
      <c r="F162" s="29"/>
      <c r="G162" s="29"/>
      <c r="H162" s="29"/>
      <c r="I162" s="2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5.75" customHeight="1" x14ac:dyDescent="0.2">
      <c r="A163"/>
      <c r="B163" s="2"/>
      <c r="C163" s="29"/>
      <c r="D163" s="29"/>
      <c r="E163" s="29"/>
      <c r="F163" s="29"/>
      <c r="G163" s="29"/>
      <c r="H163" s="29"/>
      <c r="I163" s="29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5.75" customHeight="1" x14ac:dyDescent="0.2">
      <c r="A164"/>
      <c r="B164" s="2"/>
      <c r="C164" s="29"/>
      <c r="D164" s="29"/>
      <c r="E164" s="29"/>
      <c r="F164" s="29"/>
      <c r="G164" s="29"/>
      <c r="H164" s="29"/>
      <c r="I164" s="29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5.75" customHeight="1" x14ac:dyDescent="0.2">
      <c r="A165"/>
      <c r="B165" s="2"/>
      <c r="C165" s="29"/>
      <c r="D165" s="29"/>
      <c r="E165" s="29"/>
      <c r="F165" s="29"/>
      <c r="G165" s="29"/>
      <c r="H165" s="29"/>
      <c r="I165" s="2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5.75" customHeight="1" x14ac:dyDescent="0.2">
      <c r="A166"/>
      <c r="B166" s="2"/>
      <c r="C166" s="29"/>
      <c r="D166" s="29"/>
      <c r="E166" s="29"/>
      <c r="F166" s="29"/>
      <c r="G166" s="29"/>
      <c r="H166" s="29"/>
      <c r="I166" s="29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5.75" customHeight="1" x14ac:dyDescent="0.2">
      <c r="A167"/>
      <c r="B167" s="2"/>
      <c r="C167" s="29"/>
      <c r="D167" s="29"/>
      <c r="E167" s="29"/>
      <c r="F167" s="29"/>
      <c r="G167" s="29"/>
      <c r="H167" s="29"/>
      <c r="I167" s="29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5.75" customHeight="1" x14ac:dyDescent="0.2">
      <c r="A168"/>
      <c r="B168" s="2"/>
      <c r="C168" s="29"/>
      <c r="D168" s="29"/>
      <c r="E168" s="29"/>
      <c r="F168" s="29"/>
      <c r="G168" s="29"/>
      <c r="H168" s="29"/>
      <c r="I168" s="2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5.75" customHeight="1" x14ac:dyDescent="0.2">
      <c r="A169"/>
      <c r="B169" s="2"/>
      <c r="C169" s="29"/>
      <c r="D169" s="29"/>
      <c r="E169" s="29"/>
      <c r="F169" s="29"/>
      <c r="G169" s="29"/>
      <c r="H169" s="29"/>
      <c r="I169" s="2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5.75" customHeight="1" x14ac:dyDescent="0.2">
      <c r="A170"/>
      <c r="B170" s="2"/>
      <c r="C170" s="29"/>
      <c r="D170" s="29"/>
      <c r="E170" s="29"/>
      <c r="F170" s="29"/>
      <c r="G170" s="29"/>
      <c r="H170" s="29"/>
      <c r="I170" s="29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5.75" customHeight="1" x14ac:dyDescent="0.2">
      <c r="A171"/>
      <c r="B171" s="2"/>
      <c r="C171" s="29"/>
      <c r="D171" s="29"/>
      <c r="E171" s="29"/>
      <c r="F171" s="29"/>
      <c r="G171" s="29"/>
      <c r="H171" s="29"/>
      <c r="I171" s="2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5.75" customHeight="1" x14ac:dyDescent="0.2">
      <c r="A172"/>
      <c r="B172" s="2"/>
      <c r="C172" s="29"/>
      <c r="D172" s="29"/>
      <c r="E172" s="29"/>
      <c r="F172" s="29"/>
      <c r="G172" s="29"/>
      <c r="H172" s="29"/>
      <c r="I172" s="2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5.75" customHeight="1" x14ac:dyDescent="0.2">
      <c r="A173"/>
      <c r="B173" s="2"/>
      <c r="C173" s="29"/>
      <c r="D173" s="29"/>
      <c r="E173" s="29"/>
      <c r="F173" s="29"/>
      <c r="G173" s="29"/>
      <c r="H173" s="29"/>
      <c r="I173" s="2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5.75" customHeight="1" x14ac:dyDescent="0.2">
      <c r="A174"/>
      <c r="B174" s="2"/>
      <c r="C174" s="29"/>
      <c r="D174" s="29"/>
      <c r="E174" s="29"/>
      <c r="F174" s="29"/>
      <c r="G174" s="29"/>
      <c r="H174" s="29"/>
      <c r="I174" s="2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5.75" customHeight="1" x14ac:dyDescent="0.2">
      <c r="A175"/>
      <c r="B175" s="2"/>
      <c r="C175" s="29"/>
      <c r="D175" s="29"/>
      <c r="E175" s="29"/>
      <c r="F175" s="29"/>
      <c r="G175" s="29"/>
      <c r="H175" s="29"/>
      <c r="I175" s="2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5.75" customHeight="1" x14ac:dyDescent="0.2">
      <c r="A176"/>
      <c r="B176" s="2"/>
      <c r="C176" s="29"/>
      <c r="D176" s="29"/>
      <c r="E176" s="29"/>
      <c r="F176" s="29"/>
      <c r="G176" s="29"/>
      <c r="H176" s="29"/>
      <c r="I176" s="2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5.75" customHeight="1" x14ac:dyDescent="0.2">
      <c r="A177"/>
      <c r="B177" s="2"/>
      <c r="C177" s="29"/>
      <c r="D177" s="29"/>
      <c r="E177" s="29"/>
      <c r="F177" s="29"/>
      <c r="G177" s="29"/>
      <c r="H177" s="29"/>
      <c r="I177" s="2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5.75" customHeight="1" x14ac:dyDescent="0.2">
      <c r="A178"/>
      <c r="B178" s="2"/>
      <c r="C178" s="29"/>
      <c r="D178" s="29"/>
      <c r="E178" s="29"/>
      <c r="F178" s="29"/>
      <c r="G178" s="29"/>
      <c r="H178" s="29"/>
      <c r="I178" s="2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5.75" customHeight="1" x14ac:dyDescent="0.2">
      <c r="A179"/>
      <c r="B179" s="2"/>
      <c r="C179" s="29"/>
      <c r="D179" s="29"/>
      <c r="E179" s="29"/>
      <c r="F179" s="29"/>
      <c r="G179" s="29"/>
      <c r="H179" s="29"/>
      <c r="I179" s="29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5.75" customHeight="1" x14ac:dyDescent="0.2">
      <c r="A180"/>
      <c r="B180" s="2"/>
      <c r="C180" s="29"/>
      <c r="D180" s="29"/>
      <c r="E180" s="29"/>
      <c r="F180" s="29"/>
      <c r="G180" s="29"/>
      <c r="H180" s="29"/>
      <c r="I180" s="29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5.75" customHeight="1" x14ac:dyDescent="0.2">
      <c r="A181"/>
      <c r="B181" s="2"/>
      <c r="C181" s="29"/>
      <c r="D181" s="29"/>
      <c r="E181" s="29"/>
      <c r="F181" s="29"/>
      <c r="G181" s="29"/>
      <c r="H181" s="29"/>
      <c r="I181" s="29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5.75" customHeight="1" x14ac:dyDescent="0.2">
      <c r="A182"/>
      <c r="B182" s="2"/>
      <c r="C182" s="29"/>
      <c r="D182" s="29"/>
      <c r="E182" s="29"/>
      <c r="F182" s="29"/>
      <c r="G182" s="29"/>
      <c r="H182" s="29"/>
      <c r="I182" s="29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5.75" customHeight="1" x14ac:dyDescent="0.2">
      <c r="A183"/>
      <c r="B183" s="2"/>
      <c r="C183" s="29"/>
      <c r="D183" s="29"/>
      <c r="E183" s="29"/>
      <c r="F183" s="29"/>
      <c r="G183" s="29"/>
      <c r="H183" s="29"/>
      <c r="I183" s="29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5.75" customHeight="1" x14ac:dyDescent="0.2">
      <c r="A184"/>
      <c r="B184" s="2"/>
      <c r="C184" s="29"/>
      <c r="D184" s="29"/>
      <c r="E184" s="29"/>
      <c r="F184" s="29"/>
      <c r="G184" s="29"/>
      <c r="H184" s="29"/>
      <c r="I184" s="29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5.75" customHeight="1" x14ac:dyDescent="0.2">
      <c r="A185"/>
      <c r="B185" s="2"/>
      <c r="C185" s="29"/>
      <c r="D185" s="29"/>
      <c r="E185" s="29"/>
      <c r="F185" s="29"/>
      <c r="G185" s="29"/>
      <c r="H185" s="29"/>
      <c r="I185" s="29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5.75" customHeight="1" x14ac:dyDescent="0.2">
      <c r="A186"/>
      <c r="B186" s="2"/>
      <c r="C186" s="29"/>
      <c r="D186" s="29"/>
      <c r="E186" s="29"/>
      <c r="F186" s="29"/>
      <c r="G186" s="29"/>
      <c r="H186" s="29"/>
      <c r="I186" s="29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5.75" customHeight="1" x14ac:dyDescent="0.2">
      <c r="A187"/>
      <c r="B187" s="2"/>
      <c r="C187" s="29"/>
      <c r="D187" s="29"/>
      <c r="E187" s="29"/>
      <c r="F187" s="29"/>
      <c r="G187" s="29"/>
      <c r="H187" s="29"/>
      <c r="I187" s="29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5.75" customHeight="1" x14ac:dyDescent="0.2">
      <c r="A188"/>
      <c r="B188" s="2"/>
      <c r="C188" s="29"/>
      <c r="D188" s="29"/>
      <c r="E188" s="29"/>
      <c r="F188" s="29"/>
      <c r="G188" s="29"/>
      <c r="H188" s="29"/>
      <c r="I188" s="29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5.75" customHeight="1" x14ac:dyDescent="0.2">
      <c r="A189"/>
      <c r="B189" s="2"/>
      <c r="C189" s="29"/>
      <c r="D189" s="29"/>
      <c r="E189" s="29"/>
      <c r="F189" s="29"/>
      <c r="G189" s="29"/>
      <c r="H189" s="29"/>
      <c r="I189" s="29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5.75" customHeight="1" x14ac:dyDescent="0.2">
      <c r="A190"/>
      <c r="B190" s="2"/>
      <c r="C190" s="29"/>
      <c r="D190" s="29"/>
      <c r="E190" s="29"/>
      <c r="F190" s="29"/>
      <c r="G190" s="29"/>
      <c r="H190" s="29"/>
      <c r="I190" s="29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5.75" customHeight="1" x14ac:dyDescent="0.2">
      <c r="A191"/>
      <c r="B191" s="2"/>
      <c r="C191" s="29"/>
      <c r="D191" s="29"/>
      <c r="E191" s="29"/>
      <c r="F191" s="29"/>
      <c r="G191" s="29"/>
      <c r="H191" s="29"/>
      <c r="I191" s="29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5.75" customHeight="1" x14ac:dyDescent="0.2">
      <c r="A192"/>
      <c r="B192" s="2"/>
      <c r="C192" s="29"/>
      <c r="D192" s="29"/>
      <c r="E192" s="29"/>
      <c r="F192" s="29"/>
      <c r="G192" s="29"/>
      <c r="H192" s="29"/>
      <c r="I192" s="29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5.75" customHeight="1" x14ac:dyDescent="0.2">
      <c r="A193"/>
      <c r="B193" s="2"/>
      <c r="C193" s="29"/>
      <c r="D193" s="29"/>
      <c r="E193" s="29"/>
      <c r="F193" s="29"/>
      <c r="G193" s="29"/>
      <c r="H193" s="29"/>
      <c r="I193" s="29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5.75" customHeight="1" x14ac:dyDescent="0.2">
      <c r="A194"/>
      <c r="B194" s="2"/>
      <c r="C194" s="29"/>
      <c r="D194" s="29"/>
      <c r="E194" s="29"/>
      <c r="F194" s="29"/>
      <c r="G194" s="29"/>
      <c r="H194" s="29"/>
      <c r="I194" s="29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5.75" customHeight="1" x14ac:dyDescent="0.2">
      <c r="A195"/>
      <c r="B195" s="2"/>
      <c r="C195" s="29"/>
      <c r="D195" s="29"/>
      <c r="E195" s="29"/>
      <c r="F195" s="29"/>
      <c r="G195" s="29"/>
      <c r="H195" s="29"/>
      <c r="I195" s="29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5.75" customHeight="1" x14ac:dyDescent="0.2">
      <c r="A196"/>
      <c r="B196" s="2"/>
      <c r="C196" s="29"/>
      <c r="D196" s="29"/>
      <c r="E196" s="29"/>
      <c r="F196" s="29"/>
      <c r="G196" s="29"/>
      <c r="H196" s="29"/>
      <c r="I196" s="29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5.75" customHeight="1" x14ac:dyDescent="0.2">
      <c r="A197"/>
      <c r="B197" s="2"/>
      <c r="C197" s="29"/>
      <c r="D197" s="29"/>
      <c r="E197" s="29"/>
      <c r="F197" s="29"/>
      <c r="G197" s="29"/>
      <c r="H197" s="29"/>
      <c r="I197" s="2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5.75" customHeight="1" x14ac:dyDescent="0.2">
      <c r="A198"/>
      <c r="B198" s="2"/>
      <c r="C198" s="29"/>
      <c r="D198" s="29"/>
      <c r="E198" s="29"/>
      <c r="F198" s="29"/>
      <c r="G198" s="29"/>
      <c r="H198" s="29"/>
      <c r="I198" s="29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5.75" customHeight="1" x14ac:dyDescent="0.2">
      <c r="A199"/>
      <c r="B199" s="2"/>
      <c r="C199" s="29"/>
      <c r="D199" s="29"/>
      <c r="E199" s="29"/>
      <c r="F199" s="29"/>
      <c r="G199" s="29"/>
      <c r="H199" s="29"/>
      <c r="I199" s="2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5.75" customHeight="1" x14ac:dyDescent="0.2">
      <c r="A200"/>
      <c r="B200" s="2"/>
      <c r="C200" s="29"/>
      <c r="D200" s="29"/>
      <c r="E200" s="29"/>
      <c r="F200" s="29"/>
      <c r="G200" s="29"/>
      <c r="H200" s="29"/>
      <c r="I200" s="2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5.75" customHeight="1" x14ac:dyDescent="0.2">
      <c r="A201"/>
      <c r="B201" s="2"/>
      <c r="C201" s="29"/>
      <c r="D201" s="29"/>
      <c r="E201" s="29"/>
      <c r="F201" s="29"/>
      <c r="G201" s="29"/>
      <c r="H201" s="29"/>
      <c r="I201" s="29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5.75" customHeight="1" x14ac:dyDescent="0.2">
      <c r="A202"/>
      <c r="B202" s="2"/>
      <c r="C202" s="29"/>
      <c r="D202" s="29"/>
      <c r="E202" s="29"/>
      <c r="F202" s="29"/>
      <c r="G202" s="29"/>
      <c r="H202" s="29"/>
      <c r="I202" s="29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5.75" customHeight="1" x14ac:dyDescent="0.2">
      <c r="A203"/>
      <c r="B203" s="2"/>
      <c r="C203" s="29"/>
      <c r="D203" s="29"/>
      <c r="E203" s="29"/>
      <c r="F203" s="29"/>
      <c r="G203" s="29"/>
      <c r="H203" s="29"/>
      <c r="I203" s="29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5.75" customHeight="1" x14ac:dyDescent="0.2">
      <c r="A204"/>
      <c r="B204" s="2"/>
      <c r="C204" s="29"/>
      <c r="D204" s="29"/>
      <c r="E204" s="29"/>
      <c r="F204" s="29"/>
      <c r="G204" s="29"/>
      <c r="H204" s="29"/>
      <c r="I204" s="2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5.75" customHeight="1" x14ac:dyDescent="0.2">
      <c r="A205"/>
      <c r="B205" s="2"/>
      <c r="C205" s="29"/>
      <c r="D205" s="29"/>
      <c r="E205" s="29"/>
      <c r="F205" s="29"/>
      <c r="G205" s="29"/>
      <c r="H205" s="29"/>
      <c r="I205" s="29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5.75" customHeight="1" x14ac:dyDescent="0.2">
      <c r="A206"/>
      <c r="B206" s="2"/>
      <c r="C206" s="29"/>
      <c r="D206" s="29"/>
      <c r="E206" s="29"/>
      <c r="F206" s="29"/>
      <c r="G206" s="29"/>
      <c r="H206" s="29"/>
      <c r="I206" s="29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5.75" customHeight="1" x14ac:dyDescent="0.2">
      <c r="A207"/>
      <c r="B207" s="2"/>
      <c r="C207" s="29"/>
      <c r="D207" s="29"/>
      <c r="E207" s="29"/>
      <c r="F207" s="29"/>
      <c r="G207" s="29"/>
      <c r="H207" s="29"/>
      <c r="I207" s="2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5.75" customHeight="1" x14ac:dyDescent="0.2">
      <c r="A208"/>
      <c r="B208" s="2"/>
      <c r="C208" s="29"/>
      <c r="D208" s="29"/>
      <c r="E208" s="29"/>
      <c r="F208" s="29"/>
      <c r="G208" s="29"/>
      <c r="H208" s="29"/>
      <c r="I208" s="2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5.75" customHeight="1" x14ac:dyDescent="0.2">
      <c r="A209"/>
      <c r="B209" s="2"/>
      <c r="C209" s="29"/>
      <c r="D209" s="29"/>
      <c r="E209" s="29"/>
      <c r="F209" s="29"/>
      <c r="G209" s="29"/>
      <c r="H209" s="29"/>
      <c r="I209" s="2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5.75" customHeight="1" x14ac:dyDescent="0.2">
      <c r="A210"/>
      <c r="B210" s="2"/>
      <c r="C210" s="29"/>
      <c r="D210" s="29"/>
      <c r="E210" s="29"/>
      <c r="F210" s="29"/>
      <c r="G210" s="29"/>
      <c r="H210" s="29"/>
      <c r="I210" s="2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5.75" customHeight="1" x14ac:dyDescent="0.2">
      <c r="A211"/>
      <c r="B211" s="2"/>
      <c r="C211" s="29"/>
      <c r="D211" s="29"/>
      <c r="E211" s="29"/>
      <c r="F211" s="29"/>
      <c r="G211" s="29"/>
      <c r="H211" s="29"/>
      <c r="I211" s="2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5.75" customHeight="1" x14ac:dyDescent="0.2">
      <c r="A212"/>
      <c r="B212" s="2"/>
      <c r="C212" s="29"/>
      <c r="D212" s="29"/>
      <c r="E212" s="29"/>
      <c r="F212" s="29"/>
      <c r="G212" s="29"/>
      <c r="H212" s="29"/>
      <c r="I212" s="29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5.75" customHeight="1" x14ac:dyDescent="0.2">
      <c r="A213"/>
      <c r="B213" s="2"/>
      <c r="C213" s="29"/>
      <c r="D213" s="29"/>
      <c r="E213" s="29"/>
      <c r="F213" s="29"/>
      <c r="G213" s="29"/>
      <c r="H213" s="29"/>
      <c r="I213" s="2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5.75" customHeight="1" x14ac:dyDescent="0.2">
      <c r="A214"/>
      <c r="B214" s="2"/>
      <c r="C214" s="29"/>
      <c r="D214" s="29"/>
      <c r="E214" s="29"/>
      <c r="F214" s="29"/>
      <c r="G214" s="29"/>
      <c r="H214" s="29"/>
      <c r="I214" s="2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5.75" customHeight="1" x14ac:dyDescent="0.2">
      <c r="A215"/>
      <c r="B215" s="2"/>
      <c r="C215" s="29"/>
      <c r="D215" s="29"/>
      <c r="E215" s="29"/>
      <c r="F215" s="29"/>
      <c r="G215" s="29"/>
      <c r="H215" s="29"/>
      <c r="I215" s="29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5.75" customHeight="1" x14ac:dyDescent="0.2">
      <c r="A216"/>
      <c r="B216" s="2"/>
      <c r="C216" s="29"/>
      <c r="D216" s="29"/>
      <c r="E216" s="29"/>
      <c r="F216" s="29"/>
      <c r="G216" s="29"/>
      <c r="H216" s="29"/>
      <c r="I216" s="2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5.75" customHeight="1" x14ac:dyDescent="0.2">
      <c r="A217"/>
      <c r="B217" s="2"/>
      <c r="C217" s="29"/>
      <c r="D217" s="29"/>
      <c r="E217" s="29"/>
      <c r="F217" s="29"/>
      <c r="G217" s="29"/>
      <c r="H217" s="29"/>
      <c r="I217" s="29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5.75" customHeight="1" x14ac:dyDescent="0.2">
      <c r="A218"/>
      <c r="B218" s="2"/>
      <c r="C218" s="29"/>
      <c r="D218" s="29"/>
      <c r="E218" s="29"/>
      <c r="F218" s="29"/>
      <c r="G218" s="29"/>
      <c r="H218" s="29"/>
      <c r="I218" s="2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5.75" customHeight="1" x14ac:dyDescent="0.2">
      <c r="A219"/>
      <c r="B219" s="2"/>
      <c r="C219" s="29"/>
      <c r="D219" s="29"/>
      <c r="E219" s="29"/>
      <c r="F219" s="29"/>
      <c r="G219" s="29"/>
      <c r="H219" s="29"/>
      <c r="I219" s="2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5.75" customHeight="1" x14ac:dyDescent="0.2">
      <c r="A220"/>
      <c r="B220" s="2"/>
      <c r="C220" s="29"/>
      <c r="D220" s="29"/>
      <c r="E220" s="29"/>
      <c r="F220" s="29"/>
      <c r="G220" s="29"/>
      <c r="H220" s="29"/>
      <c r="I220" s="29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5.75" customHeight="1" x14ac:dyDescent="0.2">
      <c r="A221"/>
      <c r="B221" s="2"/>
      <c r="C221" s="29"/>
      <c r="D221" s="29"/>
      <c r="E221" s="29"/>
      <c r="F221" s="29"/>
      <c r="G221" s="29"/>
      <c r="H221" s="29"/>
      <c r="I221" s="29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5.75" customHeight="1" x14ac:dyDescent="0.2">
      <c r="A222"/>
      <c r="B222" s="2"/>
      <c r="C222" s="29"/>
      <c r="D222" s="29"/>
      <c r="E222" s="29"/>
      <c r="F222" s="29"/>
      <c r="G222" s="29"/>
      <c r="H222" s="29"/>
      <c r="I222" s="29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5.75" customHeight="1" x14ac:dyDescent="0.2">
      <c r="A223"/>
      <c r="B223" s="2"/>
      <c r="C223" s="29"/>
      <c r="D223" s="29"/>
      <c r="E223" s="29"/>
      <c r="F223" s="29"/>
      <c r="G223" s="29"/>
      <c r="H223" s="29"/>
      <c r="I223" s="2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5.75" customHeight="1" x14ac:dyDescent="0.2">
      <c r="A224"/>
      <c r="B224" s="2"/>
      <c r="C224" s="29"/>
      <c r="D224" s="29"/>
      <c r="E224" s="29"/>
      <c r="F224" s="29"/>
      <c r="G224" s="29"/>
      <c r="H224" s="29"/>
      <c r="I224" s="2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5.75" customHeight="1" x14ac:dyDescent="0.2">
      <c r="A225"/>
      <c r="B225" s="2"/>
      <c r="C225" s="29"/>
      <c r="D225" s="29"/>
      <c r="E225" s="29"/>
      <c r="F225" s="29"/>
      <c r="G225" s="29"/>
      <c r="H225" s="29"/>
      <c r="I225" s="29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5.75" customHeight="1" x14ac:dyDescent="0.2">
      <c r="A226"/>
      <c r="B226" s="2"/>
      <c r="C226" s="29"/>
      <c r="D226" s="29"/>
      <c r="E226" s="29"/>
      <c r="F226" s="29"/>
      <c r="G226" s="29"/>
      <c r="H226" s="29"/>
      <c r="I226" s="29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5.75" customHeight="1" x14ac:dyDescent="0.2">
      <c r="A227"/>
      <c r="B227" s="2"/>
      <c r="C227" s="29"/>
      <c r="D227" s="29"/>
      <c r="E227" s="29"/>
      <c r="F227" s="29"/>
      <c r="G227" s="29"/>
      <c r="H227" s="29"/>
      <c r="I227" s="29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5.75" customHeight="1" x14ac:dyDescent="0.2">
      <c r="A228"/>
      <c r="B228" s="2"/>
      <c r="C228" s="29"/>
      <c r="D228" s="29"/>
      <c r="E228" s="29"/>
      <c r="F228" s="29"/>
      <c r="G228" s="29"/>
      <c r="H228" s="29"/>
      <c r="I228" s="29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5.75" customHeight="1" x14ac:dyDescent="0.2">
      <c r="A229"/>
      <c r="B229" s="2"/>
      <c r="C229" s="29"/>
      <c r="D229" s="29"/>
      <c r="E229" s="29"/>
      <c r="F229" s="29"/>
      <c r="G229" s="29"/>
      <c r="H229" s="29"/>
      <c r="I229" s="29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5.75" customHeight="1" x14ac:dyDescent="0.2">
      <c r="A230"/>
      <c r="B230" s="2"/>
      <c r="C230" s="29"/>
      <c r="D230" s="29"/>
      <c r="E230" s="29"/>
      <c r="F230" s="29"/>
      <c r="G230" s="29"/>
      <c r="H230" s="29"/>
      <c r="I230" s="29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5.75" customHeight="1" x14ac:dyDescent="0.2">
      <c r="A231"/>
      <c r="B231" s="2"/>
      <c r="C231" s="29"/>
      <c r="D231" s="29"/>
      <c r="E231" s="29"/>
      <c r="F231" s="29"/>
      <c r="G231" s="29"/>
      <c r="H231" s="29"/>
      <c r="I231" s="29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5.75" customHeight="1" x14ac:dyDescent="0.2">
      <c r="A232"/>
      <c r="B232" s="2"/>
      <c r="C232" s="29"/>
      <c r="D232" s="29"/>
      <c r="E232" s="29"/>
      <c r="F232" s="29"/>
      <c r="G232" s="29"/>
      <c r="H232" s="29"/>
      <c r="I232" s="29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5.75" customHeight="1" x14ac:dyDescent="0.2">
      <c r="A233"/>
      <c r="B233" s="2"/>
      <c r="C233" s="29"/>
      <c r="D233" s="29"/>
      <c r="E233" s="29"/>
      <c r="F233" s="29"/>
      <c r="G233" s="29"/>
      <c r="H233" s="29"/>
      <c r="I233" s="2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5.75" customHeight="1" x14ac:dyDescent="0.2">
      <c r="A234"/>
      <c r="B234" s="2"/>
      <c r="C234" s="29"/>
      <c r="D234" s="29"/>
      <c r="E234" s="29"/>
      <c r="F234" s="29"/>
      <c r="G234" s="29"/>
      <c r="H234" s="29"/>
      <c r="I234" s="2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5.75" customHeight="1" x14ac:dyDescent="0.2">
      <c r="A235"/>
      <c r="B235" s="2"/>
      <c r="C235" s="29"/>
      <c r="D235" s="29"/>
      <c r="E235" s="29"/>
      <c r="F235" s="29"/>
      <c r="G235" s="29"/>
      <c r="H235" s="29"/>
      <c r="I235" s="29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5.75" customHeight="1" x14ac:dyDescent="0.2">
      <c r="A236"/>
      <c r="B236" s="2"/>
      <c r="C236" s="29"/>
      <c r="D236" s="29"/>
      <c r="E236" s="29"/>
      <c r="F236" s="29"/>
      <c r="G236" s="29"/>
      <c r="H236" s="29"/>
      <c r="I236" s="2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5.75" customHeight="1" x14ac:dyDescent="0.2">
      <c r="A237"/>
      <c r="B237" s="2"/>
      <c r="C237" s="29"/>
      <c r="D237" s="29"/>
      <c r="E237" s="29"/>
      <c r="F237" s="29"/>
      <c r="G237" s="29"/>
      <c r="H237" s="29"/>
      <c r="I237" s="2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5.75" customHeight="1" x14ac:dyDescent="0.2">
      <c r="A238"/>
      <c r="B238" s="2"/>
      <c r="C238" s="29"/>
      <c r="D238" s="29"/>
      <c r="E238" s="29"/>
      <c r="F238" s="29"/>
      <c r="G238" s="29"/>
      <c r="H238" s="29"/>
      <c r="I238" s="2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5.75" customHeight="1" x14ac:dyDescent="0.2">
      <c r="A239"/>
      <c r="B239" s="2"/>
      <c r="C239" s="29"/>
      <c r="D239" s="29"/>
      <c r="E239" s="29"/>
      <c r="F239" s="29"/>
      <c r="G239" s="29"/>
      <c r="H239" s="29"/>
      <c r="I239" s="2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5.75" customHeight="1" x14ac:dyDescent="0.2">
      <c r="A240"/>
      <c r="B240" s="2"/>
      <c r="C240" s="29"/>
      <c r="D240" s="29"/>
      <c r="E240" s="29"/>
      <c r="F240" s="29"/>
      <c r="G240" s="29"/>
      <c r="H240" s="29"/>
      <c r="I240" s="2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5.75" customHeight="1" x14ac:dyDescent="0.2">
      <c r="A241"/>
      <c r="B241" s="2"/>
      <c r="C241" s="29"/>
      <c r="D241" s="29"/>
      <c r="E241" s="29"/>
      <c r="F241" s="29"/>
      <c r="G241" s="29"/>
      <c r="H241" s="29"/>
      <c r="I241" s="2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5.75" customHeight="1" x14ac:dyDescent="0.2">
      <c r="A242"/>
      <c r="B242" s="2"/>
      <c r="C242" s="29"/>
      <c r="D242" s="29"/>
      <c r="E242" s="29"/>
      <c r="F242" s="29"/>
      <c r="G242" s="29"/>
      <c r="H242" s="29"/>
      <c r="I242" s="2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5.75" customHeight="1" x14ac:dyDescent="0.2">
      <c r="A243"/>
      <c r="B243" s="2"/>
      <c r="C243" s="29"/>
      <c r="D243" s="29"/>
      <c r="E243" s="29"/>
      <c r="F243" s="29"/>
      <c r="G243" s="29"/>
      <c r="H243" s="29"/>
      <c r="I243" s="2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5.75" customHeight="1" x14ac:dyDescent="0.2">
      <c r="A244"/>
      <c r="B244" s="2"/>
      <c r="C244" s="29"/>
      <c r="D244" s="29"/>
      <c r="E244" s="29"/>
      <c r="F244" s="29"/>
      <c r="G244" s="29"/>
      <c r="H244" s="29"/>
      <c r="I244" s="2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5.75" customHeight="1" x14ac:dyDescent="0.2">
      <c r="A245"/>
      <c r="B245" s="2"/>
      <c r="C245" s="29"/>
      <c r="D245" s="29"/>
      <c r="E245" s="29"/>
      <c r="F245" s="29"/>
      <c r="G245" s="29"/>
      <c r="H245" s="29"/>
      <c r="I245" s="2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5.75" customHeight="1" x14ac:dyDescent="0.2">
      <c r="A246"/>
      <c r="B246" s="2"/>
      <c r="C246" s="29"/>
      <c r="D246" s="29"/>
      <c r="E246" s="29"/>
      <c r="F246" s="29"/>
      <c r="G246" s="29"/>
      <c r="H246" s="29"/>
      <c r="I246" s="2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5.75" customHeight="1" x14ac:dyDescent="0.2">
      <c r="A247"/>
      <c r="B247" s="2"/>
      <c r="C247" s="29"/>
      <c r="D247" s="29"/>
      <c r="E247" s="29"/>
      <c r="F247" s="29"/>
      <c r="G247" s="29"/>
      <c r="H247" s="29"/>
      <c r="I247" s="2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5.75" customHeight="1" x14ac:dyDescent="0.2">
      <c r="A248"/>
      <c r="B248" s="2"/>
      <c r="C248" s="29"/>
      <c r="D248" s="29"/>
      <c r="E248" s="29"/>
      <c r="F248" s="29"/>
      <c r="G248" s="29"/>
      <c r="H248" s="29"/>
      <c r="I248" s="2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5.75" customHeight="1" x14ac:dyDescent="0.2">
      <c r="A249"/>
      <c r="B249" s="2"/>
      <c r="C249" s="29"/>
      <c r="D249" s="29"/>
      <c r="E249" s="29"/>
      <c r="F249" s="29"/>
      <c r="G249" s="29"/>
      <c r="H249" s="29"/>
      <c r="I249" s="2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5.75" customHeight="1" x14ac:dyDescent="0.2">
      <c r="A250"/>
      <c r="B250" s="2"/>
      <c r="C250" s="29"/>
      <c r="D250" s="29"/>
      <c r="E250" s="29"/>
      <c r="F250" s="29"/>
      <c r="G250" s="29"/>
      <c r="H250" s="29"/>
      <c r="I250" s="2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5.75" customHeight="1" x14ac:dyDescent="0.2">
      <c r="A251"/>
      <c r="B251" s="2"/>
      <c r="C251" s="29"/>
      <c r="D251" s="29"/>
      <c r="E251" s="29"/>
      <c r="F251" s="29"/>
      <c r="G251" s="29"/>
      <c r="H251" s="29"/>
      <c r="I251" s="2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5.75" customHeight="1" x14ac:dyDescent="0.2">
      <c r="A252"/>
      <c r="B252" s="2"/>
      <c r="C252" s="29"/>
      <c r="D252" s="29"/>
      <c r="E252" s="29"/>
      <c r="F252" s="29"/>
      <c r="G252" s="29"/>
      <c r="H252" s="29"/>
      <c r="I252" s="2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5.75" customHeight="1" x14ac:dyDescent="0.2">
      <c r="A253"/>
      <c r="B253" s="2"/>
      <c r="C253" s="29"/>
      <c r="D253" s="29"/>
      <c r="E253" s="29"/>
      <c r="F253" s="29"/>
      <c r="G253" s="29"/>
      <c r="H253" s="29"/>
      <c r="I253" s="2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5.75" customHeight="1" x14ac:dyDescent="0.2">
      <c r="A254"/>
      <c r="B254" s="2"/>
      <c r="C254" s="29"/>
      <c r="D254" s="29"/>
      <c r="E254" s="29"/>
      <c r="F254" s="29"/>
      <c r="G254" s="29"/>
      <c r="H254" s="29"/>
      <c r="I254" s="2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5.75" customHeight="1" x14ac:dyDescent="0.2">
      <c r="A255"/>
      <c r="B255" s="2"/>
      <c r="C255" s="29"/>
      <c r="D255" s="29"/>
      <c r="E255" s="29"/>
      <c r="F255" s="29"/>
      <c r="G255" s="29"/>
      <c r="H255" s="29"/>
      <c r="I255" s="2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5.75" customHeight="1" x14ac:dyDescent="0.2">
      <c r="A256"/>
      <c r="B256" s="2"/>
      <c r="C256" s="29"/>
      <c r="D256" s="29"/>
      <c r="E256" s="29"/>
      <c r="F256" s="29"/>
      <c r="G256" s="29"/>
      <c r="H256" s="29"/>
      <c r="I256" s="2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5.75" customHeight="1" x14ac:dyDescent="0.2">
      <c r="A257"/>
      <c r="B257" s="2"/>
      <c r="C257" s="29"/>
      <c r="D257" s="29"/>
      <c r="E257" s="29"/>
      <c r="F257" s="29"/>
      <c r="G257" s="29"/>
      <c r="H257" s="29"/>
      <c r="I257" s="2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5.75" customHeight="1" x14ac:dyDescent="0.2">
      <c r="A258"/>
      <c r="B258" s="2"/>
      <c r="C258" s="29"/>
      <c r="D258" s="29"/>
      <c r="E258" s="29"/>
      <c r="F258" s="29"/>
      <c r="G258" s="29"/>
      <c r="H258" s="29"/>
      <c r="I258" s="2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5.75" customHeight="1" x14ac:dyDescent="0.2">
      <c r="A259"/>
      <c r="B259" s="2"/>
      <c r="C259" s="29"/>
      <c r="D259" s="29"/>
      <c r="E259" s="29"/>
      <c r="F259" s="29"/>
      <c r="G259" s="29"/>
      <c r="H259" s="29"/>
      <c r="I259" s="2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5.75" customHeight="1" x14ac:dyDescent="0.2">
      <c r="A260"/>
      <c r="B260" s="2"/>
      <c r="C260" s="29"/>
      <c r="D260" s="29"/>
      <c r="E260" s="29"/>
      <c r="F260" s="29"/>
      <c r="G260" s="29"/>
      <c r="H260" s="29"/>
      <c r="I260" s="2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5.75" customHeight="1" x14ac:dyDescent="0.2">
      <c r="A261"/>
      <c r="B261" s="2"/>
      <c r="C261" s="29"/>
      <c r="D261" s="29"/>
      <c r="E261" s="29"/>
      <c r="F261" s="29"/>
      <c r="G261" s="29"/>
      <c r="H261" s="29"/>
      <c r="I261" s="2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5.75" customHeight="1" x14ac:dyDescent="0.2">
      <c r="A262"/>
      <c r="B262" s="2"/>
      <c r="C262" s="29"/>
      <c r="D262" s="29"/>
      <c r="E262" s="29"/>
      <c r="F262" s="29"/>
      <c r="G262" s="29"/>
      <c r="H262" s="29"/>
      <c r="I262" s="2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5.75" customHeight="1" x14ac:dyDescent="0.2">
      <c r="A263"/>
      <c r="B263" s="2"/>
      <c r="C263" s="29"/>
      <c r="D263" s="29"/>
      <c r="E263" s="29"/>
      <c r="F263" s="29"/>
      <c r="G263" s="29"/>
      <c r="H263" s="29"/>
      <c r="I263" s="2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5.75" customHeight="1" x14ac:dyDescent="0.2">
      <c r="A264"/>
      <c r="B264" s="2"/>
      <c r="C264" s="29"/>
      <c r="D264" s="29"/>
      <c r="E264" s="29"/>
      <c r="F264" s="29"/>
      <c r="G264" s="29"/>
      <c r="H264" s="29"/>
      <c r="I264" s="2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5.75" customHeight="1" x14ac:dyDescent="0.2">
      <c r="A265"/>
      <c r="B265" s="2"/>
      <c r="C265" s="29"/>
      <c r="D265" s="29"/>
      <c r="E265" s="29"/>
      <c r="F265" s="29"/>
      <c r="G265" s="29"/>
      <c r="H265" s="29"/>
      <c r="I265" s="2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5.75" customHeight="1" x14ac:dyDescent="0.2">
      <c r="A266"/>
      <c r="B266" s="2"/>
      <c r="C266" s="29"/>
      <c r="D266" s="29"/>
      <c r="E266" s="29"/>
      <c r="F266" s="29"/>
      <c r="G266" s="29"/>
      <c r="H266" s="29"/>
      <c r="I266" s="2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5.75" customHeight="1" x14ac:dyDescent="0.2">
      <c r="A267"/>
      <c r="B267" s="2"/>
      <c r="C267" s="29"/>
      <c r="D267" s="29"/>
      <c r="E267" s="29"/>
      <c r="F267" s="29"/>
      <c r="G267" s="29"/>
      <c r="H267" s="29"/>
      <c r="I267" s="2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5.75" customHeight="1" x14ac:dyDescent="0.2">
      <c r="A268"/>
      <c r="B268" s="2"/>
      <c r="C268" s="29"/>
      <c r="D268" s="29"/>
      <c r="E268" s="29"/>
      <c r="F268" s="29"/>
      <c r="G268" s="29"/>
      <c r="H268" s="29"/>
      <c r="I268" s="2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5.75" customHeight="1" x14ac:dyDescent="0.2">
      <c r="A269"/>
      <c r="B269" s="2"/>
      <c r="C269" s="29"/>
      <c r="D269" s="29"/>
      <c r="E269" s="29"/>
      <c r="F269" s="29"/>
      <c r="G269" s="29"/>
      <c r="H269" s="29"/>
      <c r="I269" s="2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5.75" customHeight="1" x14ac:dyDescent="0.2">
      <c r="A270"/>
      <c r="B270" s="2"/>
      <c r="C270" s="29"/>
      <c r="D270" s="29"/>
      <c r="E270" s="29"/>
      <c r="F270" s="29"/>
      <c r="G270" s="29"/>
      <c r="H270" s="29"/>
      <c r="I270" s="2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5.75" customHeight="1" x14ac:dyDescent="0.2">
      <c r="A271"/>
      <c r="B271" s="2"/>
      <c r="C271" s="29"/>
      <c r="D271" s="29"/>
      <c r="E271" s="29"/>
      <c r="F271" s="29"/>
      <c r="G271" s="29"/>
      <c r="H271" s="29"/>
      <c r="I271" s="2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5.75" customHeight="1" x14ac:dyDescent="0.2">
      <c r="A272"/>
      <c r="B272" s="2"/>
      <c r="C272" s="29"/>
      <c r="D272" s="29"/>
      <c r="E272" s="29"/>
      <c r="F272" s="29"/>
      <c r="G272" s="29"/>
      <c r="H272" s="29"/>
      <c r="I272" s="2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5.75" customHeight="1" x14ac:dyDescent="0.2">
      <c r="A273"/>
      <c r="B273" s="2"/>
      <c r="C273" s="29"/>
      <c r="D273" s="29"/>
      <c r="E273" s="29"/>
      <c r="F273" s="29"/>
      <c r="G273" s="29"/>
      <c r="H273" s="29"/>
      <c r="I273" s="2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5.75" customHeight="1" x14ac:dyDescent="0.2">
      <c r="A274"/>
      <c r="B274" s="2"/>
      <c r="C274" s="29"/>
      <c r="D274" s="29"/>
      <c r="E274" s="29"/>
      <c r="F274" s="29"/>
      <c r="G274" s="29"/>
      <c r="H274" s="29"/>
      <c r="I274" s="2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5.75" customHeight="1" x14ac:dyDescent="0.2">
      <c r="A275"/>
      <c r="B275" s="2"/>
      <c r="C275" s="29"/>
      <c r="D275" s="29"/>
      <c r="E275" s="29"/>
      <c r="F275" s="29"/>
      <c r="G275" s="29"/>
      <c r="H275" s="29"/>
      <c r="I275" s="2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5.75" customHeight="1" x14ac:dyDescent="0.2">
      <c r="A276"/>
      <c r="B276" s="2"/>
      <c r="C276" s="29"/>
      <c r="D276" s="29"/>
      <c r="E276" s="29"/>
      <c r="F276" s="29"/>
      <c r="G276" s="29"/>
      <c r="H276" s="29"/>
      <c r="I276" s="2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5.75" customHeight="1" x14ac:dyDescent="0.2">
      <c r="A277"/>
      <c r="B277" s="2"/>
      <c r="C277" s="29"/>
      <c r="D277" s="29"/>
      <c r="E277" s="29"/>
      <c r="F277" s="29"/>
      <c r="G277" s="29"/>
      <c r="H277" s="29"/>
      <c r="I277" s="2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5.75" customHeight="1" x14ac:dyDescent="0.2">
      <c r="A278"/>
      <c r="B278" s="2"/>
      <c r="C278" s="29"/>
      <c r="D278" s="29"/>
      <c r="E278" s="29"/>
      <c r="F278" s="29"/>
      <c r="G278" s="29"/>
      <c r="H278" s="29"/>
      <c r="I278" s="2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5.75" customHeight="1" x14ac:dyDescent="0.2">
      <c r="A279"/>
      <c r="B279" s="2"/>
      <c r="C279" s="29"/>
      <c r="D279" s="29"/>
      <c r="E279" s="29"/>
      <c r="F279" s="29"/>
      <c r="G279" s="29"/>
      <c r="H279" s="29"/>
      <c r="I279" s="2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5.75" customHeight="1" x14ac:dyDescent="0.2">
      <c r="A280"/>
      <c r="B280" s="2"/>
      <c r="C280" s="29"/>
      <c r="D280" s="29"/>
      <c r="E280" s="29"/>
      <c r="F280" s="29"/>
      <c r="G280" s="29"/>
      <c r="H280" s="29"/>
      <c r="I280" s="2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5.75" customHeight="1" x14ac:dyDescent="0.2">
      <c r="A281"/>
      <c r="B281" s="2"/>
      <c r="C281" s="29"/>
      <c r="D281" s="29"/>
      <c r="E281" s="29"/>
      <c r="F281" s="29"/>
      <c r="G281" s="29"/>
      <c r="H281" s="29"/>
      <c r="I281" s="2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5.75" customHeight="1" x14ac:dyDescent="0.2">
      <c r="A282"/>
      <c r="B282" s="2"/>
      <c r="C282" s="29"/>
      <c r="D282" s="29"/>
      <c r="E282" s="29"/>
      <c r="F282" s="29"/>
      <c r="G282" s="29"/>
      <c r="H282" s="29"/>
      <c r="I282" s="2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5.75" customHeight="1" x14ac:dyDescent="0.2">
      <c r="A283"/>
      <c r="B283" s="2"/>
      <c r="C283" s="29"/>
      <c r="D283" s="29"/>
      <c r="E283" s="29"/>
      <c r="F283" s="29"/>
      <c r="G283" s="29"/>
      <c r="H283" s="29"/>
      <c r="I283" s="2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5.75" customHeight="1" x14ac:dyDescent="0.2">
      <c r="A284"/>
      <c r="B284" s="2"/>
      <c r="C284" s="29"/>
      <c r="D284" s="29"/>
      <c r="E284" s="29"/>
      <c r="F284" s="29"/>
      <c r="G284" s="29"/>
      <c r="H284" s="29"/>
      <c r="I284" s="2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5.75" customHeight="1" x14ac:dyDescent="0.2">
      <c r="A285"/>
      <c r="B285" s="2"/>
      <c r="C285" s="29"/>
      <c r="D285" s="29"/>
      <c r="E285" s="29"/>
      <c r="F285" s="29"/>
      <c r="G285" s="29"/>
      <c r="H285" s="29"/>
      <c r="I285" s="2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5.75" customHeight="1" x14ac:dyDescent="0.2">
      <c r="A286"/>
      <c r="B286" s="2"/>
      <c r="C286" s="29"/>
      <c r="D286" s="29"/>
      <c r="E286" s="29"/>
      <c r="F286" s="29"/>
      <c r="G286" s="29"/>
      <c r="H286" s="29"/>
      <c r="I286" s="2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5.75" customHeight="1" x14ac:dyDescent="0.2">
      <c r="A287"/>
      <c r="B287" s="2"/>
      <c r="C287" s="29"/>
      <c r="D287" s="29"/>
      <c r="E287" s="29"/>
      <c r="F287" s="29"/>
      <c r="G287" s="29"/>
      <c r="H287" s="29"/>
      <c r="I287" s="2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5.75" customHeight="1" x14ac:dyDescent="0.2">
      <c r="A288"/>
      <c r="B288" s="2"/>
      <c r="C288" s="29"/>
      <c r="D288" s="29"/>
      <c r="E288" s="29"/>
      <c r="F288" s="29"/>
      <c r="G288" s="29"/>
      <c r="H288" s="29"/>
      <c r="I288" s="29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5.75" customHeight="1" x14ac:dyDescent="0.2">
      <c r="A289"/>
      <c r="B289" s="2"/>
      <c r="C289" s="29"/>
      <c r="D289" s="29"/>
      <c r="E289" s="29"/>
      <c r="F289" s="29"/>
      <c r="G289" s="29"/>
      <c r="H289" s="29"/>
      <c r="I289" s="2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5.75" customHeight="1" x14ac:dyDescent="0.2">
      <c r="A290"/>
      <c r="B290" s="2"/>
      <c r="C290" s="29"/>
      <c r="D290" s="29"/>
      <c r="E290" s="29"/>
      <c r="F290" s="29"/>
      <c r="G290" s="29"/>
      <c r="H290" s="29"/>
      <c r="I290" s="2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5.75" customHeight="1" x14ac:dyDescent="0.2">
      <c r="A291"/>
      <c r="B291" s="2"/>
      <c r="C291" s="29"/>
      <c r="D291" s="29"/>
      <c r="E291" s="29"/>
      <c r="F291" s="29"/>
      <c r="G291" s="29"/>
      <c r="H291" s="29"/>
      <c r="I291" s="2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5.75" customHeight="1" x14ac:dyDescent="0.2">
      <c r="A292"/>
      <c r="B292" s="2"/>
      <c r="C292" s="29"/>
      <c r="D292" s="29"/>
      <c r="E292" s="29"/>
      <c r="F292" s="29"/>
      <c r="G292" s="29"/>
      <c r="H292" s="29"/>
      <c r="I292" s="2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5.75" customHeight="1" x14ac:dyDescent="0.2">
      <c r="A293"/>
      <c r="B293" s="2"/>
      <c r="C293" s="29"/>
      <c r="D293" s="29"/>
      <c r="E293" s="29"/>
      <c r="F293" s="29"/>
      <c r="G293" s="29"/>
      <c r="H293" s="29"/>
      <c r="I293" s="2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5.75" customHeight="1" x14ac:dyDescent="0.2">
      <c r="A294"/>
      <c r="B294" s="2"/>
      <c r="C294" s="29"/>
      <c r="D294" s="29"/>
      <c r="E294" s="29"/>
      <c r="F294" s="29"/>
      <c r="G294" s="29"/>
      <c r="H294" s="29"/>
      <c r="I294" s="2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5.75" customHeight="1" x14ac:dyDescent="0.2">
      <c r="A295"/>
      <c r="B295" s="2"/>
      <c r="C295" s="29"/>
      <c r="D295" s="29"/>
      <c r="E295" s="29"/>
      <c r="F295" s="29"/>
      <c r="G295" s="29"/>
      <c r="H295" s="29"/>
      <c r="I295" s="2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5.75" customHeight="1" x14ac:dyDescent="0.2">
      <c r="A296"/>
      <c r="B296" s="2"/>
      <c r="C296" s="29"/>
      <c r="D296" s="29"/>
      <c r="E296" s="29"/>
      <c r="F296" s="29"/>
      <c r="G296" s="29"/>
      <c r="H296" s="29"/>
      <c r="I296" s="2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5.75" customHeight="1" x14ac:dyDescent="0.2">
      <c r="A297"/>
      <c r="B297" s="2"/>
      <c r="C297" s="29"/>
      <c r="D297" s="29"/>
      <c r="E297" s="29"/>
      <c r="F297" s="29"/>
      <c r="G297" s="29"/>
      <c r="H297" s="29"/>
      <c r="I297" s="2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5.75" customHeight="1" x14ac:dyDescent="0.2">
      <c r="A298"/>
      <c r="B298" s="2"/>
      <c r="C298" s="29"/>
      <c r="D298" s="29"/>
      <c r="E298" s="29"/>
      <c r="F298" s="29"/>
      <c r="G298" s="29"/>
      <c r="H298" s="29"/>
      <c r="I298" s="2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5.75" customHeight="1" x14ac:dyDescent="0.2">
      <c r="A299"/>
      <c r="B299" s="2"/>
      <c r="C299" s="29"/>
      <c r="D299" s="29"/>
      <c r="E299" s="29"/>
      <c r="F299" s="29"/>
      <c r="G299" s="29"/>
      <c r="H299" s="29"/>
      <c r="I299" s="2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5.75" customHeight="1" x14ac:dyDescent="0.2">
      <c r="A300"/>
      <c r="B300" s="2"/>
      <c r="C300" s="29"/>
      <c r="D300" s="29"/>
      <c r="E300" s="29"/>
      <c r="F300" s="29"/>
      <c r="G300" s="29"/>
      <c r="H300" s="29"/>
      <c r="I300" s="2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5.75" customHeight="1" x14ac:dyDescent="0.2">
      <c r="A301"/>
      <c r="B301" s="2"/>
      <c r="C301" s="29"/>
      <c r="D301" s="29"/>
      <c r="E301" s="29"/>
      <c r="F301" s="29"/>
      <c r="G301" s="29"/>
      <c r="H301" s="29"/>
      <c r="I301" s="2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5.75" customHeight="1" x14ac:dyDescent="0.2">
      <c r="A302"/>
      <c r="B302" s="2"/>
      <c r="C302" s="29"/>
      <c r="D302" s="29"/>
      <c r="E302" s="29"/>
      <c r="F302" s="29"/>
      <c r="G302" s="29"/>
      <c r="H302" s="29"/>
      <c r="I302" s="29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5.75" customHeight="1" x14ac:dyDescent="0.2">
      <c r="A303"/>
      <c r="B303" s="2"/>
      <c r="C303" s="29"/>
      <c r="D303" s="29"/>
      <c r="E303" s="29"/>
      <c r="F303" s="29"/>
      <c r="G303" s="29"/>
      <c r="H303" s="29"/>
      <c r="I303" s="2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5.75" customHeight="1" x14ac:dyDescent="0.2">
      <c r="A304"/>
      <c r="B304" s="2"/>
      <c r="C304" s="29"/>
      <c r="D304" s="29"/>
      <c r="E304" s="29"/>
      <c r="F304" s="29"/>
      <c r="G304" s="29"/>
      <c r="H304" s="29"/>
      <c r="I304" s="2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5.75" customHeight="1" x14ac:dyDescent="0.2">
      <c r="A305"/>
      <c r="B305" s="2"/>
      <c r="C305" s="29"/>
      <c r="D305" s="29"/>
      <c r="E305" s="29"/>
      <c r="F305" s="29"/>
      <c r="G305" s="29"/>
      <c r="H305" s="29"/>
      <c r="I305" s="2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5.75" customHeight="1" x14ac:dyDescent="0.2">
      <c r="A306"/>
      <c r="B306" s="2"/>
      <c r="C306" s="29"/>
      <c r="D306" s="29"/>
      <c r="E306" s="29"/>
      <c r="F306" s="29"/>
      <c r="G306" s="29"/>
      <c r="H306" s="29"/>
      <c r="I306" s="29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5.75" customHeight="1" x14ac:dyDescent="0.2">
      <c r="A307"/>
      <c r="B307" s="2"/>
      <c r="C307" s="29"/>
      <c r="D307" s="29"/>
      <c r="E307" s="29"/>
      <c r="F307" s="29"/>
      <c r="G307" s="29"/>
      <c r="H307" s="29"/>
      <c r="I307" s="29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5.75" customHeight="1" x14ac:dyDescent="0.2">
      <c r="A308"/>
      <c r="B308" s="2"/>
      <c r="C308" s="29"/>
      <c r="D308" s="29"/>
      <c r="E308" s="29"/>
      <c r="F308" s="29"/>
      <c r="G308" s="29"/>
      <c r="H308" s="29"/>
      <c r="I308" s="2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5.75" customHeight="1" x14ac:dyDescent="0.2">
      <c r="A309"/>
      <c r="B309" s="2"/>
      <c r="C309" s="29"/>
      <c r="D309" s="29"/>
      <c r="E309" s="29"/>
      <c r="F309" s="29"/>
      <c r="G309" s="29"/>
      <c r="H309" s="29"/>
      <c r="I309" s="2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5.75" customHeight="1" x14ac:dyDescent="0.2">
      <c r="A310"/>
      <c r="B310" s="2"/>
      <c r="C310" s="29"/>
      <c r="D310" s="29"/>
      <c r="E310" s="29"/>
      <c r="F310" s="29"/>
      <c r="G310" s="29"/>
      <c r="H310" s="29"/>
      <c r="I310" s="2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5.75" customHeight="1" x14ac:dyDescent="0.2">
      <c r="A311"/>
      <c r="B311" s="2"/>
      <c r="C311" s="29"/>
      <c r="D311" s="29"/>
      <c r="E311" s="29"/>
      <c r="F311" s="29"/>
      <c r="G311" s="29"/>
      <c r="H311" s="29"/>
      <c r="I311" s="2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5.75" customHeight="1" x14ac:dyDescent="0.2">
      <c r="A312"/>
      <c r="B312" s="2"/>
      <c r="C312" s="29"/>
      <c r="D312" s="29"/>
      <c r="E312" s="29"/>
      <c r="F312" s="29"/>
      <c r="G312" s="29"/>
      <c r="H312" s="29"/>
      <c r="I312" s="29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5.75" customHeight="1" x14ac:dyDescent="0.2">
      <c r="A313"/>
      <c r="B313" s="2"/>
      <c r="C313" s="29"/>
      <c r="D313" s="29"/>
      <c r="E313" s="29"/>
      <c r="F313" s="29"/>
      <c r="G313" s="29"/>
      <c r="H313" s="29"/>
      <c r="I313" s="29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5.75" customHeight="1" x14ac:dyDescent="0.2">
      <c r="A314"/>
      <c r="B314" s="2"/>
      <c r="C314" s="29"/>
      <c r="D314" s="29"/>
      <c r="E314" s="29"/>
      <c r="F314" s="29"/>
      <c r="G314" s="29"/>
      <c r="H314" s="29"/>
      <c r="I314" s="2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5.75" customHeight="1" x14ac:dyDescent="0.2">
      <c r="A315"/>
      <c r="B315" s="2"/>
      <c r="C315" s="29"/>
      <c r="D315" s="29"/>
      <c r="E315" s="29"/>
      <c r="F315" s="29"/>
      <c r="G315" s="29"/>
      <c r="H315" s="29"/>
      <c r="I315" s="2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5.75" customHeight="1" x14ac:dyDescent="0.2">
      <c r="A316"/>
      <c r="B316" s="2"/>
      <c r="C316" s="29"/>
      <c r="D316" s="29"/>
      <c r="E316" s="29"/>
      <c r="F316" s="29"/>
      <c r="G316" s="29"/>
      <c r="H316" s="29"/>
      <c r="I316" s="29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5.75" customHeight="1" x14ac:dyDescent="0.2">
      <c r="A317"/>
      <c r="B317" s="2"/>
      <c r="C317" s="29"/>
      <c r="D317" s="29"/>
      <c r="E317" s="29"/>
      <c r="F317" s="29"/>
      <c r="G317" s="29"/>
      <c r="H317" s="29"/>
      <c r="I317" s="29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5.75" customHeight="1" x14ac:dyDescent="0.2">
      <c r="A318"/>
      <c r="B318" s="2"/>
      <c r="C318" s="29"/>
      <c r="D318" s="29"/>
      <c r="E318" s="29"/>
      <c r="F318" s="29"/>
      <c r="G318" s="29"/>
      <c r="H318" s="29"/>
      <c r="I318" s="29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5.75" customHeight="1" x14ac:dyDescent="0.2">
      <c r="A319"/>
      <c r="B319" s="2"/>
      <c r="C319" s="29"/>
      <c r="D319" s="29"/>
      <c r="E319" s="29"/>
      <c r="F319" s="29"/>
      <c r="G319" s="29"/>
      <c r="H319" s="29"/>
      <c r="I319" s="29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5.75" customHeight="1" x14ac:dyDescent="0.2">
      <c r="A320"/>
      <c r="B320" s="2"/>
      <c r="C320" s="29"/>
      <c r="D320" s="29"/>
      <c r="E320" s="29"/>
      <c r="F320" s="29"/>
      <c r="G320" s="29"/>
      <c r="H320" s="29"/>
      <c r="I320" s="29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5.75" customHeight="1" x14ac:dyDescent="0.2">
      <c r="A321"/>
      <c r="B321" s="2"/>
      <c r="C321" s="29"/>
      <c r="D321" s="29"/>
      <c r="E321" s="29"/>
      <c r="F321" s="29"/>
      <c r="G321" s="29"/>
      <c r="H321" s="29"/>
      <c r="I321" s="29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5.75" customHeight="1" x14ac:dyDescent="0.2">
      <c r="A322"/>
      <c r="B322" s="2"/>
      <c r="C322" s="29"/>
      <c r="D322" s="29"/>
      <c r="E322" s="29"/>
      <c r="F322" s="29"/>
      <c r="G322" s="29"/>
      <c r="H322" s="29"/>
      <c r="I322" s="2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5.75" customHeight="1" x14ac:dyDescent="0.2">
      <c r="A323"/>
      <c r="B323" s="2"/>
      <c r="C323" s="29"/>
      <c r="D323" s="29"/>
      <c r="E323" s="29"/>
      <c r="F323" s="29"/>
      <c r="G323" s="29"/>
      <c r="H323" s="29"/>
      <c r="I323" s="2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5.75" customHeight="1" x14ac:dyDescent="0.2">
      <c r="A324"/>
      <c r="B324" s="2"/>
      <c r="C324" s="29"/>
      <c r="D324" s="29"/>
      <c r="E324" s="29"/>
      <c r="F324" s="29"/>
      <c r="G324" s="29"/>
      <c r="H324" s="29"/>
      <c r="I324" s="2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1:43" ht="15.75" customHeight="1" x14ac:dyDescent="0.2">
      <c r="A325"/>
      <c r="B325" s="2"/>
      <c r="C325" s="29"/>
      <c r="D325" s="29"/>
      <c r="E325" s="29"/>
      <c r="F325" s="29"/>
      <c r="G325" s="29"/>
      <c r="H325" s="29"/>
      <c r="I325" s="29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1:43" ht="15.75" customHeight="1" x14ac:dyDescent="0.2">
      <c r="A326"/>
      <c r="B326" s="2"/>
      <c r="C326" s="29"/>
      <c r="D326" s="29"/>
      <c r="E326" s="29"/>
      <c r="F326" s="29"/>
      <c r="G326" s="29"/>
      <c r="H326" s="29"/>
      <c r="I326" s="2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ht="15.75" customHeight="1" x14ac:dyDescent="0.2">
      <c r="A327"/>
      <c r="B327" s="2"/>
      <c r="C327" s="29"/>
      <c r="D327" s="29"/>
      <c r="E327" s="29"/>
      <c r="F327" s="29"/>
      <c r="G327" s="29"/>
      <c r="H327" s="29"/>
      <c r="I327" s="2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ht="15.75" customHeight="1" x14ac:dyDescent="0.2">
      <c r="A328"/>
      <c r="B328" s="2"/>
      <c r="C328" s="29"/>
      <c r="D328" s="29"/>
      <c r="E328" s="29"/>
      <c r="F328" s="29"/>
      <c r="G328" s="29"/>
      <c r="H328" s="29"/>
      <c r="I328" s="2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1:43" ht="15.75" customHeight="1" x14ac:dyDescent="0.2">
      <c r="A329"/>
      <c r="B329" s="2"/>
      <c r="C329" s="29"/>
      <c r="D329" s="29"/>
      <c r="E329" s="29"/>
      <c r="F329" s="29"/>
      <c r="G329" s="29"/>
      <c r="H329" s="29"/>
      <c r="I329" s="2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1:43" ht="15.75" customHeight="1" x14ac:dyDescent="0.2">
      <c r="A330"/>
      <c r="B330" s="2"/>
      <c r="C330" s="29"/>
      <c r="D330" s="29"/>
      <c r="E330" s="29"/>
      <c r="F330" s="29"/>
      <c r="G330" s="29"/>
      <c r="H330" s="29"/>
      <c r="I330" s="2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1:43" ht="15.75" customHeight="1" x14ac:dyDescent="0.2">
      <c r="A331"/>
      <c r="B331" s="2"/>
      <c r="C331" s="29"/>
      <c r="D331" s="29"/>
      <c r="E331" s="29"/>
      <c r="F331" s="29"/>
      <c r="G331" s="29"/>
      <c r="H331" s="29"/>
      <c r="I331" s="2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1:43" ht="15.75" customHeight="1" x14ac:dyDescent="0.2">
      <c r="A332"/>
      <c r="B332" s="2"/>
      <c r="C332" s="29"/>
      <c r="D332" s="29"/>
      <c r="E332" s="29"/>
      <c r="F332" s="29"/>
      <c r="G332" s="29"/>
      <c r="H332" s="29"/>
      <c r="I332" s="2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1:43" ht="15.75" customHeight="1" x14ac:dyDescent="0.2">
      <c r="A333"/>
      <c r="B333" s="2"/>
      <c r="C333" s="29"/>
      <c r="D333" s="29"/>
      <c r="E333" s="29"/>
      <c r="F333" s="29"/>
      <c r="G333" s="29"/>
      <c r="H333" s="29"/>
      <c r="I333" s="2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1:43" ht="15.75" customHeight="1" x14ac:dyDescent="0.2">
      <c r="A334"/>
      <c r="B334" s="2"/>
      <c r="C334" s="29"/>
      <c r="D334" s="29"/>
      <c r="E334" s="29"/>
      <c r="F334" s="29"/>
      <c r="G334" s="29"/>
      <c r="H334" s="29"/>
      <c r="I334" s="2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1:43" ht="15.75" customHeight="1" x14ac:dyDescent="0.2">
      <c r="A335"/>
      <c r="B335" s="2"/>
      <c r="C335" s="29"/>
      <c r="D335" s="29"/>
      <c r="E335" s="29"/>
      <c r="F335" s="29"/>
      <c r="G335" s="29"/>
      <c r="H335" s="29"/>
      <c r="I335" s="2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1:43" ht="15.75" customHeight="1" x14ac:dyDescent="0.2">
      <c r="A336"/>
      <c r="B336" s="2"/>
      <c r="C336" s="29"/>
      <c r="D336" s="29"/>
      <c r="E336" s="29"/>
      <c r="F336" s="29"/>
      <c r="G336" s="29"/>
      <c r="H336" s="29"/>
      <c r="I336" s="2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1:43" ht="15.75" customHeight="1" x14ac:dyDescent="0.2">
      <c r="A337"/>
      <c r="B337" s="2"/>
      <c r="C337" s="29"/>
      <c r="D337" s="29"/>
      <c r="E337" s="29"/>
      <c r="F337" s="29"/>
      <c r="G337" s="29"/>
      <c r="H337" s="29"/>
      <c r="I337" s="2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1:43" ht="15.75" customHeight="1" x14ac:dyDescent="0.2">
      <c r="A338"/>
      <c r="B338" s="2"/>
      <c r="C338" s="29"/>
      <c r="D338" s="29"/>
      <c r="E338" s="29"/>
      <c r="F338" s="29"/>
      <c r="G338" s="29"/>
      <c r="H338" s="29"/>
      <c r="I338" s="29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1:43" ht="15.75" customHeight="1" x14ac:dyDescent="0.2">
      <c r="A339"/>
      <c r="B339" s="2"/>
      <c r="C339" s="29"/>
      <c r="D339" s="29"/>
      <c r="E339" s="29"/>
      <c r="F339" s="29"/>
      <c r="G339" s="29"/>
      <c r="H339" s="29"/>
      <c r="I339" s="2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1:43" ht="15.75" customHeight="1" x14ac:dyDescent="0.2">
      <c r="A340"/>
      <c r="B340" s="2"/>
      <c r="C340" s="29"/>
      <c r="D340" s="29"/>
      <c r="E340" s="29"/>
      <c r="F340" s="29"/>
      <c r="G340" s="29"/>
      <c r="H340" s="29"/>
      <c r="I340" s="2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1:43" ht="15.75" customHeight="1" x14ac:dyDescent="0.2">
      <c r="A341"/>
      <c r="B341" s="2"/>
      <c r="C341" s="29"/>
      <c r="D341" s="29"/>
      <c r="E341" s="29"/>
      <c r="F341" s="29"/>
      <c r="G341" s="29"/>
      <c r="H341" s="29"/>
      <c r="I341" s="2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1:43" ht="15.75" customHeight="1" x14ac:dyDescent="0.2">
      <c r="A342"/>
      <c r="B342" s="2"/>
      <c r="C342" s="29"/>
      <c r="D342" s="29"/>
      <c r="E342" s="29"/>
      <c r="F342" s="29"/>
      <c r="G342" s="29"/>
      <c r="H342" s="29"/>
      <c r="I342" s="29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1:43" ht="15.75" customHeight="1" x14ac:dyDescent="0.2">
      <c r="A343"/>
      <c r="B343" s="2"/>
      <c r="C343" s="29"/>
      <c r="D343" s="29"/>
      <c r="E343" s="29"/>
      <c r="F343" s="29"/>
      <c r="G343" s="29"/>
      <c r="H343" s="29"/>
      <c r="I343" s="29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1:43" ht="15.75" customHeight="1" x14ac:dyDescent="0.2">
      <c r="A344"/>
      <c r="B344" s="2"/>
      <c r="C344" s="29"/>
      <c r="D344" s="29"/>
      <c r="E344" s="29"/>
      <c r="F344" s="29"/>
      <c r="G344" s="29"/>
      <c r="H344" s="29"/>
      <c r="I344" s="29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ht="15.75" customHeight="1" x14ac:dyDescent="0.2">
      <c r="A345"/>
      <c r="B345" s="2"/>
      <c r="C345" s="29"/>
      <c r="D345" s="29"/>
      <c r="E345" s="29"/>
      <c r="F345" s="29"/>
      <c r="G345" s="29"/>
      <c r="H345" s="29"/>
      <c r="I345" s="29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ht="15.75" customHeight="1" x14ac:dyDescent="0.2">
      <c r="A346"/>
      <c r="B346" s="2"/>
      <c r="C346" s="29"/>
      <c r="D346" s="29"/>
      <c r="E346" s="29"/>
      <c r="F346" s="29"/>
      <c r="G346" s="29"/>
      <c r="H346" s="29"/>
      <c r="I346" s="29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1:43" ht="15.75" customHeight="1" x14ac:dyDescent="0.2">
      <c r="A347"/>
      <c r="B347" s="2"/>
      <c r="C347" s="29"/>
      <c r="D347" s="29"/>
      <c r="E347" s="29"/>
      <c r="F347" s="29"/>
      <c r="G347" s="29"/>
      <c r="H347" s="29"/>
      <c r="I347" s="29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1:43" ht="15.75" customHeight="1" x14ac:dyDescent="0.2">
      <c r="A348"/>
      <c r="B348" s="2"/>
      <c r="C348" s="29"/>
      <c r="D348" s="29"/>
      <c r="E348" s="29"/>
      <c r="F348" s="29"/>
      <c r="G348" s="29"/>
      <c r="H348" s="29"/>
      <c r="I348" s="29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ht="15.75" customHeight="1" x14ac:dyDescent="0.2">
      <c r="A349"/>
      <c r="B349" s="2"/>
      <c r="C349" s="29"/>
      <c r="D349" s="29"/>
      <c r="E349" s="29"/>
      <c r="F349" s="29"/>
      <c r="G349" s="29"/>
      <c r="H349" s="29"/>
      <c r="I349" s="29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1:43" ht="15.75" customHeight="1" x14ac:dyDescent="0.2">
      <c r="A350"/>
      <c r="B350" s="2"/>
      <c r="C350" s="29"/>
      <c r="D350" s="29"/>
      <c r="E350" s="29"/>
      <c r="F350" s="29"/>
      <c r="G350" s="29"/>
      <c r="H350" s="29"/>
      <c r="I350" s="29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ht="15.75" customHeight="1" x14ac:dyDescent="0.2">
      <c r="A351"/>
      <c r="B351" s="2"/>
      <c r="C351" s="29"/>
      <c r="D351" s="29"/>
      <c r="E351" s="29"/>
      <c r="F351" s="29"/>
      <c r="G351" s="29"/>
      <c r="H351" s="29"/>
      <c r="I351" s="29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1:43" ht="15.75" customHeight="1" x14ac:dyDescent="0.2">
      <c r="A352"/>
      <c r="B352" s="2"/>
      <c r="C352" s="29"/>
      <c r="D352" s="29"/>
      <c r="E352" s="29"/>
      <c r="F352" s="29"/>
      <c r="G352" s="29"/>
      <c r="H352" s="29"/>
      <c r="I352" s="29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1:43" ht="15.75" customHeight="1" x14ac:dyDescent="0.2">
      <c r="A353"/>
      <c r="B353" s="2"/>
      <c r="C353" s="29"/>
      <c r="D353" s="29"/>
      <c r="E353" s="29"/>
      <c r="F353" s="29"/>
      <c r="G353" s="29"/>
      <c r="H353" s="29"/>
      <c r="I353" s="29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1:43" ht="15.75" customHeight="1" x14ac:dyDescent="0.2">
      <c r="A354"/>
      <c r="B354" s="2"/>
      <c r="C354" s="29"/>
      <c r="D354" s="29"/>
      <c r="E354" s="29"/>
      <c r="F354" s="29"/>
      <c r="G354" s="29"/>
      <c r="H354" s="29"/>
      <c r="I354" s="29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1:43" ht="15.75" customHeight="1" x14ac:dyDescent="0.2">
      <c r="A355"/>
      <c r="B355" s="2"/>
      <c r="C355" s="29"/>
      <c r="D355" s="29"/>
      <c r="E355" s="29"/>
      <c r="F355" s="29"/>
      <c r="G355" s="29"/>
      <c r="H355" s="29"/>
      <c r="I355" s="29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1:43" ht="15.75" customHeight="1" x14ac:dyDescent="0.2">
      <c r="A356"/>
      <c r="B356" s="2"/>
      <c r="C356" s="29"/>
      <c r="D356" s="29"/>
      <c r="E356" s="29"/>
      <c r="F356" s="29"/>
      <c r="G356" s="29"/>
      <c r="H356" s="29"/>
      <c r="I356" s="29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1:43" ht="15.75" customHeight="1" x14ac:dyDescent="0.2">
      <c r="A357"/>
      <c r="B357" s="2"/>
      <c r="C357" s="29"/>
      <c r="D357" s="29"/>
      <c r="E357" s="29"/>
      <c r="F357" s="29"/>
      <c r="G357" s="29"/>
      <c r="H357" s="29"/>
      <c r="I357" s="29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1:43" ht="15.75" customHeight="1" x14ac:dyDescent="0.2">
      <c r="A358"/>
      <c r="B358" s="2"/>
      <c r="C358" s="29"/>
      <c r="D358" s="29"/>
      <c r="E358" s="29"/>
      <c r="F358" s="29"/>
      <c r="G358" s="29"/>
      <c r="H358" s="29"/>
      <c r="I358" s="29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1:43" ht="15.75" customHeight="1" x14ac:dyDescent="0.2">
      <c r="A359"/>
      <c r="B359" s="2"/>
      <c r="C359" s="29"/>
      <c r="D359" s="29"/>
      <c r="E359" s="29"/>
      <c r="F359" s="29"/>
      <c r="G359" s="29"/>
      <c r="H359" s="29"/>
      <c r="I359" s="29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1:43" ht="15.75" customHeight="1" x14ac:dyDescent="0.2">
      <c r="A360"/>
      <c r="B360" s="2"/>
      <c r="C360" s="29"/>
      <c r="D360" s="29"/>
      <c r="E360" s="29"/>
      <c r="F360" s="29"/>
      <c r="G360" s="29"/>
      <c r="H360" s="29"/>
      <c r="I360" s="29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1:43" ht="15.75" customHeight="1" x14ac:dyDescent="0.2">
      <c r="A361"/>
      <c r="B361" s="2"/>
      <c r="C361" s="29"/>
      <c r="D361" s="29"/>
      <c r="E361" s="29"/>
      <c r="F361" s="29"/>
      <c r="G361" s="29"/>
      <c r="H361" s="29"/>
      <c r="I361" s="29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1:43" ht="15.75" customHeight="1" x14ac:dyDescent="0.2">
      <c r="A362"/>
      <c r="B362" s="2"/>
      <c r="C362" s="29"/>
      <c r="D362" s="29"/>
      <c r="E362" s="29"/>
      <c r="F362" s="29"/>
      <c r="G362" s="29"/>
      <c r="H362" s="29"/>
      <c r="I362" s="2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1:43" ht="15.75" customHeight="1" x14ac:dyDescent="0.2">
      <c r="A363"/>
      <c r="B363" s="2"/>
      <c r="C363" s="29"/>
      <c r="D363" s="29"/>
      <c r="E363" s="29"/>
      <c r="F363" s="29"/>
      <c r="G363" s="29"/>
      <c r="H363" s="29"/>
      <c r="I363" s="2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1:43" ht="15.75" customHeight="1" x14ac:dyDescent="0.2">
      <c r="A364"/>
      <c r="B364" s="2"/>
      <c r="C364" s="29"/>
      <c r="D364" s="29"/>
      <c r="E364" s="29"/>
      <c r="F364" s="29"/>
      <c r="G364" s="29"/>
      <c r="H364" s="29"/>
      <c r="I364" s="2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1:43" ht="15.75" customHeight="1" x14ac:dyDescent="0.2">
      <c r="A365"/>
      <c r="B365" s="2"/>
      <c r="C365" s="29"/>
      <c r="D365" s="29"/>
      <c r="E365" s="29"/>
      <c r="F365" s="29"/>
      <c r="G365" s="29"/>
      <c r="H365" s="29"/>
      <c r="I365" s="2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1:43" ht="15.75" customHeight="1" x14ac:dyDescent="0.2">
      <c r="A366"/>
      <c r="B366" s="2"/>
      <c r="C366" s="29"/>
      <c r="D366" s="29"/>
      <c r="E366" s="29"/>
      <c r="F366" s="29"/>
      <c r="G366" s="29"/>
      <c r="H366" s="29"/>
      <c r="I366" s="29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ht="15.75" customHeight="1" x14ac:dyDescent="0.2">
      <c r="A367"/>
      <c r="B367" s="2"/>
      <c r="C367" s="29"/>
      <c r="D367" s="29"/>
      <c r="E367" s="29"/>
      <c r="F367" s="29"/>
      <c r="G367" s="29"/>
      <c r="H367" s="29"/>
      <c r="I367" s="29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ht="15.75" customHeight="1" x14ac:dyDescent="0.2">
      <c r="A368"/>
      <c r="B368" s="2"/>
      <c r="C368" s="29"/>
      <c r="D368" s="29"/>
      <c r="E368" s="29"/>
      <c r="F368" s="29"/>
      <c r="G368" s="29"/>
      <c r="H368" s="29"/>
      <c r="I368" s="29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1:43" ht="15.75" customHeight="1" x14ac:dyDescent="0.2">
      <c r="A369"/>
      <c r="B369" s="2"/>
      <c r="C369" s="29"/>
      <c r="D369" s="29"/>
      <c r="E369" s="29"/>
      <c r="F369" s="29"/>
      <c r="G369" s="29"/>
      <c r="H369" s="29"/>
      <c r="I369" s="29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1:43" ht="15.75" customHeight="1" x14ac:dyDescent="0.2">
      <c r="A370"/>
      <c r="B370" s="2"/>
      <c r="C370" s="29"/>
      <c r="D370" s="29"/>
      <c r="E370" s="29"/>
      <c r="F370" s="29"/>
      <c r="G370" s="29"/>
      <c r="H370" s="29"/>
      <c r="I370" s="29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1:43" ht="15.75" customHeight="1" x14ac:dyDescent="0.2">
      <c r="A371"/>
      <c r="B371" s="2"/>
      <c r="C371" s="29"/>
      <c r="D371" s="29"/>
      <c r="E371" s="29"/>
      <c r="F371" s="29"/>
      <c r="G371" s="29"/>
      <c r="H371" s="29"/>
      <c r="I371" s="29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1:43" ht="15.75" customHeight="1" x14ac:dyDescent="0.2">
      <c r="A372"/>
      <c r="B372" s="2"/>
      <c r="C372" s="29"/>
      <c r="D372" s="29"/>
      <c r="E372" s="29"/>
      <c r="F372" s="29"/>
      <c r="G372" s="29"/>
      <c r="H372" s="29"/>
      <c r="I372" s="29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1:43" ht="15.75" customHeight="1" x14ac:dyDescent="0.2">
      <c r="A373"/>
      <c r="B373" s="2"/>
      <c r="C373" s="29"/>
      <c r="D373" s="29"/>
      <c r="E373" s="29"/>
      <c r="F373" s="29"/>
      <c r="G373" s="29"/>
      <c r="H373" s="29"/>
      <c r="I373" s="29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1:43" ht="15.75" customHeight="1" x14ac:dyDescent="0.2">
      <c r="A374"/>
      <c r="B374" s="2"/>
      <c r="C374" s="29"/>
      <c r="D374" s="29"/>
      <c r="E374" s="29"/>
      <c r="F374" s="29"/>
      <c r="G374" s="29"/>
      <c r="H374" s="29"/>
      <c r="I374" s="29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1:43" ht="15.75" customHeight="1" x14ac:dyDescent="0.2">
      <c r="A375"/>
      <c r="B375" s="2"/>
      <c r="C375" s="29"/>
      <c r="D375" s="29"/>
      <c r="E375" s="29"/>
      <c r="F375" s="29"/>
      <c r="G375" s="29"/>
      <c r="H375" s="29"/>
      <c r="I375" s="2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1:43" ht="15.75" customHeight="1" x14ac:dyDescent="0.2">
      <c r="A376"/>
      <c r="B376" s="2"/>
      <c r="C376" s="29"/>
      <c r="D376" s="29"/>
      <c r="E376" s="29"/>
      <c r="F376" s="29"/>
      <c r="G376" s="29"/>
      <c r="H376" s="29"/>
      <c r="I376" s="2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1:43" ht="15.75" customHeight="1" x14ac:dyDescent="0.2">
      <c r="A377"/>
      <c r="B377" s="2"/>
      <c r="C377" s="29"/>
      <c r="D377" s="29"/>
      <c r="E377" s="29"/>
      <c r="F377" s="29"/>
      <c r="G377" s="29"/>
      <c r="H377" s="29"/>
      <c r="I377" s="2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1:43" ht="15.75" customHeight="1" x14ac:dyDescent="0.2">
      <c r="A378"/>
      <c r="B378" s="2"/>
      <c r="C378" s="29"/>
      <c r="D378" s="29"/>
      <c r="E378" s="29"/>
      <c r="F378" s="29"/>
      <c r="G378" s="29"/>
      <c r="H378" s="29"/>
      <c r="I378" s="29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1:43" ht="15.75" customHeight="1" x14ac:dyDescent="0.2">
      <c r="A379"/>
      <c r="B379" s="2"/>
      <c r="C379" s="29"/>
      <c r="D379" s="29"/>
      <c r="E379" s="29"/>
      <c r="F379" s="29"/>
      <c r="G379" s="29"/>
      <c r="H379" s="29"/>
      <c r="I379" s="29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1:43" ht="15.75" customHeight="1" x14ac:dyDescent="0.2">
      <c r="A380"/>
      <c r="B380" s="2"/>
      <c r="C380" s="29"/>
      <c r="D380" s="29"/>
      <c r="E380" s="29"/>
      <c r="F380" s="29"/>
      <c r="G380" s="29"/>
      <c r="H380" s="29"/>
      <c r="I380" s="2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1:43" ht="15.75" customHeight="1" x14ac:dyDescent="0.2">
      <c r="A381"/>
      <c r="B381" s="2"/>
      <c r="C381" s="29"/>
      <c r="D381" s="29"/>
      <c r="E381" s="29"/>
      <c r="F381" s="29"/>
      <c r="G381" s="29"/>
      <c r="H381" s="29"/>
      <c r="I381" s="2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1:43" ht="15.75" customHeight="1" x14ac:dyDescent="0.2">
      <c r="A382"/>
      <c r="B382" s="2"/>
      <c r="C382" s="29"/>
      <c r="D382" s="29"/>
      <c r="E382" s="29"/>
      <c r="F382" s="29"/>
      <c r="G382" s="29"/>
      <c r="H382" s="29"/>
      <c r="I382" s="2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1:43" ht="15.75" customHeight="1" x14ac:dyDescent="0.2">
      <c r="A383"/>
      <c r="B383" s="2"/>
      <c r="C383" s="29"/>
      <c r="D383" s="29"/>
      <c r="E383" s="29"/>
      <c r="F383" s="29"/>
      <c r="G383" s="29"/>
      <c r="H383" s="29"/>
      <c r="I383" s="2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1:43" ht="15.75" customHeight="1" x14ac:dyDescent="0.2">
      <c r="A384"/>
      <c r="B384" s="2"/>
      <c r="C384" s="29"/>
      <c r="D384" s="29"/>
      <c r="E384" s="29"/>
      <c r="F384" s="29"/>
      <c r="G384" s="29"/>
      <c r="H384" s="29"/>
      <c r="I384" s="29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1:43" ht="15.75" customHeight="1" x14ac:dyDescent="0.2">
      <c r="A385"/>
      <c r="B385" s="2"/>
      <c r="C385" s="29"/>
      <c r="D385" s="29"/>
      <c r="E385" s="29"/>
      <c r="F385" s="29"/>
      <c r="G385" s="29"/>
      <c r="H385" s="29"/>
      <c r="I385" s="29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1:43" ht="15.75" customHeight="1" x14ac:dyDescent="0.2">
      <c r="A386"/>
      <c r="B386" s="2"/>
      <c r="C386" s="29"/>
      <c r="D386" s="29"/>
      <c r="E386" s="29"/>
      <c r="F386" s="29"/>
      <c r="G386" s="29"/>
      <c r="H386" s="29"/>
      <c r="I386" s="29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1:43" ht="15.75" customHeight="1" x14ac:dyDescent="0.2">
      <c r="A387"/>
      <c r="B387" s="2"/>
      <c r="C387" s="29"/>
      <c r="D387" s="29"/>
      <c r="E387" s="29"/>
      <c r="F387" s="29"/>
      <c r="G387" s="29"/>
      <c r="H387" s="29"/>
      <c r="I387" s="29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1:43" ht="15.75" customHeight="1" x14ac:dyDescent="0.2">
      <c r="A388"/>
      <c r="B388" s="2"/>
      <c r="C388" s="29"/>
      <c r="D388" s="29"/>
      <c r="E388" s="29"/>
      <c r="F388" s="29"/>
      <c r="G388" s="29"/>
      <c r="H388" s="29"/>
      <c r="I388" s="29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1:43" ht="15.75" customHeight="1" x14ac:dyDescent="0.2">
      <c r="A389"/>
      <c r="B389" s="2"/>
      <c r="C389" s="29"/>
      <c r="D389" s="29"/>
      <c r="E389" s="29"/>
      <c r="F389" s="29"/>
      <c r="G389" s="29"/>
      <c r="H389" s="29"/>
      <c r="I389" s="29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1:43" ht="15.75" customHeight="1" x14ac:dyDescent="0.2">
      <c r="A390"/>
      <c r="B390" s="2"/>
      <c r="C390" s="29"/>
      <c r="D390" s="29"/>
      <c r="E390" s="29"/>
      <c r="F390" s="29"/>
      <c r="G390" s="29"/>
      <c r="H390" s="29"/>
      <c r="I390" s="29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1:43" ht="15.75" customHeight="1" x14ac:dyDescent="0.2">
      <c r="A391"/>
      <c r="B391" s="2"/>
      <c r="C391" s="29"/>
      <c r="D391" s="29"/>
      <c r="E391" s="29"/>
      <c r="F391" s="29"/>
      <c r="G391" s="29"/>
      <c r="H391" s="29"/>
      <c r="I391" s="29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1:43" ht="15.75" customHeight="1" x14ac:dyDescent="0.2">
      <c r="A392"/>
      <c r="B392" s="2"/>
      <c r="C392" s="29"/>
      <c r="D392" s="29"/>
      <c r="E392" s="29"/>
      <c r="F392" s="29"/>
      <c r="G392" s="29"/>
      <c r="H392" s="29"/>
      <c r="I392" s="2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1:43" ht="15.75" customHeight="1" x14ac:dyDescent="0.2">
      <c r="A393"/>
      <c r="B393" s="2"/>
      <c r="C393" s="29"/>
      <c r="D393" s="29"/>
      <c r="E393" s="29"/>
      <c r="F393" s="29"/>
      <c r="G393" s="29"/>
      <c r="H393" s="29"/>
      <c r="I393" s="2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1:43" ht="15.75" customHeight="1" x14ac:dyDescent="0.2">
      <c r="A394"/>
      <c r="B394" s="2"/>
      <c r="C394" s="29"/>
      <c r="D394" s="29"/>
      <c r="E394" s="29"/>
      <c r="F394" s="29"/>
      <c r="G394" s="29"/>
      <c r="H394" s="29"/>
      <c r="I394" s="2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1:43" ht="15.75" customHeight="1" x14ac:dyDescent="0.2">
      <c r="A395"/>
      <c r="B395" s="2"/>
      <c r="C395" s="29"/>
      <c r="D395" s="29"/>
      <c r="E395" s="29"/>
      <c r="F395" s="29"/>
      <c r="G395" s="29"/>
      <c r="H395" s="29"/>
      <c r="I395" s="2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1:43" ht="15.75" customHeight="1" x14ac:dyDescent="0.2">
      <c r="A396"/>
      <c r="B396" s="2"/>
      <c r="C396" s="29"/>
      <c r="D396" s="29"/>
      <c r="E396" s="29"/>
      <c r="F396" s="29"/>
      <c r="G396" s="29"/>
      <c r="H396" s="29"/>
      <c r="I396" s="29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1:43" ht="15.75" customHeight="1" x14ac:dyDescent="0.2">
      <c r="A397"/>
      <c r="B397" s="2"/>
      <c r="C397" s="29"/>
      <c r="D397" s="29"/>
      <c r="E397" s="29"/>
      <c r="F397" s="29"/>
      <c r="G397" s="29"/>
      <c r="H397" s="29"/>
      <c r="I397" s="29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1:43" ht="15.75" customHeight="1" x14ac:dyDescent="0.2">
      <c r="A398"/>
      <c r="B398" s="2"/>
      <c r="C398" s="29"/>
      <c r="D398" s="29"/>
      <c r="E398" s="29"/>
      <c r="F398" s="29"/>
      <c r="G398" s="29"/>
      <c r="H398" s="29"/>
      <c r="I398" s="2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1:43" ht="15.75" customHeight="1" x14ac:dyDescent="0.2">
      <c r="A399"/>
      <c r="B399" s="2"/>
      <c r="C399" s="29"/>
      <c r="D399" s="29"/>
      <c r="E399" s="29"/>
      <c r="F399" s="29"/>
      <c r="G399" s="29"/>
      <c r="H399" s="29"/>
      <c r="I399" s="2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1:43" ht="15.75" customHeight="1" x14ac:dyDescent="0.2">
      <c r="A400"/>
      <c r="B400" s="2"/>
      <c r="C400" s="29"/>
      <c r="D400" s="29"/>
      <c r="E400" s="29"/>
      <c r="F400" s="29"/>
      <c r="G400" s="29"/>
      <c r="H400" s="29"/>
      <c r="I400" s="2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1:43" ht="15.75" customHeight="1" x14ac:dyDescent="0.2">
      <c r="A401"/>
      <c r="B401" s="2"/>
      <c r="C401" s="29"/>
      <c r="D401" s="29"/>
      <c r="E401" s="29"/>
      <c r="F401" s="29"/>
      <c r="G401" s="29"/>
      <c r="H401" s="29"/>
      <c r="I401" s="2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1:43" ht="15.75" customHeight="1" x14ac:dyDescent="0.2">
      <c r="A402"/>
      <c r="B402" s="2"/>
      <c r="C402" s="29"/>
      <c r="D402" s="29"/>
      <c r="E402" s="29"/>
      <c r="F402" s="29"/>
      <c r="G402" s="29"/>
      <c r="H402" s="29"/>
      <c r="I402" s="2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1:43" ht="15.75" customHeight="1" x14ac:dyDescent="0.2">
      <c r="A403"/>
      <c r="B403" s="2"/>
      <c r="C403" s="29"/>
      <c r="D403" s="29"/>
      <c r="E403" s="29"/>
      <c r="F403" s="29"/>
      <c r="G403" s="29"/>
      <c r="H403" s="29"/>
      <c r="I403" s="2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1:43" ht="15.75" customHeight="1" x14ac:dyDescent="0.2">
      <c r="A404"/>
      <c r="B404" s="2"/>
      <c r="C404" s="29"/>
      <c r="D404" s="29"/>
      <c r="E404" s="29"/>
      <c r="F404" s="29"/>
      <c r="G404" s="29"/>
      <c r="H404" s="29"/>
      <c r="I404" s="29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1:43" ht="15.75" customHeight="1" x14ac:dyDescent="0.2">
      <c r="A405"/>
      <c r="B405" s="2"/>
      <c r="C405" s="29"/>
      <c r="D405" s="29"/>
      <c r="E405" s="29"/>
      <c r="F405" s="29"/>
      <c r="G405" s="29"/>
      <c r="H405" s="29"/>
      <c r="I405" s="29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1:43" ht="15.75" customHeight="1" x14ac:dyDescent="0.2">
      <c r="A406"/>
      <c r="B406" s="2"/>
      <c r="C406" s="29"/>
      <c r="D406" s="29"/>
      <c r="E406" s="29"/>
      <c r="F406" s="29"/>
      <c r="G406" s="29"/>
      <c r="H406" s="29"/>
      <c r="I406" s="29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1:43" ht="15.75" customHeight="1" x14ac:dyDescent="0.2">
      <c r="A407"/>
      <c r="B407" s="2"/>
      <c r="C407" s="29"/>
      <c r="D407" s="29"/>
      <c r="E407" s="29"/>
      <c r="F407" s="29"/>
      <c r="G407" s="29"/>
      <c r="H407" s="29"/>
      <c r="I407" s="29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1:43" ht="15.75" customHeight="1" x14ac:dyDescent="0.2">
      <c r="A408"/>
      <c r="B408" s="2"/>
      <c r="C408" s="29"/>
      <c r="D408" s="29"/>
      <c r="E408" s="29"/>
      <c r="F408" s="29"/>
      <c r="G408" s="29"/>
      <c r="H408" s="29"/>
      <c r="I408" s="29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1:43" ht="15.75" customHeight="1" x14ac:dyDescent="0.2">
      <c r="A409"/>
      <c r="B409" s="2"/>
      <c r="C409" s="29"/>
      <c r="D409" s="29"/>
      <c r="E409" s="29"/>
      <c r="F409" s="29"/>
      <c r="G409" s="29"/>
      <c r="H409" s="29"/>
      <c r="I409" s="29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1:43" ht="15.75" customHeight="1" x14ac:dyDescent="0.2">
      <c r="A410"/>
      <c r="B410" s="2"/>
      <c r="C410" s="29"/>
      <c r="D410" s="29"/>
      <c r="E410" s="29"/>
      <c r="F410" s="29"/>
      <c r="G410" s="29"/>
      <c r="H410" s="29"/>
      <c r="I410" s="29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1:43" ht="15.75" customHeight="1" x14ac:dyDescent="0.2">
      <c r="A411"/>
      <c r="B411" s="2"/>
      <c r="C411" s="29"/>
      <c r="D411" s="29"/>
      <c r="E411" s="29"/>
      <c r="F411" s="29"/>
      <c r="G411" s="29"/>
      <c r="H411" s="29"/>
      <c r="I411" s="2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1:43" ht="15.75" customHeight="1" x14ac:dyDescent="0.2">
      <c r="A412"/>
      <c r="B412" s="2"/>
      <c r="C412" s="29"/>
      <c r="D412" s="29"/>
      <c r="E412" s="29"/>
      <c r="F412" s="29"/>
      <c r="G412" s="29"/>
      <c r="H412" s="29"/>
      <c r="I412" s="2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1:43" ht="15.75" customHeight="1" x14ac:dyDescent="0.2">
      <c r="A413"/>
      <c r="B413" s="2"/>
      <c r="C413" s="29"/>
      <c r="D413" s="29"/>
      <c r="E413" s="29"/>
      <c r="F413" s="29"/>
      <c r="G413" s="29"/>
      <c r="H413" s="29"/>
      <c r="I413" s="2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1:43" ht="15.75" customHeight="1" x14ac:dyDescent="0.2">
      <c r="A414"/>
      <c r="B414" s="2"/>
      <c r="C414" s="29"/>
      <c r="D414" s="29"/>
      <c r="E414" s="29"/>
      <c r="F414" s="29"/>
      <c r="G414" s="29"/>
      <c r="H414" s="29"/>
      <c r="I414" s="29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1:43" ht="15.75" customHeight="1" x14ac:dyDescent="0.2">
      <c r="A415"/>
      <c r="B415" s="2"/>
      <c r="C415" s="29"/>
      <c r="D415" s="29"/>
      <c r="E415" s="29"/>
      <c r="F415" s="29"/>
      <c r="G415" s="29"/>
      <c r="H415" s="29"/>
      <c r="I415" s="29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1:43" ht="15.75" customHeight="1" x14ac:dyDescent="0.2">
      <c r="A416"/>
      <c r="B416" s="2"/>
      <c r="C416" s="29"/>
      <c r="D416" s="29"/>
      <c r="E416" s="29"/>
      <c r="F416" s="29"/>
      <c r="G416" s="29"/>
      <c r="H416" s="29"/>
      <c r="I416" s="29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1:43" ht="15.75" customHeight="1" x14ac:dyDescent="0.2">
      <c r="A417"/>
      <c r="B417" s="2"/>
      <c r="C417" s="29"/>
      <c r="D417" s="29"/>
      <c r="E417" s="29"/>
      <c r="F417" s="29"/>
      <c r="G417" s="29"/>
      <c r="H417" s="29"/>
      <c r="I417" s="29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1:43" ht="15.75" customHeight="1" x14ac:dyDescent="0.2">
      <c r="A418"/>
      <c r="B418" s="2"/>
      <c r="C418" s="29"/>
      <c r="D418" s="29"/>
      <c r="E418" s="29"/>
      <c r="F418" s="29"/>
      <c r="G418" s="29"/>
      <c r="H418" s="29"/>
      <c r="I418" s="29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1:43" ht="15.75" customHeight="1" x14ac:dyDescent="0.2">
      <c r="A419"/>
      <c r="B419" s="2"/>
      <c r="C419" s="29"/>
      <c r="D419" s="29"/>
      <c r="E419" s="29"/>
      <c r="F419" s="29"/>
      <c r="G419" s="29"/>
      <c r="H419" s="29"/>
      <c r="I419" s="29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1:43" ht="15.75" customHeight="1" x14ac:dyDescent="0.2">
      <c r="A420"/>
      <c r="B420" s="2"/>
      <c r="C420" s="29"/>
      <c r="D420" s="29"/>
      <c r="E420" s="29"/>
      <c r="F420" s="29"/>
      <c r="G420" s="29"/>
      <c r="H420" s="29"/>
      <c r="I420" s="29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1:43" ht="15.75" customHeight="1" x14ac:dyDescent="0.2">
      <c r="A421"/>
      <c r="B421" s="2"/>
      <c r="C421" s="29"/>
      <c r="D421" s="29"/>
      <c r="E421" s="29"/>
      <c r="F421" s="29"/>
      <c r="G421" s="29"/>
      <c r="H421" s="29"/>
      <c r="I421" s="29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1:43" ht="15.75" customHeight="1" x14ac:dyDescent="0.2">
      <c r="A422"/>
      <c r="B422" s="2"/>
      <c r="C422" s="29"/>
      <c r="D422" s="29"/>
      <c r="E422" s="29"/>
      <c r="F422" s="29"/>
      <c r="G422" s="29"/>
      <c r="H422" s="29"/>
      <c r="I422" s="29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1:43" ht="15.75" customHeight="1" x14ac:dyDescent="0.2">
      <c r="A423"/>
      <c r="B423" s="2"/>
      <c r="C423" s="29"/>
      <c r="D423" s="29"/>
      <c r="E423" s="29"/>
      <c r="F423" s="29"/>
      <c r="G423" s="29"/>
      <c r="H423" s="29"/>
      <c r="I423" s="29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1:43" ht="15.75" customHeight="1" x14ac:dyDescent="0.2">
      <c r="A424"/>
      <c r="B424" s="2"/>
      <c r="C424" s="29"/>
      <c r="D424" s="29"/>
      <c r="E424" s="29"/>
      <c r="F424" s="29"/>
      <c r="G424" s="29"/>
      <c r="H424" s="29"/>
      <c r="I424" s="29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1:43" ht="15.75" customHeight="1" x14ac:dyDescent="0.2">
      <c r="A425"/>
      <c r="B425" s="2"/>
      <c r="C425" s="29"/>
      <c r="D425" s="29"/>
      <c r="E425" s="29"/>
      <c r="F425" s="29"/>
      <c r="G425" s="29"/>
      <c r="H425" s="29"/>
      <c r="I425" s="29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1:43" ht="15.75" customHeight="1" x14ac:dyDescent="0.2">
      <c r="A426"/>
      <c r="B426" s="2"/>
      <c r="C426" s="29"/>
      <c r="D426" s="29"/>
      <c r="E426" s="29"/>
      <c r="F426" s="29"/>
      <c r="G426" s="29"/>
      <c r="H426" s="29"/>
      <c r="I426" s="29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1:43" ht="15.75" customHeight="1" x14ac:dyDescent="0.2">
      <c r="A427"/>
      <c r="B427" s="2"/>
      <c r="C427" s="29"/>
      <c r="D427" s="29"/>
      <c r="E427" s="29"/>
      <c r="F427" s="29"/>
      <c r="G427" s="29"/>
      <c r="H427" s="29"/>
      <c r="I427" s="29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1:43" ht="15.75" customHeight="1" x14ac:dyDescent="0.2">
      <c r="A428"/>
      <c r="B428" s="2"/>
      <c r="C428" s="29"/>
      <c r="D428" s="29"/>
      <c r="E428" s="29"/>
      <c r="F428" s="29"/>
      <c r="G428" s="29"/>
      <c r="H428" s="29"/>
      <c r="I428" s="29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1:43" ht="15.75" customHeight="1" x14ac:dyDescent="0.2">
      <c r="A429"/>
      <c r="B429" s="2"/>
      <c r="C429" s="29"/>
      <c r="D429" s="29"/>
      <c r="E429" s="29"/>
      <c r="F429" s="29"/>
      <c r="G429" s="29"/>
      <c r="H429" s="29"/>
      <c r="I429" s="29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1:43" ht="15.75" customHeight="1" x14ac:dyDescent="0.2">
      <c r="A430"/>
      <c r="B430" s="2"/>
      <c r="C430" s="29"/>
      <c r="D430" s="29"/>
      <c r="E430" s="29"/>
      <c r="F430" s="29"/>
      <c r="G430" s="29"/>
      <c r="H430" s="29"/>
      <c r="I430" s="29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1:43" ht="15.75" customHeight="1" x14ac:dyDescent="0.2">
      <c r="A431"/>
      <c r="B431" s="2"/>
      <c r="C431" s="29"/>
      <c r="D431" s="29"/>
      <c r="E431" s="29"/>
      <c r="F431" s="29"/>
      <c r="G431" s="29"/>
      <c r="H431" s="29"/>
      <c r="I431" s="29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1:43" ht="15.75" customHeight="1" x14ac:dyDescent="0.2">
      <c r="A432"/>
      <c r="B432" s="2"/>
      <c r="C432" s="29"/>
      <c r="D432" s="29"/>
      <c r="E432" s="29"/>
      <c r="F432" s="29"/>
      <c r="G432" s="29"/>
      <c r="H432" s="29"/>
      <c r="I432" s="29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1:43" ht="15.75" customHeight="1" x14ac:dyDescent="0.2">
      <c r="A433"/>
      <c r="B433" s="2"/>
      <c r="C433" s="29"/>
      <c r="D433" s="29"/>
      <c r="E433" s="29"/>
      <c r="F433" s="29"/>
      <c r="G433" s="29"/>
      <c r="H433" s="29"/>
      <c r="I433" s="29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1:43" ht="15.75" customHeight="1" x14ac:dyDescent="0.2">
      <c r="A434"/>
      <c r="B434" s="2"/>
      <c r="C434" s="29"/>
      <c r="D434" s="29"/>
      <c r="E434" s="29"/>
      <c r="F434" s="29"/>
      <c r="G434" s="29"/>
      <c r="H434" s="29"/>
      <c r="I434" s="29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1:43" ht="15.75" customHeight="1" x14ac:dyDescent="0.2">
      <c r="A435"/>
      <c r="B435" s="2"/>
      <c r="C435" s="29"/>
      <c r="D435" s="29"/>
      <c r="E435" s="29"/>
      <c r="F435" s="29"/>
      <c r="G435" s="29"/>
      <c r="H435" s="29"/>
      <c r="I435" s="29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1:43" ht="15.75" customHeight="1" x14ac:dyDescent="0.2">
      <c r="A436"/>
      <c r="B436" s="2"/>
      <c r="C436" s="29"/>
      <c r="D436" s="29"/>
      <c r="E436" s="29"/>
      <c r="F436" s="29"/>
      <c r="G436" s="29"/>
      <c r="H436" s="29"/>
      <c r="I436" s="29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1:43" ht="15.75" customHeight="1" x14ac:dyDescent="0.2">
      <c r="A437"/>
      <c r="B437" s="2"/>
      <c r="C437" s="29"/>
      <c r="D437" s="29"/>
      <c r="E437" s="29"/>
      <c r="F437" s="29"/>
      <c r="G437" s="29"/>
      <c r="H437" s="29"/>
      <c r="I437" s="29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1:43" ht="15.75" customHeight="1" x14ac:dyDescent="0.2">
      <c r="A438"/>
      <c r="B438" s="2"/>
      <c r="C438" s="29"/>
      <c r="D438" s="29"/>
      <c r="E438" s="29"/>
      <c r="F438" s="29"/>
      <c r="G438" s="29"/>
      <c r="H438" s="29"/>
      <c r="I438" s="29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1:43" ht="15.75" customHeight="1" x14ac:dyDescent="0.2">
      <c r="A439"/>
      <c r="B439" s="2"/>
      <c r="C439" s="29"/>
      <c r="D439" s="29"/>
      <c r="E439" s="29"/>
      <c r="F439" s="29"/>
      <c r="G439" s="29"/>
      <c r="H439" s="29"/>
      <c r="I439" s="29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1:43" ht="15.75" customHeight="1" x14ac:dyDescent="0.2">
      <c r="A440"/>
      <c r="B440" s="2"/>
      <c r="C440" s="29"/>
      <c r="D440" s="29"/>
      <c r="E440" s="29"/>
      <c r="F440" s="29"/>
      <c r="G440" s="29"/>
      <c r="H440" s="29"/>
      <c r="I440" s="29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1:43" ht="15.75" customHeight="1" x14ac:dyDescent="0.2">
      <c r="A441"/>
      <c r="B441" s="2"/>
      <c r="C441" s="29"/>
      <c r="D441" s="29"/>
      <c r="E441" s="29"/>
      <c r="F441" s="29"/>
      <c r="G441" s="29"/>
      <c r="H441" s="29"/>
      <c r="I441" s="29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1:43" ht="15.75" customHeight="1" x14ac:dyDescent="0.2">
      <c r="A442"/>
      <c r="B442" s="2"/>
      <c r="C442" s="29"/>
      <c r="D442" s="29"/>
      <c r="E442" s="29"/>
      <c r="F442" s="29"/>
      <c r="G442" s="29"/>
      <c r="H442" s="29"/>
      <c r="I442" s="29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1:43" ht="15.75" customHeight="1" x14ac:dyDescent="0.2">
      <c r="A443"/>
      <c r="B443" s="2"/>
      <c r="C443" s="29"/>
      <c r="D443" s="29"/>
      <c r="E443" s="29"/>
      <c r="F443" s="29"/>
      <c r="G443" s="29"/>
      <c r="H443" s="29"/>
      <c r="I443" s="29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1:43" ht="15.75" customHeight="1" x14ac:dyDescent="0.2">
      <c r="A444"/>
      <c r="B444" s="2"/>
      <c r="C444" s="29"/>
      <c r="D444" s="29"/>
      <c r="E444" s="29"/>
      <c r="F444" s="29"/>
      <c r="G444" s="29"/>
      <c r="H444" s="29"/>
      <c r="I444" s="29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1:43" ht="15.75" customHeight="1" x14ac:dyDescent="0.2">
      <c r="A445"/>
      <c r="B445" s="2"/>
      <c r="C445" s="29"/>
      <c r="D445" s="29"/>
      <c r="E445" s="29"/>
      <c r="F445" s="29"/>
      <c r="G445" s="29"/>
      <c r="H445" s="29"/>
      <c r="I445" s="29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1:43" ht="15.75" customHeight="1" x14ac:dyDescent="0.2">
      <c r="A446"/>
      <c r="B446" s="2"/>
      <c r="C446" s="29"/>
      <c r="D446" s="29"/>
      <c r="E446" s="29"/>
      <c r="F446" s="29"/>
      <c r="G446" s="29"/>
      <c r="H446" s="29"/>
      <c r="I446" s="29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1:43" ht="15.75" customHeight="1" x14ac:dyDescent="0.2">
      <c r="A447"/>
      <c r="B447" s="2"/>
      <c r="C447" s="29"/>
      <c r="D447" s="29"/>
      <c r="E447" s="29"/>
      <c r="F447" s="29"/>
      <c r="G447" s="29"/>
      <c r="H447" s="29"/>
      <c r="I447" s="29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1:43" ht="15.75" customHeight="1" x14ac:dyDescent="0.2">
      <c r="A448"/>
      <c r="B448" s="2"/>
      <c r="C448" s="29"/>
      <c r="D448" s="29"/>
      <c r="E448" s="29"/>
      <c r="F448" s="29"/>
      <c r="G448" s="29"/>
      <c r="H448" s="29"/>
      <c r="I448" s="29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1:43" ht="15.75" customHeight="1" x14ac:dyDescent="0.2">
      <c r="A449"/>
      <c r="B449" s="2"/>
      <c r="C449" s="29"/>
      <c r="D449" s="29"/>
      <c r="E449" s="29"/>
      <c r="F449" s="29"/>
      <c r="G449" s="29"/>
      <c r="H449" s="29"/>
      <c r="I449" s="29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1:43" ht="15.75" customHeight="1" x14ac:dyDescent="0.2">
      <c r="A450"/>
      <c r="B450" s="2"/>
      <c r="C450" s="29"/>
      <c r="D450" s="29"/>
      <c r="E450" s="29"/>
      <c r="F450" s="29"/>
      <c r="G450" s="29"/>
      <c r="H450" s="29"/>
      <c r="I450" s="29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1:43" ht="15.75" customHeight="1" x14ac:dyDescent="0.2">
      <c r="A451"/>
      <c r="B451" s="2"/>
      <c r="C451" s="29"/>
      <c r="D451" s="29"/>
      <c r="E451" s="29"/>
      <c r="F451" s="29"/>
      <c r="G451" s="29"/>
      <c r="H451" s="29"/>
      <c r="I451" s="29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1:43" ht="15.75" customHeight="1" x14ac:dyDescent="0.2">
      <c r="A452"/>
      <c r="B452" s="2"/>
      <c r="C452" s="29"/>
      <c r="D452" s="29"/>
      <c r="E452" s="29"/>
      <c r="F452" s="29"/>
      <c r="G452" s="29"/>
      <c r="H452" s="29"/>
      <c r="I452" s="29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1:43" ht="15.75" customHeight="1" x14ac:dyDescent="0.2">
      <c r="A453"/>
      <c r="B453" s="2"/>
      <c r="C453" s="29"/>
      <c r="D453" s="29"/>
      <c r="E453" s="29"/>
      <c r="F453" s="29"/>
      <c r="G453" s="29"/>
      <c r="H453" s="29"/>
      <c r="I453" s="29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1:43" ht="15.75" customHeight="1" x14ac:dyDescent="0.2">
      <c r="A454"/>
      <c r="B454" s="2"/>
      <c r="C454" s="29"/>
      <c r="D454" s="29"/>
      <c r="E454" s="29"/>
      <c r="F454" s="29"/>
      <c r="G454" s="29"/>
      <c r="H454" s="29"/>
      <c r="I454" s="29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1:43" ht="15.75" customHeight="1" x14ac:dyDescent="0.2">
      <c r="A455"/>
      <c r="B455" s="2"/>
      <c r="C455" s="29"/>
      <c r="D455" s="29"/>
      <c r="E455" s="29"/>
      <c r="F455" s="29"/>
      <c r="G455" s="29"/>
      <c r="H455" s="29"/>
      <c r="I455" s="29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1:43" ht="15.75" customHeight="1" x14ac:dyDescent="0.2">
      <c r="A456"/>
      <c r="B456" s="2"/>
      <c r="C456" s="29"/>
      <c r="D456" s="29"/>
      <c r="E456" s="29"/>
      <c r="F456" s="29"/>
      <c r="G456" s="29"/>
      <c r="H456" s="29"/>
      <c r="I456" s="29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1:43" ht="15.75" customHeight="1" x14ac:dyDescent="0.2">
      <c r="A457"/>
      <c r="B457" s="2"/>
      <c r="C457" s="29"/>
      <c r="D457" s="29"/>
      <c r="E457" s="29"/>
      <c r="F457" s="29"/>
      <c r="G457" s="29"/>
      <c r="H457" s="29"/>
      <c r="I457" s="29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1:43" ht="15.75" customHeight="1" x14ac:dyDescent="0.2">
      <c r="A458"/>
      <c r="B458" s="2"/>
      <c r="C458" s="29"/>
      <c r="D458" s="29"/>
      <c r="E458" s="29"/>
      <c r="F458" s="29"/>
      <c r="G458" s="29"/>
      <c r="H458" s="29"/>
      <c r="I458" s="29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1:43" ht="15.75" customHeight="1" x14ac:dyDescent="0.2">
      <c r="A459"/>
      <c r="B459" s="2"/>
      <c r="C459" s="29"/>
      <c r="D459" s="29"/>
      <c r="E459" s="29"/>
      <c r="F459" s="29"/>
      <c r="G459" s="29"/>
      <c r="H459" s="29"/>
      <c r="I459" s="29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1:43" ht="15.75" customHeight="1" x14ac:dyDescent="0.2">
      <c r="A460"/>
      <c r="B460" s="2"/>
      <c r="C460" s="29"/>
      <c r="D460" s="29"/>
      <c r="E460" s="29"/>
      <c r="F460" s="29"/>
      <c r="G460" s="29"/>
      <c r="H460" s="29"/>
      <c r="I460" s="29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1:43" ht="15.75" customHeight="1" x14ac:dyDescent="0.2">
      <c r="A461"/>
      <c r="B461" s="2"/>
      <c r="C461" s="29"/>
      <c r="D461" s="29"/>
      <c r="E461" s="29"/>
      <c r="F461" s="29"/>
      <c r="G461" s="29"/>
      <c r="H461" s="29"/>
      <c r="I461" s="29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1:43" ht="15.75" customHeight="1" x14ac:dyDescent="0.2">
      <c r="A462"/>
      <c r="B462" s="2"/>
      <c r="C462" s="29"/>
      <c r="D462" s="29"/>
      <c r="E462" s="29"/>
      <c r="F462" s="29"/>
      <c r="G462" s="29"/>
      <c r="H462" s="29"/>
      <c r="I462" s="29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1:43" ht="15.75" customHeight="1" x14ac:dyDescent="0.2">
      <c r="A463"/>
      <c r="B463" s="2"/>
      <c r="C463" s="29"/>
      <c r="D463" s="29"/>
      <c r="E463" s="29"/>
      <c r="F463" s="29"/>
      <c r="G463" s="29"/>
      <c r="H463" s="29"/>
      <c r="I463" s="29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1:43" ht="15.75" customHeight="1" x14ac:dyDescent="0.2">
      <c r="A464"/>
      <c r="B464" s="2"/>
      <c r="C464" s="29"/>
      <c r="D464" s="29"/>
      <c r="E464" s="29"/>
      <c r="F464" s="29"/>
      <c r="G464" s="29"/>
      <c r="H464" s="29"/>
      <c r="I464" s="29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1:43" ht="15.75" customHeight="1" x14ac:dyDescent="0.2">
      <c r="A465"/>
      <c r="B465" s="2"/>
      <c r="C465" s="29"/>
      <c r="D465" s="29"/>
      <c r="E465" s="29"/>
      <c r="F465" s="29"/>
      <c r="G465" s="29"/>
      <c r="H465" s="29"/>
      <c r="I465" s="29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1:43" ht="15.75" customHeight="1" x14ac:dyDescent="0.2">
      <c r="A466"/>
      <c r="B466" s="2"/>
      <c r="C466" s="29"/>
      <c r="D466" s="29"/>
      <c r="E466" s="29"/>
      <c r="F466" s="29"/>
      <c r="G466" s="29"/>
      <c r="H466" s="29"/>
      <c r="I466" s="29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1:43" ht="15.75" customHeight="1" x14ac:dyDescent="0.2">
      <c r="A467"/>
      <c r="B467" s="2"/>
      <c r="C467" s="29"/>
      <c r="D467" s="29"/>
      <c r="E467" s="29"/>
      <c r="F467" s="29"/>
      <c r="G467" s="29"/>
      <c r="H467" s="29"/>
      <c r="I467" s="29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1:43" ht="15.75" customHeight="1" x14ac:dyDescent="0.2">
      <c r="A468"/>
      <c r="B468" s="2"/>
      <c r="C468" s="29"/>
      <c r="D468" s="29"/>
      <c r="E468" s="29"/>
      <c r="F468" s="29"/>
      <c r="G468" s="29"/>
      <c r="H468" s="29"/>
      <c r="I468" s="29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1:43" ht="15.75" customHeight="1" x14ac:dyDescent="0.2">
      <c r="A469"/>
      <c r="B469" s="2"/>
      <c r="C469" s="29"/>
      <c r="D469" s="29"/>
      <c r="E469" s="29"/>
      <c r="F469" s="29"/>
      <c r="G469" s="29"/>
      <c r="H469" s="29"/>
      <c r="I469" s="29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1:43" ht="15.75" customHeight="1" x14ac:dyDescent="0.2">
      <c r="A470"/>
      <c r="B470" s="2"/>
      <c r="C470" s="29"/>
      <c r="D470" s="29"/>
      <c r="E470" s="29"/>
      <c r="F470" s="29"/>
      <c r="G470" s="29"/>
      <c r="H470" s="29"/>
      <c r="I470" s="29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1:43" ht="15.75" customHeight="1" x14ac:dyDescent="0.2">
      <c r="A471"/>
      <c r="B471" s="2"/>
      <c r="C471" s="29"/>
      <c r="D471" s="29"/>
      <c r="E471" s="29"/>
      <c r="F471" s="29"/>
      <c r="G471" s="29"/>
      <c r="H471" s="29"/>
      <c r="I471" s="29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1:43" ht="15.75" customHeight="1" x14ac:dyDescent="0.2">
      <c r="A472"/>
      <c r="B472" s="2"/>
      <c r="C472" s="29"/>
      <c r="D472" s="29"/>
      <c r="E472" s="29"/>
      <c r="F472" s="29"/>
      <c r="G472" s="29"/>
      <c r="H472" s="29"/>
      <c r="I472" s="29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1:43" ht="15.75" customHeight="1" x14ac:dyDescent="0.2">
      <c r="A473"/>
      <c r="B473" s="2"/>
      <c r="C473" s="29"/>
      <c r="D473" s="29"/>
      <c r="E473" s="29"/>
      <c r="F473" s="29"/>
      <c r="G473" s="29"/>
      <c r="H473" s="29"/>
      <c r="I473" s="29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1:43" ht="15.75" customHeight="1" x14ac:dyDescent="0.2">
      <c r="A474"/>
      <c r="B474" s="2"/>
      <c r="C474" s="29"/>
      <c r="D474" s="29"/>
      <c r="E474" s="29"/>
      <c r="F474" s="29"/>
      <c r="G474" s="29"/>
      <c r="H474" s="29"/>
      <c r="I474" s="29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1:43" ht="15.75" customHeight="1" x14ac:dyDescent="0.2">
      <c r="A475"/>
      <c r="B475" s="2"/>
      <c r="C475" s="29"/>
      <c r="D475" s="29"/>
      <c r="E475" s="29"/>
      <c r="F475" s="29"/>
      <c r="G475" s="29"/>
      <c r="H475" s="29"/>
      <c r="I475" s="29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1:43" ht="15.75" customHeight="1" x14ac:dyDescent="0.2">
      <c r="A476"/>
      <c r="B476" s="2"/>
      <c r="C476" s="29"/>
      <c r="D476" s="29"/>
      <c r="E476" s="29"/>
      <c r="F476" s="29"/>
      <c r="G476" s="29"/>
      <c r="H476" s="29"/>
      <c r="I476" s="29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1:43" ht="15.75" customHeight="1" x14ac:dyDescent="0.2">
      <c r="A477"/>
      <c r="B477" s="2"/>
      <c r="C477" s="29"/>
      <c r="D477" s="29"/>
      <c r="E477" s="29"/>
      <c r="F477" s="29"/>
      <c r="G477" s="29"/>
      <c r="H477" s="29"/>
      <c r="I477" s="29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1:43" ht="15.75" customHeight="1" x14ac:dyDescent="0.2">
      <c r="A478"/>
      <c r="B478" s="2"/>
      <c r="C478" s="29"/>
      <c r="D478" s="29"/>
      <c r="E478" s="29"/>
      <c r="F478" s="29"/>
      <c r="G478" s="29"/>
      <c r="H478" s="29"/>
      <c r="I478" s="29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1:43" ht="15.75" customHeight="1" x14ac:dyDescent="0.2">
      <c r="A479"/>
      <c r="B479" s="2"/>
      <c r="C479" s="29"/>
      <c r="D479" s="29"/>
      <c r="E479" s="29"/>
      <c r="F479" s="29"/>
      <c r="G479" s="29"/>
      <c r="H479" s="29"/>
      <c r="I479" s="29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1:43" ht="15.75" customHeight="1" x14ac:dyDescent="0.2">
      <c r="A480"/>
      <c r="B480" s="2"/>
      <c r="C480" s="29"/>
      <c r="D480" s="29"/>
      <c r="E480" s="29"/>
      <c r="F480" s="29"/>
      <c r="G480" s="29"/>
      <c r="H480" s="29"/>
      <c r="I480" s="29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1:43" ht="15.75" customHeight="1" x14ac:dyDescent="0.2">
      <c r="A481"/>
      <c r="B481" s="2"/>
      <c r="C481" s="29"/>
      <c r="D481" s="29"/>
      <c r="E481" s="29"/>
      <c r="F481" s="29"/>
      <c r="G481" s="29"/>
      <c r="H481" s="29"/>
      <c r="I481" s="29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1:43" ht="15.75" customHeight="1" x14ac:dyDescent="0.2">
      <c r="A482"/>
      <c r="B482" s="2"/>
      <c r="C482" s="29"/>
      <c r="D482" s="29"/>
      <c r="E482" s="29"/>
      <c r="F482" s="29"/>
      <c r="G482" s="29"/>
      <c r="H482" s="29"/>
      <c r="I482" s="29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1:43" ht="15.75" customHeight="1" x14ac:dyDescent="0.2">
      <c r="A483"/>
      <c r="B483" s="2"/>
      <c r="C483" s="29"/>
      <c r="D483" s="29"/>
      <c r="E483" s="29"/>
      <c r="F483" s="29"/>
      <c r="G483" s="29"/>
      <c r="H483" s="29"/>
      <c r="I483" s="29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1:43" ht="15.75" customHeight="1" x14ac:dyDescent="0.2">
      <c r="A484"/>
      <c r="B484" s="2"/>
      <c r="C484" s="29"/>
      <c r="D484" s="29"/>
      <c r="E484" s="29"/>
      <c r="F484" s="29"/>
      <c r="G484" s="29"/>
      <c r="H484" s="29"/>
      <c r="I484" s="29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1:43" ht="15.75" customHeight="1" x14ac:dyDescent="0.2">
      <c r="A485"/>
      <c r="B485" s="2"/>
      <c r="C485" s="29"/>
      <c r="D485" s="29"/>
      <c r="E485" s="29"/>
      <c r="F485" s="29"/>
      <c r="G485" s="29"/>
      <c r="H485" s="29"/>
      <c r="I485" s="29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1:43" ht="15.75" customHeight="1" x14ac:dyDescent="0.2">
      <c r="A486"/>
      <c r="B486" s="2"/>
      <c r="C486" s="29"/>
      <c r="D486" s="29"/>
      <c r="E486" s="29"/>
      <c r="F486" s="29"/>
      <c r="G486" s="29"/>
      <c r="H486" s="29"/>
      <c r="I486" s="29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1:43" ht="15.75" customHeight="1" x14ac:dyDescent="0.2">
      <c r="A487"/>
      <c r="B487" s="2"/>
      <c r="C487" s="29"/>
      <c r="D487" s="29"/>
      <c r="E487" s="29"/>
      <c r="F487" s="29"/>
      <c r="G487" s="29"/>
      <c r="H487" s="29"/>
      <c r="I487" s="2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1:43" ht="15.75" customHeight="1" x14ac:dyDescent="0.2">
      <c r="A488"/>
      <c r="B488" s="2"/>
      <c r="C488" s="29"/>
      <c r="D488" s="29"/>
      <c r="E488" s="29"/>
      <c r="F488" s="29"/>
      <c r="G488" s="29"/>
      <c r="H488" s="29"/>
      <c r="I488" s="2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1:43" ht="15.75" customHeight="1" x14ac:dyDescent="0.2">
      <c r="A489"/>
      <c r="B489" s="2"/>
      <c r="C489" s="29"/>
      <c r="D489" s="29"/>
      <c r="E489" s="29"/>
      <c r="F489" s="29"/>
      <c r="G489" s="29"/>
      <c r="H489" s="29"/>
      <c r="I489" s="2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1:43" ht="15.75" customHeight="1" x14ac:dyDescent="0.2">
      <c r="A490"/>
      <c r="B490" s="2"/>
      <c r="C490" s="29"/>
      <c r="D490" s="29"/>
      <c r="E490" s="29"/>
      <c r="F490" s="29"/>
      <c r="G490" s="29"/>
      <c r="H490" s="29"/>
      <c r="I490" s="2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1:43" ht="15.75" customHeight="1" x14ac:dyDescent="0.2">
      <c r="A491"/>
      <c r="B491" s="2"/>
      <c r="C491" s="29"/>
      <c r="D491" s="29"/>
      <c r="E491" s="29"/>
      <c r="F491" s="29"/>
      <c r="G491" s="29"/>
      <c r="H491" s="29"/>
      <c r="I491" s="2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1:43" ht="15.75" customHeight="1" x14ac:dyDescent="0.2">
      <c r="A492"/>
      <c r="B492" s="2"/>
      <c r="C492" s="29"/>
      <c r="D492" s="29"/>
      <c r="E492" s="29"/>
      <c r="F492" s="29"/>
      <c r="G492" s="29"/>
      <c r="H492" s="29"/>
      <c r="I492" s="2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1:43" ht="15.75" customHeight="1" x14ac:dyDescent="0.2">
      <c r="A493"/>
      <c r="B493" s="2"/>
      <c r="C493" s="29"/>
      <c r="D493" s="29"/>
      <c r="E493" s="29"/>
      <c r="F493" s="29"/>
      <c r="G493" s="29"/>
      <c r="H493" s="29"/>
      <c r="I493" s="2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1:43" ht="15.75" customHeight="1" x14ac:dyDescent="0.2">
      <c r="A494"/>
      <c r="B494" s="2"/>
      <c r="C494" s="29"/>
      <c r="D494" s="29"/>
      <c r="E494" s="29"/>
      <c r="F494" s="29"/>
      <c r="G494" s="29"/>
      <c r="H494" s="29"/>
      <c r="I494" s="2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1:43" ht="15.75" customHeight="1" x14ac:dyDescent="0.2">
      <c r="A495"/>
      <c r="B495" s="2"/>
      <c r="C495" s="29"/>
      <c r="D495" s="29"/>
      <c r="E495" s="29"/>
      <c r="F495" s="29"/>
      <c r="G495" s="29"/>
      <c r="H495" s="29"/>
      <c r="I495" s="2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1:43" ht="15.75" customHeight="1" x14ac:dyDescent="0.2">
      <c r="A496"/>
      <c r="B496" s="2"/>
      <c r="C496" s="29"/>
      <c r="D496" s="29"/>
      <c r="E496" s="29"/>
      <c r="F496" s="29"/>
      <c r="G496" s="29"/>
      <c r="H496" s="29"/>
      <c r="I496" s="2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1:43" ht="15.75" customHeight="1" x14ac:dyDescent="0.2">
      <c r="A497"/>
      <c r="B497" s="2"/>
      <c r="C497" s="29"/>
      <c r="D497" s="29"/>
      <c r="E497" s="29"/>
      <c r="F497" s="29"/>
      <c r="G497" s="29"/>
      <c r="H497" s="29"/>
      <c r="I497" s="2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1:43" ht="15.75" customHeight="1" x14ac:dyDescent="0.2">
      <c r="A498"/>
      <c r="B498" s="2"/>
      <c r="C498" s="29"/>
      <c r="D498" s="29"/>
      <c r="E498" s="29"/>
      <c r="F498" s="29"/>
      <c r="G498" s="29"/>
      <c r="H498" s="29"/>
      <c r="I498" s="2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1:43" ht="15.75" customHeight="1" x14ac:dyDescent="0.2">
      <c r="A499"/>
      <c r="B499" s="2"/>
      <c r="C499" s="29"/>
      <c r="D499" s="29"/>
      <c r="E499" s="29"/>
      <c r="F499" s="29"/>
      <c r="G499" s="29"/>
      <c r="H499" s="29"/>
      <c r="I499" s="2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1:43" ht="15.75" customHeight="1" x14ac:dyDescent="0.2">
      <c r="A500"/>
      <c r="B500" s="2"/>
      <c r="C500" s="29"/>
      <c r="D500" s="29"/>
      <c r="E500" s="29"/>
      <c r="F500" s="29"/>
      <c r="G500" s="29"/>
      <c r="H500" s="29"/>
      <c r="I500" s="29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1:43" ht="15.75" customHeight="1" x14ac:dyDescent="0.2">
      <c r="A501"/>
      <c r="B501" s="2"/>
      <c r="C501" s="29"/>
      <c r="D501" s="29"/>
      <c r="E501" s="29"/>
      <c r="F501" s="29"/>
      <c r="G501" s="29"/>
      <c r="H501" s="29"/>
      <c r="I501" s="2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1:43" ht="15.75" customHeight="1" x14ac:dyDescent="0.2">
      <c r="A502"/>
      <c r="B502" s="2"/>
      <c r="C502" s="29"/>
      <c r="D502" s="29"/>
      <c r="E502" s="29"/>
      <c r="F502" s="29"/>
      <c r="G502" s="29"/>
      <c r="H502" s="29"/>
      <c r="I502" s="2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1:43" ht="15.75" customHeight="1" x14ac:dyDescent="0.2">
      <c r="A503"/>
      <c r="B503" s="2"/>
      <c r="C503" s="29"/>
      <c r="D503" s="29"/>
      <c r="E503" s="29"/>
      <c r="F503" s="29"/>
      <c r="G503" s="29"/>
      <c r="H503" s="29"/>
      <c r="I503" s="2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1:43" ht="15.75" customHeight="1" x14ac:dyDescent="0.2">
      <c r="A504"/>
      <c r="B504" s="2"/>
      <c r="C504" s="29"/>
      <c r="D504" s="29"/>
      <c r="E504" s="29"/>
      <c r="F504" s="29"/>
      <c r="G504" s="29"/>
      <c r="H504" s="29"/>
      <c r="I504" s="29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1:43" ht="15.75" customHeight="1" x14ac:dyDescent="0.2">
      <c r="A505"/>
      <c r="B505" s="2"/>
      <c r="C505" s="29"/>
      <c r="D505" s="29"/>
      <c r="E505" s="29"/>
      <c r="F505" s="29"/>
      <c r="G505" s="29"/>
      <c r="H505" s="29"/>
      <c r="I505" s="29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1:43" ht="15.75" customHeight="1" x14ac:dyDescent="0.2">
      <c r="A506"/>
      <c r="B506" s="2"/>
      <c r="C506" s="29"/>
      <c r="D506" s="29"/>
      <c r="E506" s="29"/>
      <c r="F506" s="29"/>
      <c r="G506" s="29"/>
      <c r="H506" s="29"/>
      <c r="I506" s="2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1:43" ht="15.75" customHeight="1" x14ac:dyDescent="0.2">
      <c r="A507"/>
      <c r="B507" s="2"/>
      <c r="C507" s="29"/>
      <c r="D507" s="29"/>
      <c r="E507" s="29"/>
      <c r="F507" s="29"/>
      <c r="G507" s="29"/>
      <c r="H507" s="29"/>
      <c r="I507" s="2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1:43" ht="15.75" customHeight="1" x14ac:dyDescent="0.2">
      <c r="A508"/>
      <c r="B508" s="2"/>
      <c r="C508" s="29"/>
      <c r="D508" s="29"/>
      <c r="E508" s="29"/>
      <c r="F508" s="29"/>
      <c r="G508" s="29"/>
      <c r="H508" s="29"/>
      <c r="I508" s="2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1:43" ht="15.75" customHeight="1" x14ac:dyDescent="0.2">
      <c r="A509"/>
      <c r="B509" s="2"/>
      <c r="C509" s="29"/>
      <c r="D509" s="29"/>
      <c r="E509" s="29"/>
      <c r="F509" s="29"/>
      <c r="G509" s="29"/>
      <c r="H509" s="29"/>
      <c r="I509" s="2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1:43" ht="15.75" customHeight="1" x14ac:dyDescent="0.2">
      <c r="A510"/>
      <c r="B510" s="2"/>
      <c r="C510" s="29"/>
      <c r="D510" s="29"/>
      <c r="E510" s="29"/>
      <c r="F510" s="29"/>
      <c r="G510" s="29"/>
      <c r="H510" s="29"/>
      <c r="I510" s="29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1:43" ht="15.75" customHeight="1" x14ac:dyDescent="0.2">
      <c r="A511"/>
      <c r="B511" s="2"/>
      <c r="C511" s="29"/>
      <c r="D511" s="29"/>
      <c r="E511" s="29"/>
      <c r="F511" s="29"/>
      <c r="G511" s="29"/>
      <c r="H511" s="29"/>
      <c r="I511" s="29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1:43" ht="15.75" customHeight="1" x14ac:dyDescent="0.2">
      <c r="A512"/>
      <c r="B512" s="2"/>
      <c r="C512" s="29"/>
      <c r="D512" s="29"/>
      <c r="E512" s="29"/>
      <c r="F512" s="29"/>
      <c r="G512" s="29"/>
      <c r="H512" s="29"/>
      <c r="I512" s="29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1:43" ht="15.75" customHeight="1" x14ac:dyDescent="0.2">
      <c r="A513"/>
      <c r="B513" s="2"/>
      <c r="C513" s="29"/>
      <c r="D513" s="29"/>
      <c r="E513" s="29"/>
      <c r="F513" s="29"/>
      <c r="G513" s="29"/>
      <c r="H513" s="29"/>
      <c r="I513" s="29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1:43" ht="15.75" customHeight="1" x14ac:dyDescent="0.2">
      <c r="A514"/>
      <c r="B514" s="2"/>
      <c r="C514" s="29"/>
      <c r="D514" s="29"/>
      <c r="E514" s="29"/>
      <c r="F514" s="29"/>
      <c r="G514" s="29"/>
      <c r="H514" s="29"/>
      <c r="I514" s="29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1:43" ht="15.75" customHeight="1" x14ac:dyDescent="0.2">
      <c r="A515"/>
      <c r="B515" s="2"/>
      <c r="C515" s="29"/>
      <c r="D515" s="29"/>
      <c r="E515" s="29"/>
      <c r="F515" s="29"/>
      <c r="G515" s="29"/>
      <c r="H515" s="29"/>
      <c r="I515" s="29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1:43" ht="15.75" customHeight="1" x14ac:dyDescent="0.2">
      <c r="A516"/>
      <c r="B516" s="2"/>
      <c r="C516" s="29"/>
      <c r="D516" s="29"/>
      <c r="E516" s="29"/>
      <c r="F516" s="29"/>
      <c r="G516" s="29"/>
      <c r="H516" s="29"/>
      <c r="I516" s="29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1:43" ht="15.75" customHeight="1" x14ac:dyDescent="0.2">
      <c r="A517"/>
      <c r="B517" s="2"/>
      <c r="C517" s="29"/>
      <c r="D517" s="29"/>
      <c r="E517" s="29"/>
      <c r="F517" s="29"/>
      <c r="G517" s="29"/>
      <c r="H517" s="29"/>
      <c r="I517" s="29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1:43" ht="15.75" customHeight="1" x14ac:dyDescent="0.2">
      <c r="A518"/>
      <c r="B518" s="2"/>
      <c r="C518" s="29"/>
      <c r="D518" s="29"/>
      <c r="E518" s="29"/>
      <c r="F518" s="29"/>
      <c r="G518" s="29"/>
      <c r="H518" s="29"/>
      <c r="I518" s="2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1:43" ht="15.75" customHeight="1" x14ac:dyDescent="0.2">
      <c r="A519"/>
      <c r="B519" s="2"/>
      <c r="C519" s="29"/>
      <c r="D519" s="29"/>
      <c r="E519" s="29"/>
      <c r="F519" s="29"/>
      <c r="G519" s="29"/>
      <c r="H519" s="29"/>
      <c r="I519" s="2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1:43" ht="15.75" customHeight="1" x14ac:dyDescent="0.2">
      <c r="A520"/>
      <c r="B520" s="2"/>
      <c r="C520" s="29"/>
      <c r="D520" s="29"/>
      <c r="E520" s="29"/>
      <c r="F520" s="29"/>
      <c r="G520" s="29"/>
      <c r="H520" s="29"/>
      <c r="I520" s="2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1:43" ht="15.75" customHeight="1" x14ac:dyDescent="0.2">
      <c r="A521"/>
      <c r="B521" s="2"/>
      <c r="C521" s="29"/>
      <c r="D521" s="29"/>
      <c r="E521" s="29"/>
      <c r="F521" s="29"/>
      <c r="G521" s="29"/>
      <c r="H521" s="29"/>
      <c r="I521" s="2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1:43" ht="15.75" customHeight="1" x14ac:dyDescent="0.2">
      <c r="A522"/>
      <c r="B522" s="2"/>
      <c r="C522" s="29"/>
      <c r="D522" s="29"/>
      <c r="E522" s="29"/>
      <c r="F522" s="29"/>
      <c r="G522" s="29"/>
      <c r="H522" s="29"/>
      <c r="I522" s="29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1:43" ht="15.75" customHeight="1" x14ac:dyDescent="0.2">
      <c r="A523"/>
      <c r="B523" s="2"/>
      <c r="C523" s="29"/>
      <c r="D523" s="29"/>
      <c r="E523" s="29"/>
      <c r="F523" s="29"/>
      <c r="G523" s="29"/>
      <c r="H523" s="29"/>
      <c r="I523" s="29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1:43" ht="15.75" customHeight="1" x14ac:dyDescent="0.2">
      <c r="A524"/>
      <c r="B524" s="2"/>
      <c r="C524" s="29"/>
      <c r="D524" s="29"/>
      <c r="E524" s="29"/>
      <c r="F524" s="29"/>
      <c r="G524" s="29"/>
      <c r="H524" s="29"/>
      <c r="I524" s="29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1:43" ht="15.75" customHeight="1" x14ac:dyDescent="0.2">
      <c r="A525"/>
      <c r="B525" s="2"/>
      <c r="C525" s="29"/>
      <c r="D525" s="29"/>
      <c r="E525" s="29"/>
      <c r="F525" s="29"/>
      <c r="G525" s="29"/>
      <c r="H525" s="29"/>
      <c r="I525" s="29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1:43" ht="15.75" customHeight="1" x14ac:dyDescent="0.2">
      <c r="A526"/>
      <c r="B526" s="2"/>
      <c r="C526" s="29"/>
      <c r="D526" s="29"/>
      <c r="E526" s="29"/>
      <c r="F526" s="29"/>
      <c r="G526" s="29"/>
      <c r="H526" s="29"/>
      <c r="I526" s="29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1:43" ht="15.75" customHeight="1" x14ac:dyDescent="0.2">
      <c r="A527"/>
      <c r="B527" s="2"/>
      <c r="C527" s="29"/>
      <c r="D527" s="29"/>
      <c r="E527" s="29"/>
      <c r="F527" s="29"/>
      <c r="G527" s="29"/>
      <c r="H527" s="29"/>
      <c r="I527" s="29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1:43" ht="15.75" customHeight="1" x14ac:dyDescent="0.2">
      <c r="A528"/>
      <c r="B528" s="2"/>
      <c r="C528" s="29"/>
      <c r="D528" s="29"/>
      <c r="E528" s="29"/>
      <c r="F528" s="29"/>
      <c r="G528" s="29"/>
      <c r="H528" s="29"/>
      <c r="I528" s="29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1:43" ht="15.75" customHeight="1" x14ac:dyDescent="0.2">
      <c r="A529"/>
      <c r="B529" s="2"/>
      <c r="C529" s="29"/>
      <c r="D529" s="29"/>
      <c r="E529" s="29"/>
      <c r="F529" s="29"/>
      <c r="G529" s="29"/>
      <c r="H529" s="29"/>
      <c r="I529" s="29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1:43" ht="15.75" customHeight="1" x14ac:dyDescent="0.2">
      <c r="A530"/>
      <c r="B530" s="2"/>
      <c r="C530" s="29"/>
      <c r="D530" s="29"/>
      <c r="E530" s="29"/>
      <c r="F530" s="29"/>
      <c r="G530" s="29"/>
      <c r="H530" s="29"/>
      <c r="I530" s="29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1:43" ht="15.75" customHeight="1" x14ac:dyDescent="0.2">
      <c r="A531"/>
      <c r="B531" s="2"/>
      <c r="C531" s="29"/>
      <c r="D531" s="29"/>
      <c r="E531" s="29"/>
      <c r="F531" s="29"/>
      <c r="G531" s="29"/>
      <c r="H531" s="29"/>
      <c r="I531" s="29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1:43" ht="15.75" customHeight="1" x14ac:dyDescent="0.2">
      <c r="A532"/>
      <c r="B532" s="2"/>
      <c r="C532" s="29"/>
      <c r="D532" s="29"/>
      <c r="E532" s="29"/>
      <c r="F532" s="29"/>
      <c r="G532" s="29"/>
      <c r="H532" s="29"/>
      <c r="I532" s="29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1:43" ht="15.75" customHeight="1" x14ac:dyDescent="0.2">
      <c r="A533"/>
      <c r="B533" s="2"/>
      <c r="C533" s="29"/>
      <c r="D533" s="29"/>
      <c r="E533" s="29"/>
      <c r="F533" s="29"/>
      <c r="G533" s="29"/>
      <c r="H533" s="29"/>
      <c r="I533" s="29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1:43" ht="15.75" customHeight="1" x14ac:dyDescent="0.2">
      <c r="A534"/>
      <c r="B534" s="2"/>
      <c r="C534" s="29"/>
      <c r="D534" s="29"/>
      <c r="E534" s="29"/>
      <c r="F534" s="29"/>
      <c r="G534" s="29"/>
      <c r="H534" s="29"/>
      <c r="I534" s="29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1:43" ht="15.75" customHeight="1" x14ac:dyDescent="0.2">
      <c r="A535"/>
      <c r="B535" s="2"/>
      <c r="C535" s="29"/>
      <c r="D535" s="29"/>
      <c r="E535" s="29"/>
      <c r="F535" s="29"/>
      <c r="G535" s="29"/>
      <c r="H535" s="29"/>
      <c r="I535" s="29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1:43" ht="15.75" customHeight="1" x14ac:dyDescent="0.2">
      <c r="A536"/>
      <c r="B536" s="2"/>
      <c r="C536" s="29"/>
      <c r="D536" s="29"/>
      <c r="E536" s="29"/>
      <c r="F536" s="29"/>
      <c r="G536" s="29"/>
      <c r="H536" s="29"/>
      <c r="I536" s="29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1:43" ht="15.75" customHeight="1" x14ac:dyDescent="0.2">
      <c r="A537"/>
      <c r="B537" s="2"/>
      <c r="C537" s="29"/>
      <c r="D537" s="29"/>
      <c r="E537" s="29"/>
      <c r="F537" s="29"/>
      <c r="G537" s="29"/>
      <c r="H537" s="29"/>
      <c r="I537" s="29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1:43" ht="15.75" customHeight="1" x14ac:dyDescent="0.2">
      <c r="A538"/>
      <c r="B538" s="2"/>
      <c r="C538" s="29"/>
      <c r="D538" s="29"/>
      <c r="E538" s="29"/>
      <c r="F538" s="29"/>
      <c r="G538" s="29"/>
      <c r="H538" s="29"/>
      <c r="I538" s="29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1:43" ht="15.75" customHeight="1" x14ac:dyDescent="0.2">
      <c r="A539"/>
      <c r="B539" s="2"/>
      <c r="C539" s="29"/>
      <c r="D539" s="29"/>
      <c r="E539" s="29"/>
      <c r="F539" s="29"/>
      <c r="G539" s="29"/>
      <c r="H539" s="29"/>
      <c r="I539" s="29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1:43" ht="15.75" customHeight="1" x14ac:dyDescent="0.2">
      <c r="A540"/>
      <c r="B540" s="2"/>
      <c r="C540" s="29"/>
      <c r="D540" s="29"/>
      <c r="E540" s="29"/>
      <c r="F540" s="29"/>
      <c r="G540" s="29"/>
      <c r="H540" s="29"/>
      <c r="I540" s="29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1:43" ht="15.75" customHeight="1" x14ac:dyDescent="0.2">
      <c r="A541"/>
      <c r="B541" s="2"/>
      <c r="C541" s="29"/>
      <c r="D541" s="29"/>
      <c r="E541" s="29"/>
      <c r="F541" s="29"/>
      <c r="G541" s="29"/>
      <c r="H541" s="29"/>
      <c r="I541" s="29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1:43" ht="15.75" customHeight="1" x14ac:dyDescent="0.2">
      <c r="A542"/>
      <c r="B542" s="2"/>
      <c r="C542" s="29"/>
      <c r="D542" s="29"/>
      <c r="E542" s="29"/>
      <c r="F542" s="29"/>
      <c r="G542" s="29"/>
      <c r="H542" s="29"/>
      <c r="I542" s="29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1:43" ht="15.75" customHeight="1" x14ac:dyDescent="0.2">
      <c r="A543"/>
      <c r="B543" s="2"/>
      <c r="C543" s="29"/>
      <c r="D543" s="29"/>
      <c r="E543" s="29"/>
      <c r="F543" s="29"/>
      <c r="G543" s="29"/>
      <c r="H543" s="29"/>
      <c r="I543" s="29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1:43" ht="15.75" customHeight="1" x14ac:dyDescent="0.2">
      <c r="A544"/>
      <c r="B544" s="2"/>
      <c r="C544" s="29"/>
      <c r="D544" s="29"/>
      <c r="E544" s="29"/>
      <c r="F544" s="29"/>
      <c r="G544" s="29"/>
      <c r="H544" s="29"/>
      <c r="I544" s="29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1:43" ht="15.75" customHeight="1" x14ac:dyDescent="0.2">
      <c r="A545"/>
      <c r="B545" s="2"/>
      <c r="C545" s="29"/>
      <c r="D545" s="29"/>
      <c r="E545" s="29"/>
      <c r="F545" s="29"/>
      <c r="G545" s="29"/>
      <c r="H545" s="29"/>
      <c r="I545" s="29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1:43" ht="15.75" customHeight="1" x14ac:dyDescent="0.2">
      <c r="A546"/>
      <c r="B546" s="2"/>
      <c r="C546" s="29"/>
      <c r="D546" s="29"/>
      <c r="E546" s="29"/>
      <c r="F546" s="29"/>
      <c r="G546" s="29"/>
      <c r="H546" s="29"/>
      <c r="I546" s="29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1:43" ht="15.75" customHeight="1" x14ac:dyDescent="0.2">
      <c r="A547"/>
      <c r="B547" s="2"/>
      <c r="C547" s="29"/>
      <c r="D547" s="29"/>
      <c r="E547" s="29"/>
      <c r="F547" s="29"/>
      <c r="G547" s="29"/>
      <c r="H547" s="29"/>
      <c r="I547" s="29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1:43" ht="15.75" customHeight="1" x14ac:dyDescent="0.2">
      <c r="A548"/>
      <c r="B548" s="2"/>
      <c r="C548" s="29"/>
      <c r="D548" s="29"/>
      <c r="E548" s="29"/>
      <c r="F548" s="29"/>
      <c r="G548" s="29"/>
      <c r="H548" s="29"/>
      <c r="I548" s="29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1:43" ht="15.75" customHeight="1" x14ac:dyDescent="0.2">
      <c r="A549"/>
      <c r="B549" s="2"/>
      <c r="C549" s="29"/>
      <c r="D549" s="29"/>
      <c r="E549" s="29"/>
      <c r="F549" s="29"/>
      <c r="G549" s="29"/>
      <c r="H549" s="29"/>
      <c r="I549" s="29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1:43" ht="15.75" customHeight="1" x14ac:dyDescent="0.2">
      <c r="A550"/>
      <c r="B550" s="2"/>
      <c r="C550" s="29"/>
      <c r="D550" s="29"/>
      <c r="E550" s="29"/>
      <c r="F550" s="29"/>
      <c r="G550" s="29"/>
      <c r="H550" s="29"/>
      <c r="I550" s="29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1:43" ht="15.75" customHeight="1" x14ac:dyDescent="0.2">
      <c r="A551"/>
      <c r="B551" s="2"/>
      <c r="C551" s="29"/>
      <c r="D551" s="29"/>
      <c r="E551" s="29"/>
      <c r="F551" s="29"/>
      <c r="G551" s="29"/>
      <c r="H551" s="29"/>
      <c r="I551" s="29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1:43" ht="15.75" customHeight="1" x14ac:dyDescent="0.2">
      <c r="A552"/>
      <c r="B552" s="2"/>
      <c r="C552" s="29"/>
      <c r="D552" s="29"/>
      <c r="E552" s="29"/>
      <c r="F552" s="29"/>
      <c r="G552" s="29"/>
      <c r="H552" s="29"/>
      <c r="I552" s="29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1:43" ht="15.75" customHeight="1" x14ac:dyDescent="0.2">
      <c r="A553"/>
      <c r="B553" s="2"/>
      <c r="C553" s="29"/>
      <c r="D553" s="29"/>
      <c r="E553" s="29"/>
      <c r="F553" s="29"/>
      <c r="G553" s="29"/>
      <c r="H553" s="29"/>
      <c r="I553" s="29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1:43" ht="15.75" customHeight="1" x14ac:dyDescent="0.2">
      <c r="A554"/>
      <c r="B554" s="2"/>
      <c r="C554" s="29"/>
      <c r="D554" s="29"/>
      <c r="E554" s="29"/>
      <c r="F554" s="29"/>
      <c r="G554" s="29"/>
      <c r="H554" s="29"/>
      <c r="I554" s="29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1:43" ht="15.75" customHeight="1" x14ac:dyDescent="0.2">
      <c r="A555"/>
      <c r="B555" s="2"/>
      <c r="C555" s="29"/>
      <c r="D555" s="29"/>
      <c r="E555" s="29"/>
      <c r="F555" s="29"/>
      <c r="G555" s="29"/>
      <c r="H555" s="29"/>
      <c r="I555" s="29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1:43" ht="15.75" customHeight="1" x14ac:dyDescent="0.2">
      <c r="A556"/>
      <c r="B556" s="2"/>
      <c r="C556" s="29"/>
      <c r="D556" s="29"/>
      <c r="E556" s="29"/>
      <c r="F556" s="29"/>
      <c r="G556" s="29"/>
      <c r="H556" s="29"/>
      <c r="I556" s="29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1:43" ht="15.75" customHeight="1" x14ac:dyDescent="0.2">
      <c r="A557"/>
      <c r="B557" s="2"/>
      <c r="C557" s="29"/>
      <c r="D557" s="29"/>
      <c r="E557" s="29"/>
      <c r="F557" s="29"/>
      <c r="G557" s="29"/>
      <c r="H557" s="29"/>
      <c r="I557" s="29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1:43" ht="15.75" customHeight="1" x14ac:dyDescent="0.2">
      <c r="A558"/>
      <c r="B558" s="2"/>
      <c r="C558" s="29"/>
      <c r="D558" s="29"/>
      <c r="E558" s="29"/>
      <c r="F558" s="29"/>
      <c r="G558" s="29"/>
      <c r="H558" s="29"/>
      <c r="I558" s="29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1:43" ht="15.75" customHeight="1" x14ac:dyDescent="0.2">
      <c r="A559"/>
      <c r="B559" s="2"/>
      <c r="C559" s="29"/>
      <c r="D559" s="29"/>
      <c r="E559" s="29"/>
      <c r="F559" s="29"/>
      <c r="G559" s="29"/>
      <c r="H559" s="29"/>
      <c r="I559" s="29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1:43" ht="15.75" customHeight="1" x14ac:dyDescent="0.2">
      <c r="A560"/>
      <c r="B560" s="2"/>
      <c r="C560" s="29"/>
      <c r="D560" s="29"/>
      <c r="E560" s="29"/>
      <c r="F560" s="29"/>
      <c r="G560" s="29"/>
      <c r="H560" s="29"/>
      <c r="I560" s="29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1:43" ht="15.75" customHeight="1" x14ac:dyDescent="0.2">
      <c r="A561"/>
      <c r="B561" s="2"/>
      <c r="C561" s="29"/>
      <c r="D561" s="29"/>
      <c r="E561" s="29"/>
      <c r="F561" s="29"/>
      <c r="G561" s="29"/>
      <c r="H561" s="29"/>
      <c r="I561" s="29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1:43" ht="15.75" customHeight="1" x14ac:dyDescent="0.2">
      <c r="A562"/>
      <c r="B562" s="2"/>
      <c r="C562" s="29"/>
      <c r="D562" s="29"/>
      <c r="E562" s="29"/>
      <c r="F562" s="29"/>
      <c r="G562" s="29"/>
      <c r="H562" s="29"/>
      <c r="I562" s="29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1:43" ht="15.75" customHeight="1" x14ac:dyDescent="0.2">
      <c r="A563"/>
      <c r="B563" s="2"/>
      <c r="C563" s="29"/>
      <c r="D563" s="29"/>
      <c r="E563" s="29"/>
      <c r="F563" s="29"/>
      <c r="G563" s="29"/>
      <c r="H563" s="29"/>
      <c r="I563" s="29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1:43" ht="15.75" customHeight="1" x14ac:dyDescent="0.2">
      <c r="A564"/>
      <c r="B564" s="2"/>
      <c r="C564" s="29"/>
      <c r="D564" s="29"/>
      <c r="E564" s="29"/>
      <c r="F564" s="29"/>
      <c r="G564" s="29"/>
      <c r="H564" s="29"/>
      <c r="I564" s="29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1:43" ht="15.75" customHeight="1" x14ac:dyDescent="0.2">
      <c r="A565"/>
      <c r="B565" s="2"/>
      <c r="C565" s="29"/>
      <c r="D565" s="29"/>
      <c r="E565" s="29"/>
      <c r="F565" s="29"/>
      <c r="G565" s="29"/>
      <c r="H565" s="29"/>
      <c r="I565" s="29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1:43" ht="15.75" customHeight="1" x14ac:dyDescent="0.2">
      <c r="A566"/>
      <c r="B566" s="2"/>
      <c r="C566" s="29"/>
      <c r="D566" s="29"/>
      <c r="E566" s="29"/>
      <c r="F566" s="29"/>
      <c r="G566" s="29"/>
      <c r="H566" s="29"/>
      <c r="I566" s="29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1:43" ht="15.75" customHeight="1" x14ac:dyDescent="0.2">
      <c r="A567"/>
      <c r="B567" s="2"/>
      <c r="C567" s="29"/>
      <c r="D567" s="29"/>
      <c r="E567" s="29"/>
      <c r="F567" s="29"/>
      <c r="G567" s="29"/>
      <c r="H567" s="29"/>
      <c r="I567" s="29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1:43" ht="15.75" customHeight="1" x14ac:dyDescent="0.2">
      <c r="A568"/>
      <c r="B568" s="2"/>
      <c r="C568" s="29"/>
      <c r="D568" s="29"/>
      <c r="E568" s="29"/>
      <c r="F568" s="29"/>
      <c r="G568" s="29"/>
      <c r="H568" s="29"/>
      <c r="I568" s="29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1:43" ht="15.75" customHeight="1" x14ac:dyDescent="0.2">
      <c r="A569"/>
      <c r="B569" s="2"/>
      <c r="C569" s="29"/>
      <c r="D569" s="29"/>
      <c r="E569" s="29"/>
      <c r="F569" s="29"/>
      <c r="G569" s="29"/>
      <c r="H569" s="29"/>
      <c r="I569" s="29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1:43" ht="15.75" customHeight="1" x14ac:dyDescent="0.2">
      <c r="A570"/>
      <c r="B570" s="2"/>
      <c r="C570" s="29"/>
      <c r="D570" s="29"/>
      <c r="E570" s="29"/>
      <c r="F570" s="29"/>
      <c r="G570" s="29"/>
      <c r="H570" s="29"/>
      <c r="I570" s="29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1:43" ht="15.75" customHeight="1" x14ac:dyDescent="0.2">
      <c r="A571"/>
      <c r="B571" s="2"/>
      <c r="C571" s="29"/>
      <c r="D571" s="29"/>
      <c r="E571" s="29"/>
      <c r="F571" s="29"/>
      <c r="G571" s="29"/>
      <c r="H571" s="29"/>
      <c r="I571" s="29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1:43" ht="15.75" customHeight="1" x14ac:dyDescent="0.2">
      <c r="A572"/>
      <c r="B572" s="2"/>
      <c r="C572" s="29"/>
      <c r="D572" s="29"/>
      <c r="E572" s="29"/>
      <c r="F572" s="29"/>
      <c r="G572" s="29"/>
      <c r="H572" s="29"/>
      <c r="I572" s="29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1:43" ht="15.75" customHeight="1" x14ac:dyDescent="0.2">
      <c r="A573"/>
      <c r="B573" s="2"/>
      <c r="C573" s="29"/>
      <c r="D573" s="29"/>
      <c r="E573" s="29"/>
      <c r="F573" s="29"/>
      <c r="G573" s="29"/>
      <c r="H573" s="29"/>
      <c r="I573" s="29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1:43" ht="15.75" customHeight="1" x14ac:dyDescent="0.2">
      <c r="A574"/>
      <c r="B574" s="2"/>
      <c r="C574" s="29"/>
      <c r="D574" s="29"/>
      <c r="E574" s="29"/>
      <c r="F574" s="29"/>
      <c r="G574" s="29"/>
      <c r="H574" s="29"/>
      <c r="I574" s="29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1:43" ht="15.75" customHeight="1" x14ac:dyDescent="0.2">
      <c r="A575"/>
      <c r="B575" s="2"/>
      <c r="C575" s="29"/>
      <c r="D575" s="29"/>
      <c r="E575" s="29"/>
      <c r="F575" s="29"/>
      <c r="G575" s="29"/>
      <c r="H575" s="29"/>
      <c r="I575" s="29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1:43" ht="15.75" customHeight="1" x14ac:dyDescent="0.2">
      <c r="A576"/>
      <c r="B576" s="2"/>
      <c r="C576" s="29"/>
      <c r="D576" s="29"/>
      <c r="E576" s="29"/>
      <c r="F576" s="29"/>
      <c r="G576" s="29"/>
      <c r="H576" s="29"/>
      <c r="I576" s="29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1:43" ht="15.75" customHeight="1" x14ac:dyDescent="0.2">
      <c r="A577"/>
      <c r="B577" s="2"/>
      <c r="C577" s="29"/>
      <c r="D577" s="29"/>
      <c r="E577" s="29"/>
      <c r="F577" s="29"/>
      <c r="G577" s="29"/>
      <c r="H577" s="29"/>
      <c r="I577" s="29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ht="15.75" customHeight="1" x14ac:dyDescent="0.2">
      <c r="A578"/>
      <c r="B578" s="2"/>
      <c r="C578" s="29"/>
      <c r="D578" s="29"/>
      <c r="E578" s="29"/>
      <c r="F578" s="29"/>
      <c r="G578" s="29"/>
      <c r="H578" s="29"/>
      <c r="I578" s="29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1:43" ht="15.75" customHeight="1" x14ac:dyDescent="0.2">
      <c r="A579"/>
      <c r="B579" s="2"/>
      <c r="C579" s="29"/>
      <c r="D579" s="29"/>
      <c r="E579" s="29"/>
      <c r="F579" s="29"/>
      <c r="G579" s="29"/>
      <c r="H579" s="29"/>
      <c r="I579" s="29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ht="15.75" customHeight="1" x14ac:dyDescent="0.2">
      <c r="A580"/>
      <c r="B580" s="2"/>
      <c r="C580" s="29"/>
      <c r="D580" s="29"/>
      <c r="E580" s="29"/>
      <c r="F580" s="29"/>
      <c r="G580" s="29"/>
      <c r="H580" s="29"/>
      <c r="I580" s="29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1:43" ht="15.75" customHeight="1" x14ac:dyDescent="0.2">
      <c r="A581"/>
      <c r="B581" s="2"/>
      <c r="C581" s="29"/>
      <c r="D581" s="29"/>
      <c r="E581" s="29"/>
      <c r="F581" s="29"/>
      <c r="G581" s="29"/>
      <c r="H581" s="29"/>
      <c r="I581" s="29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1:43" ht="15.75" customHeight="1" x14ac:dyDescent="0.2">
      <c r="A582"/>
      <c r="B582" s="2"/>
      <c r="C582" s="29"/>
      <c r="D582" s="29"/>
      <c r="E582" s="29"/>
      <c r="F582" s="29"/>
      <c r="G582" s="29"/>
      <c r="H582" s="29"/>
      <c r="I582" s="29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1:43" ht="15.75" customHeight="1" x14ac:dyDescent="0.2">
      <c r="A583"/>
      <c r="B583" s="2"/>
      <c r="C583" s="29"/>
      <c r="D583" s="29"/>
      <c r="E583" s="29"/>
      <c r="F583" s="29"/>
      <c r="G583" s="29"/>
      <c r="H583" s="29"/>
      <c r="I583" s="29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ht="15.75" customHeight="1" x14ac:dyDescent="0.2">
      <c r="A584"/>
      <c r="B584" s="2"/>
      <c r="C584" s="29"/>
      <c r="D584" s="29"/>
      <c r="E584" s="29"/>
      <c r="F584" s="29"/>
      <c r="G584" s="29"/>
      <c r="H584" s="29"/>
      <c r="I584" s="29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1:43" ht="15.75" customHeight="1" x14ac:dyDescent="0.2">
      <c r="A585"/>
      <c r="B585" s="2"/>
      <c r="C585" s="29"/>
      <c r="D585" s="29"/>
      <c r="E585" s="29"/>
      <c r="F585" s="29"/>
      <c r="G585" s="29"/>
      <c r="H585" s="29"/>
      <c r="I585" s="29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1:43" ht="15.75" customHeight="1" x14ac:dyDescent="0.2">
      <c r="A586"/>
      <c r="B586" s="2"/>
      <c r="C586" s="29"/>
      <c r="D586" s="29"/>
      <c r="E586" s="29"/>
      <c r="F586" s="29"/>
      <c r="G586" s="29"/>
      <c r="H586" s="29"/>
      <c r="I586" s="29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1:43" ht="15.75" customHeight="1" x14ac:dyDescent="0.2">
      <c r="A587"/>
      <c r="B587" s="2"/>
      <c r="C587" s="29"/>
      <c r="D587" s="29"/>
      <c r="E587" s="29"/>
      <c r="F587" s="29"/>
      <c r="G587" s="29"/>
      <c r="H587" s="29"/>
      <c r="I587" s="29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1:43" ht="15.75" customHeight="1" x14ac:dyDescent="0.2">
      <c r="A588"/>
      <c r="B588" s="2"/>
      <c r="C588" s="29"/>
      <c r="D588" s="29"/>
      <c r="E588" s="29"/>
      <c r="F588" s="29"/>
      <c r="G588" s="29"/>
      <c r="H588" s="29"/>
      <c r="I588" s="29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1:43" ht="15.75" customHeight="1" x14ac:dyDescent="0.2">
      <c r="A589"/>
      <c r="B589" s="2"/>
      <c r="C589" s="29"/>
      <c r="D589" s="29"/>
      <c r="E589" s="29"/>
      <c r="F589" s="29"/>
      <c r="G589" s="29"/>
      <c r="H589" s="29"/>
      <c r="I589" s="29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1:43" ht="15.75" customHeight="1" x14ac:dyDescent="0.2">
      <c r="A590"/>
      <c r="B590" s="2"/>
      <c r="C590" s="29"/>
      <c r="D590" s="29"/>
      <c r="E590" s="29"/>
      <c r="F590" s="29"/>
      <c r="G590" s="29"/>
      <c r="H590" s="29"/>
      <c r="I590" s="29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1:43" ht="15.75" customHeight="1" x14ac:dyDescent="0.2">
      <c r="A591"/>
      <c r="B591" s="2"/>
      <c r="C591" s="29"/>
      <c r="D591" s="29"/>
      <c r="E591" s="29"/>
      <c r="F591" s="29"/>
      <c r="G591" s="29"/>
      <c r="H591" s="29"/>
      <c r="I591" s="29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1:43" ht="15.75" customHeight="1" x14ac:dyDescent="0.2">
      <c r="A592"/>
      <c r="B592" s="2"/>
      <c r="C592" s="29"/>
      <c r="D592" s="29"/>
      <c r="E592" s="29"/>
      <c r="F592" s="29"/>
      <c r="G592" s="29"/>
      <c r="H592" s="29"/>
      <c r="I592" s="29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1:43" ht="15.75" customHeight="1" x14ac:dyDescent="0.2">
      <c r="A593"/>
      <c r="B593" s="2"/>
      <c r="C593" s="29"/>
      <c r="D593" s="29"/>
      <c r="E593" s="29"/>
      <c r="F593" s="29"/>
      <c r="G593" s="29"/>
      <c r="H593" s="29"/>
      <c r="I593" s="29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1:43" ht="15.75" customHeight="1" x14ac:dyDescent="0.2">
      <c r="A594"/>
      <c r="B594" s="2"/>
      <c r="C594" s="29"/>
      <c r="D594" s="29"/>
      <c r="E594" s="29"/>
      <c r="F594" s="29"/>
      <c r="G594" s="29"/>
      <c r="H594" s="29"/>
      <c r="I594" s="29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1:43" ht="15.75" customHeight="1" x14ac:dyDescent="0.2">
      <c r="A595"/>
      <c r="B595" s="2"/>
      <c r="C595" s="29"/>
      <c r="D595" s="29"/>
      <c r="E595" s="29"/>
      <c r="F595" s="29"/>
      <c r="G595" s="29"/>
      <c r="H595" s="29"/>
      <c r="I595" s="29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1:43" ht="15.75" customHeight="1" x14ac:dyDescent="0.2">
      <c r="A596"/>
      <c r="B596" s="2"/>
      <c r="C596" s="29"/>
      <c r="D596" s="29"/>
      <c r="E596" s="29"/>
      <c r="F596" s="29"/>
      <c r="G596" s="29"/>
      <c r="H596" s="29"/>
      <c r="I596" s="29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1:43" ht="15.75" customHeight="1" x14ac:dyDescent="0.2">
      <c r="A597"/>
      <c r="B597" s="2"/>
      <c r="C597" s="29"/>
      <c r="D597" s="29"/>
      <c r="E597" s="29"/>
      <c r="F597" s="29"/>
      <c r="G597" s="29"/>
      <c r="H597" s="29"/>
      <c r="I597" s="29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1:43" ht="15.75" customHeight="1" x14ac:dyDescent="0.2">
      <c r="A598"/>
      <c r="B598" s="2"/>
      <c r="C598" s="29"/>
      <c r="D598" s="29"/>
      <c r="E598" s="29"/>
      <c r="F598" s="29"/>
      <c r="G598" s="29"/>
      <c r="H598" s="29"/>
      <c r="I598" s="29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1:43" ht="15.75" customHeight="1" x14ac:dyDescent="0.2">
      <c r="A599"/>
      <c r="B599" s="2"/>
      <c r="C599" s="29"/>
      <c r="D599" s="29"/>
      <c r="E599" s="29"/>
      <c r="F599" s="29"/>
      <c r="G599" s="29"/>
      <c r="H599" s="29"/>
      <c r="I599" s="29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1:43" ht="15.75" customHeight="1" x14ac:dyDescent="0.2">
      <c r="A600"/>
      <c r="B600" s="2"/>
      <c r="C600" s="29"/>
      <c r="D600" s="29"/>
      <c r="E600" s="29"/>
      <c r="F600" s="29"/>
      <c r="G600" s="29"/>
      <c r="H600" s="29"/>
      <c r="I600" s="29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1:43" ht="15.75" customHeight="1" x14ac:dyDescent="0.2">
      <c r="A601"/>
      <c r="B601" s="2"/>
      <c r="C601" s="29"/>
      <c r="D601" s="29"/>
      <c r="E601" s="29"/>
      <c r="F601" s="29"/>
      <c r="G601" s="29"/>
      <c r="H601" s="29"/>
      <c r="I601" s="29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1:43" ht="15.75" customHeight="1" x14ac:dyDescent="0.2">
      <c r="A602"/>
      <c r="B602" s="2"/>
      <c r="C602" s="29"/>
      <c r="D602" s="29"/>
      <c r="E602" s="29"/>
      <c r="F602" s="29"/>
      <c r="G602" s="29"/>
      <c r="H602" s="29"/>
      <c r="I602" s="29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1:43" ht="15.75" customHeight="1" x14ac:dyDescent="0.2">
      <c r="A603"/>
      <c r="B603" s="2"/>
      <c r="C603" s="29"/>
      <c r="D603" s="29"/>
      <c r="E603" s="29"/>
      <c r="F603" s="29"/>
      <c r="G603" s="29"/>
      <c r="H603" s="29"/>
      <c r="I603" s="29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1:43" ht="15.75" customHeight="1" x14ac:dyDescent="0.2">
      <c r="A604"/>
      <c r="B604" s="2"/>
      <c r="C604" s="29"/>
      <c r="D604" s="29"/>
      <c r="E604" s="29"/>
      <c r="F604" s="29"/>
      <c r="G604" s="29"/>
      <c r="H604" s="29"/>
      <c r="I604" s="29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1:43" ht="15.75" customHeight="1" x14ac:dyDescent="0.2">
      <c r="A605"/>
      <c r="B605" s="2"/>
      <c r="C605" s="29"/>
      <c r="D605" s="29"/>
      <c r="E605" s="29"/>
      <c r="F605" s="29"/>
      <c r="G605" s="29"/>
      <c r="H605" s="29"/>
      <c r="I605" s="29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1:43" ht="15.75" customHeight="1" x14ac:dyDescent="0.2">
      <c r="A606"/>
      <c r="B606" s="2"/>
      <c r="C606" s="29"/>
      <c r="D606" s="29"/>
      <c r="E606" s="29"/>
      <c r="F606" s="29"/>
      <c r="G606" s="29"/>
      <c r="H606" s="29"/>
      <c r="I606" s="29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1:43" ht="15.75" customHeight="1" x14ac:dyDescent="0.2">
      <c r="A607"/>
      <c r="B607" s="2"/>
      <c r="C607" s="29"/>
      <c r="D607" s="29"/>
      <c r="E607" s="29"/>
      <c r="F607" s="29"/>
      <c r="G607" s="29"/>
      <c r="H607" s="29"/>
      <c r="I607" s="29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1:43" ht="15.75" customHeight="1" x14ac:dyDescent="0.2">
      <c r="A608"/>
      <c r="B608" s="2"/>
      <c r="C608" s="29"/>
      <c r="D608" s="29"/>
      <c r="E608" s="29"/>
      <c r="F608" s="29"/>
      <c r="G608" s="29"/>
      <c r="H608" s="29"/>
      <c r="I608" s="29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1:43" ht="15.75" customHeight="1" x14ac:dyDescent="0.2">
      <c r="A609"/>
      <c r="B609" s="2"/>
      <c r="C609" s="29"/>
      <c r="D609" s="29"/>
      <c r="E609" s="29"/>
      <c r="F609" s="29"/>
      <c r="G609" s="29"/>
      <c r="H609" s="29"/>
      <c r="I609" s="29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1:43" ht="15.75" customHeight="1" x14ac:dyDescent="0.2">
      <c r="A610"/>
      <c r="B610" s="2"/>
      <c r="C610" s="29"/>
      <c r="D610" s="29"/>
      <c r="E610" s="29"/>
      <c r="F610" s="29"/>
      <c r="G610" s="29"/>
      <c r="H610" s="29"/>
      <c r="I610" s="29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1:43" ht="15.75" customHeight="1" x14ac:dyDescent="0.2">
      <c r="A611"/>
      <c r="B611" s="2"/>
      <c r="C611" s="29"/>
      <c r="D611" s="29"/>
      <c r="E611" s="29"/>
      <c r="F611" s="29"/>
      <c r="G611" s="29"/>
      <c r="H611" s="29"/>
      <c r="I611" s="29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1:43" ht="15.75" customHeight="1" x14ac:dyDescent="0.2">
      <c r="A612"/>
      <c r="B612" s="2"/>
      <c r="C612" s="29"/>
      <c r="D612" s="29"/>
      <c r="E612" s="29"/>
      <c r="F612" s="29"/>
      <c r="G612" s="29"/>
      <c r="H612" s="29"/>
      <c r="I612" s="29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1:43" ht="15.75" customHeight="1" x14ac:dyDescent="0.2">
      <c r="A613"/>
      <c r="B613" s="2"/>
      <c r="C613" s="29"/>
      <c r="D613" s="29"/>
      <c r="E613" s="29"/>
      <c r="F613" s="29"/>
      <c r="G613" s="29"/>
      <c r="H613" s="29"/>
      <c r="I613" s="29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1:43" ht="15.75" customHeight="1" x14ac:dyDescent="0.2">
      <c r="A614"/>
      <c r="B614" s="2"/>
      <c r="C614" s="29"/>
      <c r="D614" s="29"/>
      <c r="E614" s="29"/>
      <c r="F614" s="29"/>
      <c r="G614" s="29"/>
      <c r="H614" s="29"/>
      <c r="I614" s="29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1:43" ht="15.75" customHeight="1" x14ac:dyDescent="0.2">
      <c r="A615"/>
      <c r="B615" s="2"/>
      <c r="C615" s="29"/>
      <c r="D615" s="29"/>
      <c r="E615" s="29"/>
      <c r="F615" s="29"/>
      <c r="G615" s="29"/>
      <c r="H615" s="29"/>
      <c r="I615" s="2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1:43" ht="15.75" customHeight="1" x14ac:dyDescent="0.2">
      <c r="A616"/>
      <c r="B616" s="2"/>
      <c r="C616" s="29"/>
      <c r="D616" s="29"/>
      <c r="E616" s="29"/>
      <c r="F616" s="29"/>
      <c r="G616" s="29"/>
      <c r="H616" s="29"/>
      <c r="I616" s="2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1:43" ht="15.75" customHeight="1" x14ac:dyDescent="0.2">
      <c r="A617"/>
      <c r="B617" s="2"/>
      <c r="C617" s="29"/>
      <c r="D617" s="29"/>
      <c r="E617" s="29"/>
      <c r="F617" s="29"/>
      <c r="G617" s="29"/>
      <c r="H617" s="29"/>
      <c r="I617" s="2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1:43" ht="15.75" customHeight="1" x14ac:dyDescent="0.2">
      <c r="A618"/>
      <c r="B618" s="2"/>
      <c r="C618" s="29"/>
      <c r="D618" s="29"/>
      <c r="E618" s="29"/>
      <c r="F618" s="29"/>
      <c r="G618" s="29"/>
      <c r="H618" s="29"/>
      <c r="I618" s="29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1:43" ht="15.75" customHeight="1" x14ac:dyDescent="0.2">
      <c r="A619"/>
      <c r="B619" s="2"/>
      <c r="C619" s="29"/>
      <c r="D619" s="29"/>
      <c r="E619" s="29"/>
      <c r="F619" s="29"/>
      <c r="G619" s="29"/>
      <c r="H619" s="29"/>
      <c r="I619" s="29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1:43" ht="15.75" customHeight="1" x14ac:dyDescent="0.2">
      <c r="A620"/>
      <c r="B620" s="2"/>
      <c r="C620" s="29"/>
      <c r="D620" s="29"/>
      <c r="E620" s="29"/>
      <c r="F620" s="29"/>
      <c r="G620" s="29"/>
      <c r="H620" s="29"/>
      <c r="I620" s="29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1:43" ht="15.75" customHeight="1" x14ac:dyDescent="0.2">
      <c r="A621"/>
      <c r="B621" s="2"/>
      <c r="C621" s="29"/>
      <c r="D621" s="29"/>
      <c r="E621" s="29"/>
      <c r="F621" s="29"/>
      <c r="G621" s="29"/>
      <c r="H621" s="29"/>
      <c r="I621" s="29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1:43" ht="15.75" customHeight="1" x14ac:dyDescent="0.2">
      <c r="A622"/>
      <c r="B622" s="2"/>
      <c r="C622" s="29"/>
      <c r="D622" s="29"/>
      <c r="E622" s="29"/>
      <c r="F622" s="29"/>
      <c r="G622" s="29"/>
      <c r="H622" s="29"/>
      <c r="I622" s="29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1:43" ht="15.75" customHeight="1" x14ac:dyDescent="0.2">
      <c r="A623"/>
      <c r="B623" s="2"/>
      <c r="C623" s="29"/>
      <c r="D623" s="29"/>
      <c r="E623" s="29"/>
      <c r="F623" s="29"/>
      <c r="G623" s="29"/>
      <c r="H623" s="29"/>
      <c r="I623" s="29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1:43" ht="15.75" customHeight="1" x14ac:dyDescent="0.2">
      <c r="A624"/>
      <c r="B624" s="2"/>
      <c r="C624" s="29"/>
      <c r="D624" s="29"/>
      <c r="E624" s="29"/>
      <c r="F624" s="29"/>
      <c r="G624" s="29"/>
      <c r="H624" s="29"/>
      <c r="I624" s="29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1:43" ht="15.75" customHeight="1" x14ac:dyDescent="0.2">
      <c r="A625"/>
      <c r="B625" s="2"/>
      <c r="C625" s="29"/>
      <c r="D625" s="29"/>
      <c r="E625" s="29"/>
      <c r="F625" s="29"/>
      <c r="G625" s="29"/>
      <c r="H625" s="29"/>
      <c r="I625" s="29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1:43" ht="15.75" customHeight="1" x14ac:dyDescent="0.2">
      <c r="A626"/>
      <c r="B626" s="2"/>
      <c r="C626" s="29"/>
      <c r="D626" s="29"/>
      <c r="E626" s="29"/>
      <c r="F626" s="29"/>
      <c r="G626" s="29"/>
      <c r="H626" s="29"/>
      <c r="I626" s="29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1:43" ht="15.75" customHeight="1" x14ac:dyDescent="0.2">
      <c r="A627"/>
      <c r="B627" s="2"/>
      <c r="C627" s="29"/>
      <c r="D627" s="29"/>
      <c r="E627" s="29"/>
      <c r="F627" s="29"/>
      <c r="G627" s="29"/>
      <c r="H627" s="29"/>
      <c r="I627" s="2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1:43" ht="15.75" customHeight="1" x14ac:dyDescent="0.2">
      <c r="A628"/>
    </row>
    <row r="629" spans="1:43" ht="15.75" customHeight="1" x14ac:dyDescent="0.2">
      <c r="A629"/>
    </row>
    <row r="630" spans="1:43" ht="15.75" customHeight="1" x14ac:dyDescent="0.2">
      <c r="A630"/>
    </row>
    <row r="631" spans="1:43" ht="15.75" customHeight="1" x14ac:dyDescent="0.2">
      <c r="A631"/>
    </row>
    <row r="632" spans="1:43" ht="15.75" customHeight="1" x14ac:dyDescent="0.2">
      <c r="A632"/>
      <c r="C632"/>
      <c r="D632"/>
      <c r="E632"/>
      <c r="F632"/>
      <c r="G632"/>
      <c r="H632"/>
      <c r="I632"/>
    </row>
    <row r="633" spans="1:43" ht="15.75" customHeight="1" x14ac:dyDescent="0.2">
      <c r="A633"/>
      <c r="C633"/>
      <c r="D633"/>
      <c r="E633"/>
      <c r="F633"/>
      <c r="G633"/>
      <c r="H633"/>
      <c r="I633"/>
    </row>
    <row r="634" spans="1:43" ht="15.75" customHeight="1" x14ac:dyDescent="0.2">
      <c r="A634"/>
      <c r="C634"/>
      <c r="D634"/>
      <c r="E634"/>
      <c r="F634"/>
      <c r="G634"/>
      <c r="H634"/>
      <c r="I634"/>
    </row>
    <row r="635" spans="1:43" ht="15.75" customHeight="1" x14ac:dyDescent="0.2">
      <c r="A635"/>
      <c r="C635"/>
      <c r="D635"/>
      <c r="E635"/>
      <c r="F635"/>
      <c r="G635"/>
      <c r="H635"/>
      <c r="I635"/>
    </row>
    <row r="636" spans="1:43" ht="15.75" customHeight="1" x14ac:dyDescent="0.2">
      <c r="A636"/>
      <c r="C636"/>
      <c r="D636"/>
      <c r="E636"/>
      <c r="F636"/>
      <c r="G636"/>
      <c r="H636"/>
      <c r="I636"/>
    </row>
    <row r="637" spans="1:43" ht="15.75" customHeight="1" x14ac:dyDescent="0.2">
      <c r="A637"/>
      <c r="C637"/>
      <c r="D637"/>
      <c r="E637"/>
      <c r="F637"/>
      <c r="G637"/>
      <c r="H637"/>
      <c r="I637"/>
    </row>
    <row r="638" spans="1:43" ht="15.75" customHeight="1" x14ac:dyDescent="0.2">
      <c r="A638"/>
      <c r="C638"/>
      <c r="D638"/>
      <c r="E638"/>
      <c r="F638"/>
      <c r="G638"/>
      <c r="H638"/>
      <c r="I638"/>
    </row>
    <row r="639" spans="1:43" ht="15.75" customHeight="1" x14ac:dyDescent="0.2">
      <c r="A639"/>
      <c r="C639"/>
      <c r="D639"/>
      <c r="E639"/>
      <c r="F639"/>
      <c r="G639"/>
      <c r="H639"/>
      <c r="I639"/>
    </row>
    <row r="640" spans="1:43" ht="15.75" customHeight="1" x14ac:dyDescent="0.2">
      <c r="A640"/>
      <c r="C640"/>
      <c r="D640"/>
      <c r="E640"/>
      <c r="F640"/>
      <c r="G640"/>
      <c r="H640"/>
      <c r="I640"/>
    </row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</sheetData>
  <mergeCells count="2">
    <mergeCell ref="A4:F4"/>
    <mergeCell ref="A5:F5"/>
  </mergeCells>
  <phoneticPr fontId="13" type="noConversion"/>
  <pageMargins left="0.51181102362204722" right="0.19685039370078741" top="0.35433070866141736" bottom="0.39370078740157483" header="0.31496062992125984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8"/>
  <sheetViews>
    <sheetView zoomScaleNormal="100" zoomScaleSheetLayoutView="90" workbookViewId="0">
      <selection activeCell="A8" sqref="A8"/>
    </sheetView>
  </sheetViews>
  <sheetFormatPr defaultColWidth="0" defaultRowHeight="12.75" x14ac:dyDescent="0.2"/>
  <cols>
    <col min="1" max="1" width="88.85546875" customWidth="1"/>
    <col min="2" max="3" width="15.85546875" customWidth="1"/>
    <col min="4" max="4" width="15.85546875" style="9" hidden="1" customWidth="1"/>
    <col min="5" max="5" width="15.85546875" customWidth="1"/>
    <col min="6" max="7" width="14" hidden="1" customWidth="1"/>
    <col min="8" max="8" width="13.42578125" style="9" customWidth="1"/>
    <col min="9" max="9" width="12" hidden="1" customWidth="1"/>
    <col min="10" max="10" width="8.140625" style="9" customWidth="1"/>
    <col min="11" max="11" width="9.140625" customWidth="1"/>
    <col min="12" max="12" width="7.85546875" customWidth="1"/>
    <col min="13" max="13" width="15.28515625" customWidth="1"/>
    <col min="14" max="21" width="7.85546875" customWidth="1"/>
    <col min="22" max="227" width="9.140625" customWidth="1"/>
  </cols>
  <sheetData>
    <row r="1" spans="1:23" ht="15.75" customHeight="1" x14ac:dyDescent="0.2">
      <c r="A1" s="539"/>
      <c r="E1" s="177" t="s">
        <v>901</v>
      </c>
    </row>
    <row r="2" spans="1:23" x14ac:dyDescent="0.2">
      <c r="A2" s="539"/>
      <c r="E2" s="181" t="str">
        <f>'1.Bev-kiad.'!F2</f>
        <v>a 20/2023.(IX.29.) önkormányzati rendelethez</v>
      </c>
    </row>
    <row r="3" spans="1:23" ht="15.75" customHeight="1" x14ac:dyDescent="0.2">
      <c r="A3" s="539"/>
      <c r="D3" s="181"/>
      <c r="E3" s="181" t="s">
        <v>1315</v>
      </c>
    </row>
    <row r="4" spans="1:23" ht="19.5" x14ac:dyDescent="0.2">
      <c r="A4" s="770" t="s">
        <v>393</v>
      </c>
      <c r="B4" s="770"/>
      <c r="C4" s="770"/>
      <c r="D4" s="770"/>
      <c r="E4" s="770"/>
      <c r="F4" s="421"/>
      <c r="G4" s="421"/>
    </row>
    <row r="5" spans="1:23" ht="19.5" customHeight="1" x14ac:dyDescent="0.35">
      <c r="A5" s="771" t="s">
        <v>1199</v>
      </c>
      <c r="B5" s="771"/>
      <c r="C5" s="771"/>
      <c r="D5" s="771"/>
      <c r="E5" s="771"/>
      <c r="F5" s="230"/>
      <c r="G5" s="230"/>
    </row>
    <row r="6" spans="1:23" ht="5.25" customHeight="1" x14ac:dyDescent="0.2">
      <c r="A6" s="53"/>
      <c r="B6" s="54"/>
      <c r="C6" s="54"/>
      <c r="D6" s="536"/>
      <c r="E6" s="54"/>
      <c r="F6" s="54"/>
      <c r="G6" s="54"/>
    </row>
    <row r="7" spans="1:23" ht="13.5" thickBot="1" x14ac:dyDescent="0.25">
      <c r="A7" s="53"/>
      <c r="E7" s="177" t="s">
        <v>0</v>
      </c>
    </row>
    <row r="8" spans="1:23" s="4" customFormat="1" ht="48" thickBot="1" x14ac:dyDescent="0.3">
      <c r="A8" s="44" t="s">
        <v>14</v>
      </c>
      <c r="B8" s="45" t="str">
        <f>'1.Bev-kiad.'!C7</f>
        <v>2023. évi eredeti előirányzat</v>
      </c>
      <c r="C8" s="45" t="str">
        <f>'1.Bev-kiad.'!D7</f>
        <v>Módosított előirányzat 2023.06.havi</v>
      </c>
      <c r="D8" s="45" t="str">
        <f>'1.Bev-kiad.'!E7</f>
        <v>Módosított előirányzat 2023.07.havi</v>
      </c>
      <c r="E8" s="45" t="str">
        <f>'1.Bev-kiad.'!F7</f>
        <v>Módosított előirányzat 2023.09.havi</v>
      </c>
      <c r="F8" s="311"/>
      <c r="G8" s="46" t="str">
        <f>'1.Bev-kiad.'!H7</f>
        <v>Teljesítés 2021.12.31.</v>
      </c>
      <c r="H8" s="314"/>
      <c r="J8" s="9"/>
    </row>
    <row r="9" spans="1:23" s="4" customFormat="1" ht="18" customHeight="1" x14ac:dyDescent="0.25">
      <c r="A9" s="249" t="s">
        <v>15</v>
      </c>
      <c r="B9" s="250">
        <f>SUM(B10+B32+B34)</f>
        <v>342256</v>
      </c>
      <c r="C9" s="250">
        <f>SUM(C10+C32+C34)</f>
        <v>342425</v>
      </c>
      <c r="D9" s="250">
        <f>SUM(D10+D32+D34)</f>
        <v>342425</v>
      </c>
      <c r="E9" s="250">
        <f>SUM(E10+E32+E34)</f>
        <v>367364</v>
      </c>
      <c r="F9" s="250"/>
      <c r="G9" s="250">
        <f>SUM(G10+G32+G34)</f>
        <v>344793</v>
      </c>
      <c r="H9" s="315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s="4" customFormat="1" ht="14.25" customHeight="1" x14ac:dyDescent="0.25">
      <c r="A10" s="17" t="s">
        <v>3</v>
      </c>
      <c r="B10" s="5">
        <f>SUM(B11+B17)</f>
        <v>311737</v>
      </c>
      <c r="C10" s="5">
        <f>SUM(C11+C17)</f>
        <v>311906</v>
      </c>
      <c r="D10" s="5">
        <f>SUM(D11+D17)</f>
        <v>311906</v>
      </c>
      <c r="E10" s="5">
        <f>SUM(E11+E17)</f>
        <v>336845</v>
      </c>
      <c r="F10" s="5"/>
      <c r="G10" s="5">
        <f>SUM(G11+G17)</f>
        <v>314474</v>
      </c>
      <c r="H10" s="315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 s="4" customFormat="1" ht="14.25" customHeight="1" x14ac:dyDescent="0.25">
      <c r="A11" s="17" t="s">
        <v>399</v>
      </c>
      <c r="B11" s="5">
        <f>SUM(B12:B16)</f>
        <v>281086</v>
      </c>
      <c r="C11" s="5">
        <f>SUM(C12:C16)</f>
        <v>281086</v>
      </c>
      <c r="D11" s="5">
        <f>SUM(D12:D16)</f>
        <v>281086</v>
      </c>
      <c r="E11" s="5">
        <f>SUM(E12:E16)</f>
        <v>306025</v>
      </c>
      <c r="F11" s="5"/>
      <c r="G11" s="5">
        <f>SUM(G12:G16)</f>
        <v>278639</v>
      </c>
      <c r="H11" s="31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4" customFormat="1" ht="14.25" customHeight="1" x14ac:dyDescent="0.25">
      <c r="A12" s="15" t="s">
        <v>327</v>
      </c>
      <c r="B12" s="13">
        <f>SUM('2.működés'!C24)</f>
        <v>104531</v>
      </c>
      <c r="C12" s="13">
        <f>SUM('2.működés'!D24)</f>
        <v>104531</v>
      </c>
      <c r="D12" s="13">
        <f>SUM('2.működés'!E24)</f>
        <v>104531</v>
      </c>
      <c r="E12" s="13">
        <f>SUM('2.működés'!F24)</f>
        <v>115485</v>
      </c>
      <c r="F12" s="13"/>
      <c r="G12" s="13">
        <f>SUM('2.működés'!H24)</f>
        <v>104531</v>
      </c>
      <c r="I12" s="315">
        <f>E12-D12</f>
        <v>10954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 s="4" customFormat="1" ht="14.25" customHeight="1" x14ac:dyDescent="0.25">
      <c r="A13" s="15" t="s">
        <v>452</v>
      </c>
      <c r="B13" s="13">
        <f>SUM('2.működés'!C35)</f>
        <v>69351</v>
      </c>
      <c r="C13" s="13">
        <f>SUM('2.működés'!D35)</f>
        <v>69351</v>
      </c>
      <c r="D13" s="13">
        <f>SUM('2.működés'!E35)</f>
        <v>69351</v>
      </c>
      <c r="E13" s="13">
        <f>SUM('2.működés'!F35)</f>
        <v>69410</v>
      </c>
      <c r="F13" s="13"/>
      <c r="G13" s="13">
        <f>SUM('2.működés'!H35)</f>
        <v>69351</v>
      </c>
      <c r="I13" s="315">
        <f>E13-D13</f>
        <v>59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s="4" customFormat="1" ht="15" customHeight="1" x14ac:dyDescent="0.25">
      <c r="A14" s="15" t="s">
        <v>453</v>
      </c>
      <c r="B14" s="13">
        <f>SUM('2.működés'!C28+'2.működés'!C32)</f>
        <v>87703</v>
      </c>
      <c r="C14" s="13">
        <f>SUM('2.működés'!D28+'2.működés'!D32)</f>
        <v>87703</v>
      </c>
      <c r="D14" s="13">
        <f>SUM('2.működés'!E28+'2.működés'!E32)</f>
        <v>87703</v>
      </c>
      <c r="E14" s="13">
        <f>SUM('2.működés'!F28+'2.működés'!F32)</f>
        <v>101629</v>
      </c>
      <c r="F14" s="13"/>
      <c r="G14" s="13">
        <f>SUM('2.működés'!H28+'2.működés'!H32)</f>
        <v>87703</v>
      </c>
      <c r="I14" s="315">
        <f>E14-D14</f>
        <v>13926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s="4" customFormat="1" ht="15" customHeight="1" x14ac:dyDescent="0.25">
      <c r="A15" s="15" t="s">
        <v>1200</v>
      </c>
      <c r="B15" s="13">
        <f>'2.működés'!C53</f>
        <v>17054</v>
      </c>
      <c r="C15" s="13">
        <v>17054</v>
      </c>
      <c r="D15" s="13">
        <v>17054</v>
      </c>
      <c r="E15" s="13">
        <v>17054</v>
      </c>
      <c r="F15" s="13"/>
      <c r="G15" s="13"/>
      <c r="H15" s="315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s="4" customFormat="1" ht="15" customHeight="1" x14ac:dyDescent="0.25">
      <c r="A16" s="15" t="s">
        <v>1280</v>
      </c>
      <c r="B16" s="13">
        <f>(33+1982)+(6+426)</f>
        <v>2447</v>
      </c>
      <c r="C16" s="13">
        <f>(33+1982)+(6+426)</f>
        <v>2447</v>
      </c>
      <c r="D16" s="13">
        <f>(33+1982)+(6+426)</f>
        <v>2447</v>
      </c>
      <c r="E16" s="13">
        <f>(33+1982)+(6+426)</f>
        <v>2447</v>
      </c>
      <c r="F16" s="13"/>
      <c r="G16" s="13">
        <f>'2.működés'!H53</f>
        <v>17054</v>
      </c>
      <c r="H16" s="315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s="4" customFormat="1" ht="28.5" customHeight="1" x14ac:dyDescent="0.25">
      <c r="A17" s="223" t="s">
        <v>411</v>
      </c>
      <c r="B17" s="5">
        <f>SUM(B18+B29+B30+B31)</f>
        <v>30651</v>
      </c>
      <c r="C17" s="5">
        <f>SUM(C18+C29+C30+C31)</f>
        <v>30820</v>
      </c>
      <c r="D17" s="5">
        <f>SUM(D18+D29+D30+D31)</f>
        <v>30820</v>
      </c>
      <c r="E17" s="5">
        <f>SUM(E18+E29+E30+E31)</f>
        <v>30820</v>
      </c>
      <c r="F17" s="5"/>
      <c r="G17" s="5">
        <f t="shared" ref="G17" si="0">SUM(G18+G29+G30+G31)</f>
        <v>35835</v>
      </c>
      <c r="H17" s="315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 s="4" customFormat="1" ht="14.25" customHeight="1" x14ac:dyDescent="0.25">
      <c r="A18" s="15" t="s">
        <v>17</v>
      </c>
      <c r="B18" s="767">
        <f>29664+360</f>
        <v>30024</v>
      </c>
      <c r="C18" s="767">
        <f>29664+360+169</f>
        <v>30193</v>
      </c>
      <c r="D18" s="767">
        <f>29664+360+169</f>
        <v>30193</v>
      </c>
      <c r="E18" s="767">
        <f>29664+360+169</f>
        <v>30193</v>
      </c>
      <c r="F18" s="588"/>
      <c r="G18" s="767">
        <v>35000</v>
      </c>
      <c r="H18" s="315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s="4" customFormat="1" ht="14.25" customHeight="1" x14ac:dyDescent="0.25">
      <c r="A19" s="15" t="s">
        <v>18</v>
      </c>
      <c r="B19" s="768"/>
      <c r="C19" s="768"/>
      <c r="D19" s="768"/>
      <c r="E19" s="768"/>
      <c r="F19" s="754"/>
      <c r="G19" s="768"/>
      <c r="H19" s="315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s="4" customFormat="1" ht="14.25" customHeight="1" x14ac:dyDescent="0.25">
      <c r="A20" s="21" t="s">
        <v>19</v>
      </c>
      <c r="B20" s="768"/>
      <c r="C20" s="768"/>
      <c r="D20" s="768"/>
      <c r="E20" s="768"/>
      <c r="F20" s="754"/>
      <c r="G20" s="768"/>
      <c r="H20" s="315"/>
      <c r="I20" s="37" t="s">
        <v>1289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s="4" customFormat="1" ht="14.25" hidden="1" customHeight="1" x14ac:dyDescent="0.25">
      <c r="A21" s="668" t="s">
        <v>20</v>
      </c>
      <c r="B21" s="768"/>
      <c r="C21" s="768"/>
      <c r="D21" s="768"/>
      <c r="E21" s="768"/>
      <c r="F21" s="754"/>
      <c r="G21" s="768"/>
      <c r="H21" s="315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s="4" customFormat="1" ht="14.25" customHeight="1" x14ac:dyDescent="0.25">
      <c r="A22" s="15" t="s">
        <v>462</v>
      </c>
      <c r="B22" s="768"/>
      <c r="C22" s="768"/>
      <c r="D22" s="768"/>
      <c r="E22" s="768"/>
      <c r="F22" s="754"/>
      <c r="G22" s="768"/>
      <c r="H22" s="315"/>
      <c r="I22" s="37" t="s">
        <v>1290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s="4" customFormat="1" ht="14.25" customHeight="1" x14ac:dyDescent="0.25">
      <c r="A23" s="15" t="s">
        <v>21</v>
      </c>
      <c r="B23" s="768"/>
      <c r="C23" s="768"/>
      <c r="D23" s="768"/>
      <c r="E23" s="768"/>
      <c r="F23" s="754"/>
      <c r="G23" s="768"/>
      <c r="H23" s="315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s="4" customFormat="1" ht="14.25" customHeight="1" x14ac:dyDescent="0.25">
      <c r="A24" s="15" t="s">
        <v>22</v>
      </c>
      <c r="B24" s="768"/>
      <c r="C24" s="768"/>
      <c r="D24" s="768"/>
      <c r="E24" s="768"/>
      <c r="F24" s="754"/>
      <c r="G24" s="768"/>
      <c r="H24" s="315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23" s="4" customFormat="1" ht="14.25" customHeight="1" x14ac:dyDescent="0.25">
      <c r="A25" s="11" t="s">
        <v>23</v>
      </c>
      <c r="B25" s="768"/>
      <c r="C25" s="768"/>
      <c r="D25" s="768"/>
      <c r="E25" s="768"/>
      <c r="F25" s="754"/>
      <c r="G25" s="768"/>
      <c r="H25" s="31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s="4" customFormat="1" ht="14.25" customHeight="1" x14ac:dyDescent="0.25">
      <c r="A26" s="15" t="s">
        <v>24</v>
      </c>
      <c r="B26" s="768"/>
      <c r="C26" s="768"/>
      <c r="D26" s="768"/>
      <c r="E26" s="768"/>
      <c r="F26" s="754"/>
      <c r="G26" s="768"/>
      <c r="H26" s="31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s="4" customFormat="1" ht="14.25" customHeight="1" x14ac:dyDescent="0.25">
      <c r="A27" s="15" t="s">
        <v>25</v>
      </c>
      <c r="B27" s="769"/>
      <c r="C27" s="769"/>
      <c r="D27" s="769"/>
      <c r="E27" s="769"/>
      <c r="F27" s="607"/>
      <c r="G27" s="769"/>
      <c r="H27" s="315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3" s="4" customFormat="1" ht="14.25" hidden="1" customHeight="1" x14ac:dyDescent="0.25">
      <c r="A28" s="15" t="s">
        <v>1165</v>
      </c>
      <c r="B28" s="607">
        <v>0</v>
      </c>
      <c r="C28" s="607">
        <v>0</v>
      </c>
      <c r="D28" s="607">
        <v>0</v>
      </c>
      <c r="E28" s="607"/>
      <c r="F28" s="607"/>
      <c r="G28" s="607"/>
      <c r="H28" s="315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s="4" customFormat="1" ht="14.25" customHeight="1" x14ac:dyDescent="0.25">
      <c r="A29" s="15" t="s">
        <v>410</v>
      </c>
      <c r="B29" s="166">
        <v>141</v>
      </c>
      <c r="C29" s="166">
        <v>141</v>
      </c>
      <c r="D29" s="166">
        <v>141</v>
      </c>
      <c r="E29" s="166">
        <v>141</v>
      </c>
      <c r="F29" s="541"/>
      <c r="G29" s="541">
        <v>103</v>
      </c>
      <c r="H29" s="31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s="4" customFormat="1" ht="14.25" customHeight="1" x14ac:dyDescent="0.25">
      <c r="A30" s="8" t="s">
        <v>485</v>
      </c>
      <c r="B30" s="13">
        <v>486</v>
      </c>
      <c r="C30" s="13">
        <v>486</v>
      </c>
      <c r="D30" s="13">
        <v>486</v>
      </c>
      <c r="E30" s="13">
        <v>486</v>
      </c>
      <c r="F30" s="261"/>
      <c r="G30" s="261">
        <f>474+58</f>
        <v>532</v>
      </c>
      <c r="H30" s="315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1:23" s="4" customFormat="1" ht="14.25" hidden="1" customHeight="1" x14ac:dyDescent="0.25">
      <c r="A31" s="8"/>
      <c r="B31" s="13"/>
      <c r="C31" s="13"/>
      <c r="D31" s="13"/>
      <c r="E31" s="13"/>
      <c r="F31" s="13"/>
      <c r="G31" s="13">
        <v>200</v>
      </c>
      <c r="H31" s="315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s="4" customFormat="1" ht="14.25" customHeight="1" x14ac:dyDescent="0.25">
      <c r="A32" s="17" t="s">
        <v>916</v>
      </c>
      <c r="B32" s="167">
        <f>B33</f>
        <v>200</v>
      </c>
      <c r="C32" s="167">
        <f>C33</f>
        <v>200</v>
      </c>
      <c r="D32" s="167">
        <f>D33</f>
        <v>200</v>
      </c>
      <c r="E32" s="167">
        <f>E33</f>
        <v>200</v>
      </c>
      <c r="F32" s="167"/>
      <c r="G32" s="167">
        <v>0</v>
      </c>
      <c r="H32" s="315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3" s="4" customFormat="1" ht="14.25" customHeight="1" x14ac:dyDescent="0.25">
      <c r="A33" s="8" t="s">
        <v>1125</v>
      </c>
      <c r="B33" s="13">
        <v>200</v>
      </c>
      <c r="C33" s="13">
        <v>200</v>
      </c>
      <c r="D33" s="13">
        <v>200</v>
      </c>
      <c r="E33" s="13">
        <v>200</v>
      </c>
      <c r="F33" s="167"/>
      <c r="G33" s="167"/>
      <c r="H33" s="315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3" s="4" customFormat="1" ht="13.5" customHeight="1" thickBot="1" x14ac:dyDescent="0.3">
      <c r="A34" s="17" t="s">
        <v>1056</v>
      </c>
      <c r="B34" s="167">
        <v>30319</v>
      </c>
      <c r="C34" s="167">
        <v>30319</v>
      </c>
      <c r="D34" s="167">
        <v>30319</v>
      </c>
      <c r="E34" s="167">
        <v>30319</v>
      </c>
      <c r="F34" s="167"/>
      <c r="G34" s="167">
        <v>30319</v>
      </c>
      <c r="H34" s="31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s="4" customFormat="1" ht="18.75" customHeight="1" thickBot="1" x14ac:dyDescent="0.3">
      <c r="A35" s="254" t="s">
        <v>16</v>
      </c>
      <c r="B35" s="255">
        <f>SUM(B36+B50+B51)</f>
        <v>148771</v>
      </c>
      <c r="C35" s="255">
        <f>SUM(C36+C50+C51)</f>
        <v>166250</v>
      </c>
      <c r="D35" s="255">
        <f>SUM(D36+D50+D51)</f>
        <v>166250</v>
      </c>
      <c r="E35" s="255">
        <f>SUM(E36+E50+E51)</f>
        <v>167904</v>
      </c>
      <c r="F35" s="757"/>
      <c r="G35" s="256" t="e">
        <f>SUM(G36+G50+G51)</f>
        <v>#REF!</v>
      </c>
      <c r="H35" s="31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3" s="4" customFormat="1" ht="14.25" customHeight="1" x14ac:dyDescent="0.25">
      <c r="A36" s="16" t="s">
        <v>4</v>
      </c>
      <c r="B36" s="41">
        <f>SUM(B38+B37+B46+B47+B48)</f>
        <v>111758</v>
      </c>
      <c r="C36" s="41">
        <f>SUM(C38+C37+C46+C47+C48)</f>
        <v>129208</v>
      </c>
      <c r="D36" s="41">
        <f>SUM(D38+D37+D46+D47+D48)</f>
        <v>129208</v>
      </c>
      <c r="E36" s="41">
        <f>SUM(E38+E37+E46+E47+E48)</f>
        <v>129702</v>
      </c>
      <c r="F36" s="41"/>
      <c r="G36" s="41" t="e">
        <f>SUM(G37+#REF!+G46+G47+G48)</f>
        <v>#REF!</v>
      </c>
      <c r="H36" s="31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3" s="4" customFormat="1" ht="14.25" customHeight="1" x14ac:dyDescent="0.25">
      <c r="A37" s="21" t="s">
        <v>961</v>
      </c>
      <c r="B37" s="13">
        <v>90000</v>
      </c>
      <c r="C37" s="13">
        <v>90000</v>
      </c>
      <c r="D37" s="13">
        <v>90000</v>
      </c>
      <c r="E37" s="13">
        <v>90000</v>
      </c>
      <c r="F37" s="13"/>
      <c r="G37" s="13" t="e">
        <f>SUM(G39+G40+G42+G45)</f>
        <v>#REF!</v>
      </c>
      <c r="H37" s="31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3" s="4" customFormat="1" ht="14.25" customHeight="1" x14ac:dyDescent="0.25">
      <c r="A38" s="21" t="s">
        <v>960</v>
      </c>
      <c r="B38" s="13">
        <f>SUM(B39+B40+B42+B45)</f>
        <v>21758</v>
      </c>
      <c r="C38" s="13">
        <f>SUM(C39+C40+C42+C45)</f>
        <v>21758</v>
      </c>
      <c r="D38" s="13">
        <f>SUM(D39+D40+D42+D45)</f>
        <v>21758</v>
      </c>
      <c r="E38" s="13">
        <f>SUM(E39+E40+E42+E45)</f>
        <v>22252</v>
      </c>
      <c r="F38" s="13"/>
      <c r="G38" s="13"/>
      <c r="H38" s="31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s="4" customFormat="1" ht="14.25" hidden="1" customHeight="1" x14ac:dyDescent="0.25">
      <c r="A39" s="21" t="s">
        <v>463</v>
      </c>
      <c r="B39" s="13">
        <v>0</v>
      </c>
      <c r="C39" s="13">
        <v>0</v>
      </c>
      <c r="D39" s="13">
        <v>0</v>
      </c>
      <c r="E39" s="13">
        <v>0</v>
      </c>
      <c r="F39" s="13"/>
      <c r="G39" s="13">
        <v>0</v>
      </c>
      <c r="H39" s="315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spans="1:23" s="4" customFormat="1" ht="14.25" customHeight="1" x14ac:dyDescent="0.25">
      <c r="A40" s="21" t="s">
        <v>1307</v>
      </c>
      <c r="B40" s="13">
        <f>'2.működés'!C42</f>
        <v>5216</v>
      </c>
      <c r="C40" s="13">
        <f>'2.működés'!D42</f>
        <v>5216</v>
      </c>
      <c r="D40" s="13">
        <f>'2.működés'!E42</f>
        <v>5216</v>
      </c>
      <c r="E40" s="13">
        <f>'2.működés'!F42</f>
        <v>5710</v>
      </c>
      <c r="F40" s="13"/>
      <c r="G40" s="13" t="e">
        <f>#REF!</f>
        <v>#REF!</v>
      </c>
      <c r="H40" s="315"/>
      <c r="I40" s="9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3" s="4" customFormat="1" ht="14.25" hidden="1" customHeight="1" x14ac:dyDescent="0.25">
      <c r="A41" s="229" t="s">
        <v>464</v>
      </c>
      <c r="B41" s="271"/>
      <c r="C41" s="271"/>
      <c r="D41" s="271"/>
      <c r="E41" s="271"/>
      <c r="F41" s="271"/>
      <c r="G41" s="271"/>
      <c r="H41" s="315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1:23" s="4" customFormat="1" ht="13.5" customHeight="1" x14ac:dyDescent="0.25">
      <c r="A42" s="21" t="s">
        <v>1308</v>
      </c>
      <c r="B42" s="13">
        <f>'2.működés'!C14+'2.működés'!C16+'2.működés'!C17-605</f>
        <v>16542</v>
      </c>
      <c r="C42" s="13">
        <f>'2.működés'!D14+'2.működés'!D16+'2.működés'!D17-605</f>
        <v>16542</v>
      </c>
      <c r="D42" s="13">
        <f>'2.működés'!E14+'2.működés'!E16+'2.működés'!E17-605</f>
        <v>16542</v>
      </c>
      <c r="E42" s="13">
        <f>'2.működés'!F14+'2.működés'!F16+'2.működés'!F17-605</f>
        <v>16542</v>
      </c>
      <c r="F42" s="13"/>
      <c r="G42" s="13">
        <f>SUM(G43:G44)</f>
        <v>16542</v>
      </c>
      <c r="H42" s="315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 spans="1:23" s="4" customFormat="1" ht="12.75" hidden="1" customHeight="1" x14ac:dyDescent="0.25">
      <c r="A43" s="21"/>
      <c r="B43" s="176"/>
      <c r="C43" s="176"/>
      <c r="D43" s="176"/>
      <c r="E43" s="176"/>
      <c r="F43" s="176"/>
      <c r="G43" s="176">
        <f>SUM('2.működés'!H14+'2.működés'!H16+'2.működés'!H17)-605</f>
        <v>16542</v>
      </c>
      <c r="H43" s="315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23" s="4" customFormat="1" ht="13.5" hidden="1" customHeight="1" x14ac:dyDescent="0.25">
      <c r="A44" s="229" t="s">
        <v>465</v>
      </c>
      <c r="B44" s="271"/>
      <c r="C44" s="271"/>
      <c r="D44" s="271"/>
      <c r="E44" s="271"/>
      <c r="F44" s="271"/>
      <c r="G44" s="271"/>
      <c r="H44" s="315"/>
      <c r="I44" s="499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1:23" s="4" customFormat="1" ht="18" hidden="1" customHeight="1" x14ac:dyDescent="0.25">
      <c r="A45" s="229"/>
      <c r="B45" s="194"/>
      <c r="C45" s="194"/>
      <c r="D45" s="194"/>
      <c r="E45" s="194"/>
      <c r="F45" s="194"/>
      <c r="G45" s="194"/>
      <c r="H45" s="315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1:23" s="4" customFormat="1" ht="15" customHeight="1" x14ac:dyDescent="0.25">
      <c r="A46" s="8" t="s">
        <v>1241</v>
      </c>
      <c r="B46" s="13">
        <v>0</v>
      </c>
      <c r="C46" s="13">
        <v>17450</v>
      </c>
      <c r="D46" s="13">
        <v>17450</v>
      </c>
      <c r="E46" s="13">
        <v>17450</v>
      </c>
      <c r="F46" s="13"/>
      <c r="G46" s="13"/>
      <c r="H46" s="315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1:23" s="4" customFormat="1" ht="15" hidden="1" customHeight="1" x14ac:dyDescent="0.25">
      <c r="A47" s="8"/>
      <c r="B47" s="13"/>
      <c r="C47" s="13"/>
      <c r="D47" s="13"/>
      <c r="E47" s="13"/>
      <c r="F47" s="13"/>
      <c r="G47" s="13"/>
      <c r="H47" s="31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spans="1:23" s="4" customFormat="1" ht="13.5" hidden="1" customHeight="1" x14ac:dyDescent="0.25">
      <c r="A48" s="15"/>
      <c r="B48" s="166"/>
      <c r="C48" s="166"/>
      <c r="D48" s="166"/>
      <c r="E48" s="166"/>
      <c r="F48" s="166"/>
      <c r="G48" s="166"/>
      <c r="H48" s="613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 spans="1:23" s="4" customFormat="1" ht="14.25" hidden="1" customHeight="1" x14ac:dyDescent="0.25">
      <c r="A49" s="8"/>
      <c r="B49" s="13"/>
      <c r="C49" s="13"/>
      <c r="D49" s="13"/>
      <c r="E49" s="13"/>
      <c r="F49" s="13"/>
      <c r="G49" s="13"/>
      <c r="H49" s="613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</row>
    <row r="50" spans="1:23" s="4" customFormat="1" ht="14.25" customHeight="1" x14ac:dyDescent="0.25">
      <c r="A50" s="17" t="s">
        <v>387</v>
      </c>
      <c r="B50" s="5">
        <v>0</v>
      </c>
      <c r="C50" s="5">
        <v>0</v>
      </c>
      <c r="D50" s="5">
        <v>0</v>
      </c>
      <c r="E50" s="5">
        <v>0</v>
      </c>
      <c r="F50" s="5"/>
      <c r="G50" s="5">
        <v>0</v>
      </c>
      <c r="H50" s="613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 spans="1:23" s="4" customFormat="1" ht="14.25" customHeight="1" x14ac:dyDescent="0.25">
      <c r="A51" s="17" t="s">
        <v>26</v>
      </c>
      <c r="B51" s="5">
        <f>SUM(B52:B60)</f>
        <v>37013</v>
      </c>
      <c r="C51" s="5">
        <f>SUM(C52:C60)</f>
        <v>37042</v>
      </c>
      <c r="D51" s="5">
        <f>SUM(D52:D60)</f>
        <v>37042</v>
      </c>
      <c r="E51" s="5">
        <f>SUM(E52:E60)</f>
        <v>38202</v>
      </c>
      <c r="F51" s="5"/>
      <c r="G51" s="5">
        <f>SUM(G52:G60)</f>
        <v>31250</v>
      </c>
      <c r="H51" s="315"/>
      <c r="I51" s="37"/>
      <c r="J51" s="37"/>
      <c r="K51" s="37"/>
      <c r="L51" s="37"/>
      <c r="M51" s="37"/>
      <c r="N51" s="37"/>
      <c r="O51" s="624"/>
      <c r="P51" s="37"/>
      <c r="Q51" s="37"/>
      <c r="R51" s="37"/>
      <c r="S51" s="37"/>
      <c r="T51" s="37"/>
      <c r="U51" s="37"/>
      <c r="V51" s="37"/>
      <c r="W51" s="37"/>
    </row>
    <row r="52" spans="1:23" s="4" customFormat="1" ht="13.5" customHeight="1" x14ac:dyDescent="0.25">
      <c r="A52" s="8" t="s">
        <v>835</v>
      </c>
      <c r="B52" s="13">
        <v>5000</v>
      </c>
      <c r="C52" s="13">
        <v>5000</v>
      </c>
      <c r="D52" s="13">
        <v>5000</v>
      </c>
      <c r="E52" s="13">
        <v>5000</v>
      </c>
      <c r="F52" s="13"/>
      <c r="G52" s="13">
        <v>5000</v>
      </c>
      <c r="H52" s="616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</row>
    <row r="53" spans="1:23" s="4" customFormat="1" ht="13.5" hidden="1" customHeight="1" x14ac:dyDescent="0.25">
      <c r="A53" s="12" t="s">
        <v>882</v>
      </c>
      <c r="B53" s="32"/>
      <c r="C53" s="32"/>
      <c r="D53" s="32"/>
      <c r="E53" s="32"/>
      <c r="F53" s="32"/>
      <c r="G53" s="32"/>
      <c r="H53" s="315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 spans="1:23" s="4" customFormat="1" ht="13.5" hidden="1" customHeight="1" x14ac:dyDescent="0.25">
      <c r="A54" s="12" t="s">
        <v>881</v>
      </c>
      <c r="B54" s="32"/>
      <c r="C54" s="32"/>
      <c r="D54" s="32"/>
      <c r="E54" s="32"/>
      <c r="F54" s="32"/>
      <c r="G54" s="32"/>
      <c r="H54" s="315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ht="13.5" customHeight="1" x14ac:dyDescent="0.2">
      <c r="A55" s="165" t="s">
        <v>484</v>
      </c>
      <c r="B55" s="13">
        <v>26763</v>
      </c>
      <c r="C55" s="13">
        <v>26763</v>
      </c>
      <c r="D55" s="13">
        <v>26763</v>
      </c>
      <c r="E55" s="13">
        <v>26763</v>
      </c>
      <c r="F55" s="588"/>
      <c r="G55" s="588">
        <v>23000</v>
      </c>
      <c r="H55" s="315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spans="1:23" x14ac:dyDescent="0.2">
      <c r="A56" s="15" t="s">
        <v>1242</v>
      </c>
      <c r="B56" s="588">
        <v>5000</v>
      </c>
      <c r="C56" s="588">
        <v>5000</v>
      </c>
      <c r="D56" s="588">
        <v>5000</v>
      </c>
      <c r="E56" s="588">
        <f>5000+1160</f>
        <v>6160</v>
      </c>
      <c r="F56" s="588"/>
      <c r="G56" s="588">
        <v>3000</v>
      </c>
      <c r="H56" s="315"/>
      <c r="I56" s="37"/>
      <c r="J56" s="37"/>
      <c r="K56" s="37"/>
      <c r="L56" s="37"/>
      <c r="M56" s="624"/>
      <c r="N56" s="37"/>
      <c r="O56" s="37"/>
      <c r="P56" s="37"/>
      <c r="Q56" s="37"/>
      <c r="R56" s="37"/>
      <c r="S56" s="37"/>
      <c r="T56" s="37"/>
      <c r="U56" s="37"/>
      <c r="V56" s="37"/>
      <c r="W56" s="37"/>
    </row>
    <row r="57" spans="1:23" ht="12.75" customHeight="1" thickBot="1" x14ac:dyDescent="0.25">
      <c r="A57" s="8" t="s">
        <v>1240</v>
      </c>
      <c r="B57" s="588">
        <v>250</v>
      </c>
      <c r="C57" s="588">
        <f>250+29</f>
        <v>279</v>
      </c>
      <c r="D57" s="588">
        <f>250+29</f>
        <v>279</v>
      </c>
      <c r="E57" s="588">
        <f>250+29</f>
        <v>279</v>
      </c>
      <c r="F57" s="588"/>
      <c r="G57" s="588">
        <v>250</v>
      </c>
      <c r="H57" s="315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</row>
    <row r="58" spans="1:23" ht="12.75" hidden="1" customHeight="1" x14ac:dyDescent="0.2">
      <c r="A58" s="8"/>
      <c r="B58" s="13"/>
      <c r="C58" s="13"/>
      <c r="D58" s="13"/>
      <c r="E58" s="13"/>
      <c r="F58" s="13"/>
      <c r="G58" s="13"/>
      <c r="H58" s="31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</row>
    <row r="59" spans="1:23" ht="12.75" hidden="1" customHeight="1" x14ac:dyDescent="0.2">
      <c r="A59" s="8"/>
      <c r="B59" s="13"/>
      <c r="C59" s="13"/>
      <c r="D59" s="13"/>
      <c r="E59" s="13"/>
      <c r="F59" s="13"/>
      <c r="G59" s="13"/>
      <c r="H59" s="315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</row>
    <row r="60" spans="1:23" ht="12.75" hidden="1" customHeight="1" thickBot="1" x14ac:dyDescent="0.25">
      <c r="A60" s="12"/>
      <c r="B60" s="32"/>
      <c r="C60" s="32"/>
      <c r="D60" s="32"/>
      <c r="E60" s="32"/>
      <c r="F60" s="32"/>
      <c r="G60" s="32"/>
      <c r="H60" s="315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</row>
    <row r="61" spans="1:23" ht="16.5" thickBot="1" x14ac:dyDescent="0.25">
      <c r="A61" s="257" t="s">
        <v>436</v>
      </c>
      <c r="B61" s="313">
        <f>SUM(B62:B66)</f>
        <v>5256</v>
      </c>
      <c r="C61" s="313">
        <f>SUM(C62:C66)</f>
        <v>7594</v>
      </c>
      <c r="D61" s="313">
        <f>SUM(D62:D66)</f>
        <v>7594</v>
      </c>
      <c r="E61" s="313">
        <f>SUM(E62:E66)</f>
        <v>7594</v>
      </c>
      <c r="F61" s="313"/>
      <c r="G61" s="313">
        <f>SUM(G62:G66)</f>
        <v>9756</v>
      </c>
      <c r="H61" s="31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spans="1:23" x14ac:dyDescent="0.2">
      <c r="A62" s="8" t="s">
        <v>1250</v>
      </c>
      <c r="B62" s="13">
        <v>4756</v>
      </c>
      <c r="C62" s="13">
        <v>4756</v>
      </c>
      <c r="D62" s="13">
        <v>4756</v>
      </c>
      <c r="E62" s="13">
        <v>4756</v>
      </c>
      <c r="F62" s="13"/>
      <c r="G62" s="13">
        <v>4756</v>
      </c>
      <c r="H62" s="31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spans="1:23" x14ac:dyDescent="0.2">
      <c r="A63" s="8" t="s">
        <v>1277</v>
      </c>
      <c r="B63" s="13">
        <v>500</v>
      </c>
      <c r="C63" s="13">
        <v>500</v>
      </c>
      <c r="D63" s="13">
        <v>500</v>
      </c>
      <c r="E63" s="13">
        <v>500</v>
      </c>
      <c r="F63" s="261"/>
      <c r="G63" s="261">
        <v>5000</v>
      </c>
      <c r="H63" s="315"/>
      <c r="I63" s="37" t="s">
        <v>1284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64" spans="1:23" ht="13.5" thickBot="1" x14ac:dyDescent="0.25">
      <c r="A64" s="8" t="s">
        <v>1201</v>
      </c>
      <c r="B64" s="13">
        <v>0</v>
      </c>
      <c r="C64" s="13">
        <v>2338</v>
      </c>
      <c r="D64" s="13">
        <v>2338</v>
      </c>
      <c r="E64" s="13">
        <v>2338</v>
      </c>
      <c r="F64" s="261"/>
      <c r="G64" s="261"/>
      <c r="H64" s="315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</row>
    <row r="65" spans="1:23" ht="12.75" hidden="1" customHeight="1" x14ac:dyDescent="0.2">
      <c r="A65" s="8" t="s">
        <v>1123</v>
      </c>
      <c r="B65" s="13"/>
      <c r="C65" s="13"/>
      <c r="D65" s="13"/>
      <c r="E65" s="13"/>
      <c r="F65" s="261"/>
      <c r="G65" s="261"/>
      <c r="H65" s="315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 spans="1:23" ht="13.5" hidden="1" customHeight="1" thickBot="1" x14ac:dyDescent="0.25">
      <c r="A66" s="8" t="s">
        <v>987</v>
      </c>
      <c r="B66" s="13">
        <v>0</v>
      </c>
      <c r="C66" s="13">
        <v>0</v>
      </c>
      <c r="D66" s="13">
        <v>0</v>
      </c>
      <c r="E66" s="13">
        <v>0</v>
      </c>
      <c r="F66" s="13"/>
      <c r="G66" s="13">
        <v>0</v>
      </c>
      <c r="H66" s="315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spans="1:23" ht="20.25" customHeight="1" thickBot="1" x14ac:dyDescent="0.3">
      <c r="A67" s="258" t="s">
        <v>437</v>
      </c>
      <c r="B67" s="255">
        <f>SUM(B9+B35+B61)</f>
        <v>496283</v>
      </c>
      <c r="C67" s="255">
        <f>SUM(C9+C35+C61)</f>
        <v>516269</v>
      </c>
      <c r="D67" s="255">
        <f>SUM(D9+D35+D61)</f>
        <v>516269</v>
      </c>
      <c r="E67" s="255">
        <f>SUM(E9+E35+E61)</f>
        <v>542862</v>
      </c>
      <c r="F67" s="757"/>
      <c r="G67" s="256" t="e">
        <f>SUM(G9+G35+G61)</f>
        <v>#REF!</v>
      </c>
      <c r="H67" s="315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spans="1:23" x14ac:dyDescent="0.2">
      <c r="A68" s="1"/>
      <c r="B68" s="37"/>
      <c r="C68" s="37"/>
      <c r="D68" s="37"/>
      <c r="E68" s="37"/>
      <c r="F68" s="37"/>
      <c r="G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spans="1:23" ht="15.75" x14ac:dyDescent="0.25">
      <c r="A69" s="162" t="s">
        <v>94</v>
      </c>
      <c r="B69" s="119">
        <v>0</v>
      </c>
      <c r="C69" s="119">
        <v>0</v>
      </c>
      <c r="D69" s="119">
        <v>0</v>
      </c>
      <c r="E69" s="119">
        <v>0</v>
      </c>
      <c r="F69" s="119"/>
      <c r="G69" s="119">
        <v>0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1:23" x14ac:dyDescent="0.2">
      <c r="A70" s="63" t="s">
        <v>95</v>
      </c>
      <c r="B70" s="62"/>
      <c r="C70" s="62"/>
      <c r="D70" s="62"/>
      <c r="E70" s="62"/>
      <c r="F70" s="62"/>
      <c r="G70" s="62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1:23" x14ac:dyDescent="0.2">
      <c r="A71" s="63" t="s">
        <v>96</v>
      </c>
      <c r="B71" s="62"/>
      <c r="C71" s="62"/>
      <c r="D71" s="62"/>
      <c r="E71" s="62"/>
      <c r="F71" s="62"/>
      <c r="G71" s="62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</row>
    <row r="72" spans="1:23" x14ac:dyDescent="0.2">
      <c r="A72" s="63" t="s">
        <v>97</v>
      </c>
      <c r="B72" s="59"/>
      <c r="C72" s="59"/>
      <c r="D72" s="59"/>
      <c r="E72" s="59"/>
      <c r="F72" s="59"/>
      <c r="G72" s="59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1:23" x14ac:dyDescent="0.2">
      <c r="A73" s="63" t="s">
        <v>98</v>
      </c>
      <c r="B73" s="62">
        <v>288</v>
      </c>
      <c r="C73" s="62">
        <v>288</v>
      </c>
      <c r="D73" s="62">
        <v>288</v>
      </c>
      <c r="E73" s="62">
        <v>288</v>
      </c>
      <c r="F73" s="62"/>
      <c r="G73" s="62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</row>
    <row r="74" spans="1:23" x14ac:dyDescent="0.2">
      <c r="A74" s="63" t="s">
        <v>104</v>
      </c>
      <c r="B74" s="59"/>
      <c r="C74" s="59"/>
      <c r="D74" s="33"/>
      <c r="E74" s="59"/>
      <c r="F74" s="59"/>
      <c r="G74" s="59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</row>
    <row r="75" spans="1:23" x14ac:dyDescent="0.2">
      <c r="A75" s="62" t="s">
        <v>99</v>
      </c>
      <c r="B75" s="62"/>
      <c r="C75" s="62"/>
      <c r="D75" s="537"/>
      <c r="E75" s="62"/>
      <c r="F75" s="62"/>
      <c r="G75" s="62"/>
    </row>
    <row r="76" spans="1:23" x14ac:dyDescent="0.2">
      <c r="A76" s="62" t="s">
        <v>100</v>
      </c>
      <c r="B76" s="62"/>
      <c r="C76" s="62"/>
      <c r="D76" s="537"/>
      <c r="E76" s="62"/>
      <c r="F76" s="62"/>
      <c r="G76" s="62"/>
    </row>
    <row r="77" spans="1:23" x14ac:dyDescent="0.2">
      <c r="B77" s="76"/>
      <c r="C77" s="76"/>
      <c r="D77" s="76"/>
      <c r="E77" s="76"/>
      <c r="F77" s="76"/>
      <c r="G77" s="76"/>
    </row>
    <row r="78" spans="1:23" x14ac:dyDescent="0.2">
      <c r="A78" s="267"/>
    </row>
  </sheetData>
  <mergeCells count="7">
    <mergeCell ref="A4:E4"/>
    <mergeCell ref="A5:E5"/>
    <mergeCell ref="B18:B27"/>
    <mergeCell ref="G18:G27"/>
    <mergeCell ref="C18:C27"/>
    <mergeCell ref="D18:D27"/>
    <mergeCell ref="E18:E27"/>
  </mergeCells>
  <phoneticPr fontId="13" type="noConversion"/>
  <pageMargins left="0.47244094488188981" right="0.19685039370078741" top="0.35433070866141736" bottom="0.39370078740157483" header="0.31496062992125984" footer="0.51181102362204722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A53" sqref="A53"/>
    </sheetView>
  </sheetViews>
  <sheetFormatPr defaultRowHeight="12.75" x14ac:dyDescent="0.2"/>
  <cols>
    <col min="1" max="1" width="51" style="69" customWidth="1"/>
    <col min="2" max="2" width="13" style="605" customWidth="1"/>
    <col min="3" max="3" width="12" style="605" customWidth="1"/>
    <col min="4" max="4" width="10.7109375" style="605" customWidth="1"/>
    <col min="5" max="6" width="10.42578125" style="605" customWidth="1"/>
    <col min="7" max="7" width="11.42578125" style="606" customWidth="1"/>
    <col min="8" max="8" width="9.85546875" style="605" customWidth="1"/>
    <col min="9" max="9" width="12" style="605" customWidth="1"/>
    <col min="10" max="10" width="11.42578125" style="605" customWidth="1"/>
    <col min="11" max="11" width="11.140625" style="605" customWidth="1"/>
    <col min="12" max="13" width="12.28515625" style="605" customWidth="1"/>
    <col min="14" max="16384" width="9.140625" style="69"/>
  </cols>
  <sheetData>
    <row r="1" spans="1:25" x14ac:dyDescent="0.2">
      <c r="A1" s="773" t="s">
        <v>255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x14ac:dyDescent="0.2">
      <c r="A2" s="666"/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7" t="str">
        <f>'1.Bev-kiad.'!F2</f>
        <v>a 20/2023.(IX.29.)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x14ac:dyDescent="0.2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181" t="s">
        <v>1359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x14ac:dyDescent="0.2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181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774" t="s">
        <v>1202</v>
      </c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2.95" customHeight="1" thickBot="1" x14ac:dyDescent="0.25">
      <c r="M6" s="600" t="s">
        <v>0</v>
      </c>
    </row>
    <row r="7" spans="1:25" ht="16.5" customHeight="1" x14ac:dyDescent="0.2">
      <c r="A7" s="775"/>
      <c r="B7" s="777" t="s">
        <v>62</v>
      </c>
      <c r="C7" s="777"/>
      <c r="D7" s="777"/>
      <c r="E7" s="777"/>
      <c r="F7" s="777"/>
      <c r="G7" s="777"/>
      <c r="H7" s="777" t="s">
        <v>372</v>
      </c>
      <c r="I7" s="777"/>
      <c r="J7" s="777"/>
      <c r="K7" s="777"/>
      <c r="L7" s="777"/>
      <c r="M7" s="778" t="s">
        <v>63</v>
      </c>
    </row>
    <row r="8" spans="1:25" ht="27.75" customHeight="1" x14ac:dyDescent="0.2">
      <c r="A8" s="776"/>
      <c r="B8" s="772" t="s">
        <v>367</v>
      </c>
      <c r="C8" s="772" t="s">
        <v>413</v>
      </c>
      <c r="D8" s="772"/>
      <c r="E8" s="780" t="s">
        <v>470</v>
      </c>
      <c r="F8" s="772" t="s">
        <v>423</v>
      </c>
      <c r="G8" s="772" t="s">
        <v>6</v>
      </c>
      <c r="H8" s="772" t="s">
        <v>386</v>
      </c>
      <c r="I8" s="772" t="s">
        <v>368</v>
      </c>
      <c r="J8" s="772" t="s">
        <v>426</v>
      </c>
      <c r="K8" s="782" t="s">
        <v>474</v>
      </c>
      <c r="L8" s="772" t="s">
        <v>11</v>
      </c>
      <c r="M8" s="779"/>
    </row>
    <row r="9" spans="1:25" ht="79.5" customHeight="1" thickBot="1" x14ac:dyDescent="0.25">
      <c r="A9" s="776"/>
      <c r="B9" s="772"/>
      <c r="C9" s="67" t="s">
        <v>468</v>
      </c>
      <c r="D9" s="67" t="s">
        <v>469</v>
      </c>
      <c r="E9" s="781"/>
      <c r="F9" s="772"/>
      <c r="G9" s="772"/>
      <c r="H9" s="772"/>
      <c r="I9" s="772"/>
      <c r="J9" s="772"/>
      <c r="K9" s="783"/>
      <c r="L9" s="772"/>
      <c r="M9" s="779"/>
    </row>
    <row r="10" spans="1:25" ht="18" customHeight="1" thickBot="1" x14ac:dyDescent="0.25">
      <c r="A10" s="124" t="s">
        <v>1203</v>
      </c>
      <c r="B10" s="132">
        <f t="shared" ref="B10:L10" si="0">B16+B23</f>
        <v>1221181</v>
      </c>
      <c r="C10" s="132">
        <f t="shared" si="0"/>
        <v>0</v>
      </c>
      <c r="D10" s="132">
        <f t="shared" si="0"/>
        <v>0</v>
      </c>
      <c r="E10" s="132">
        <f t="shared" si="0"/>
        <v>0</v>
      </c>
      <c r="F10" s="132">
        <f t="shared" si="0"/>
        <v>189486</v>
      </c>
      <c r="G10" s="132">
        <f t="shared" si="0"/>
        <v>1410667</v>
      </c>
      <c r="H10" s="132">
        <f t="shared" si="0"/>
        <v>0</v>
      </c>
      <c r="I10" s="132">
        <f t="shared" si="0"/>
        <v>21700</v>
      </c>
      <c r="J10" s="132">
        <f t="shared" si="0"/>
        <v>518711</v>
      </c>
      <c r="K10" s="132">
        <f t="shared" si="0"/>
        <v>0</v>
      </c>
      <c r="L10" s="132">
        <f t="shared" si="0"/>
        <v>540411</v>
      </c>
      <c r="M10" s="126">
        <f>SUM(L10,G10)</f>
        <v>1951078</v>
      </c>
    </row>
    <row r="11" spans="1:25" ht="17.25" customHeight="1" thickBot="1" x14ac:dyDescent="0.25">
      <c r="A11" s="124" t="s">
        <v>1355</v>
      </c>
      <c r="B11" s="132">
        <f t="shared" ref="B11:L11" si="1">B17+B24</f>
        <v>1259304</v>
      </c>
      <c r="C11" s="132">
        <f t="shared" si="1"/>
        <v>0</v>
      </c>
      <c r="D11" s="132">
        <f t="shared" si="1"/>
        <v>42372</v>
      </c>
      <c r="E11" s="132">
        <f t="shared" si="1"/>
        <v>0</v>
      </c>
      <c r="F11" s="132">
        <f t="shared" si="1"/>
        <v>189486</v>
      </c>
      <c r="G11" s="132">
        <f t="shared" si="1"/>
        <v>1491162</v>
      </c>
      <c r="H11" s="132">
        <f t="shared" si="1"/>
        <v>708662</v>
      </c>
      <c r="I11" s="132">
        <f t="shared" si="1"/>
        <v>10800</v>
      </c>
      <c r="J11" s="132">
        <f t="shared" si="1"/>
        <v>518711</v>
      </c>
      <c r="K11" s="132">
        <f t="shared" si="1"/>
        <v>350000</v>
      </c>
      <c r="L11" s="132">
        <f t="shared" si="1"/>
        <v>1588173</v>
      </c>
      <c r="M11" s="126">
        <f t="shared" ref="M11:M15" si="2">SUM(L11,G11)</f>
        <v>3079335</v>
      </c>
    </row>
    <row r="12" spans="1:25" ht="16.5" hidden="1" customHeight="1" thickBot="1" x14ac:dyDescent="0.25">
      <c r="A12" s="124" t="s">
        <v>1423</v>
      </c>
      <c r="B12" s="132">
        <f t="shared" ref="B12:L12" si="3">B18+B25</f>
        <v>1259304</v>
      </c>
      <c r="C12" s="132">
        <f t="shared" si="3"/>
        <v>0</v>
      </c>
      <c r="D12" s="132">
        <f t="shared" si="3"/>
        <v>42372</v>
      </c>
      <c r="E12" s="132">
        <f t="shared" si="3"/>
        <v>0</v>
      </c>
      <c r="F12" s="132">
        <f t="shared" si="3"/>
        <v>189486</v>
      </c>
      <c r="G12" s="132">
        <f t="shared" si="3"/>
        <v>1491162</v>
      </c>
      <c r="H12" s="132">
        <f t="shared" si="3"/>
        <v>708662</v>
      </c>
      <c r="I12" s="132">
        <f t="shared" si="3"/>
        <v>10800</v>
      </c>
      <c r="J12" s="132">
        <f t="shared" si="3"/>
        <v>518711</v>
      </c>
      <c r="K12" s="132">
        <f t="shared" si="3"/>
        <v>350000</v>
      </c>
      <c r="L12" s="132">
        <f t="shared" si="3"/>
        <v>1588173</v>
      </c>
      <c r="M12" s="126">
        <f t="shared" si="2"/>
        <v>3079335</v>
      </c>
    </row>
    <row r="13" spans="1:25" ht="16.5" customHeight="1" thickBot="1" x14ac:dyDescent="0.25">
      <c r="A13" s="124" t="s">
        <v>1417</v>
      </c>
      <c r="B13" s="132">
        <f t="shared" ref="B13:L13" si="4">B19+B26</f>
        <v>1354320</v>
      </c>
      <c r="C13" s="132">
        <f t="shared" si="4"/>
        <v>0</v>
      </c>
      <c r="D13" s="132">
        <f t="shared" si="4"/>
        <v>40000</v>
      </c>
      <c r="E13" s="132">
        <f t="shared" si="4"/>
        <v>0</v>
      </c>
      <c r="F13" s="132">
        <f t="shared" si="4"/>
        <v>189486</v>
      </c>
      <c r="G13" s="132">
        <f t="shared" si="4"/>
        <v>1583806</v>
      </c>
      <c r="H13" s="132">
        <f t="shared" si="4"/>
        <v>726752</v>
      </c>
      <c r="I13" s="132">
        <f t="shared" si="4"/>
        <v>460800</v>
      </c>
      <c r="J13" s="132">
        <f t="shared" si="4"/>
        <v>518711</v>
      </c>
      <c r="K13" s="132">
        <f t="shared" si="4"/>
        <v>350000</v>
      </c>
      <c r="L13" s="132">
        <f t="shared" si="4"/>
        <v>2056263</v>
      </c>
      <c r="M13" s="126">
        <f t="shared" si="2"/>
        <v>3640069</v>
      </c>
    </row>
    <row r="14" spans="1:25" ht="16.5" hidden="1" customHeight="1" thickBot="1" x14ac:dyDescent="0.25">
      <c r="A14" s="124"/>
      <c r="B14" s="132">
        <f t="shared" ref="B14:L14" si="5">B20+B27</f>
        <v>0</v>
      </c>
      <c r="C14" s="132">
        <f t="shared" si="5"/>
        <v>0</v>
      </c>
      <c r="D14" s="132">
        <f t="shared" si="5"/>
        <v>0</v>
      </c>
      <c r="E14" s="132">
        <f t="shared" si="5"/>
        <v>0</v>
      </c>
      <c r="F14" s="132">
        <f t="shared" si="5"/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26">
        <f t="shared" si="2"/>
        <v>0</v>
      </c>
    </row>
    <row r="15" spans="1:25" ht="16.5" hidden="1" customHeight="1" thickBot="1" x14ac:dyDescent="0.25">
      <c r="A15" s="124" t="s">
        <v>922</v>
      </c>
      <c r="B15" s="132">
        <f t="shared" ref="B15:L15" si="6">B21+B28</f>
        <v>1086325</v>
      </c>
      <c r="C15" s="132">
        <f t="shared" si="6"/>
        <v>0</v>
      </c>
      <c r="D15" s="132">
        <f t="shared" si="6"/>
        <v>40000</v>
      </c>
      <c r="E15" s="132">
        <f t="shared" si="6"/>
        <v>0</v>
      </c>
      <c r="F15" s="132">
        <f t="shared" si="6"/>
        <v>198937</v>
      </c>
      <c r="G15" s="132">
        <f t="shared" si="6"/>
        <v>1325262</v>
      </c>
      <c r="H15" s="132">
        <f t="shared" si="6"/>
        <v>40000</v>
      </c>
      <c r="I15" s="132">
        <f t="shared" si="6"/>
        <v>11800</v>
      </c>
      <c r="J15" s="132">
        <f t="shared" si="6"/>
        <v>518711</v>
      </c>
      <c r="K15" s="132">
        <f t="shared" si="6"/>
        <v>0</v>
      </c>
      <c r="L15" s="132">
        <f t="shared" si="6"/>
        <v>570511</v>
      </c>
      <c r="M15" s="126">
        <f t="shared" si="2"/>
        <v>1895773</v>
      </c>
    </row>
    <row r="16" spans="1:25" ht="16.5" customHeight="1" x14ac:dyDescent="0.2">
      <c r="A16" s="298" t="s">
        <v>1204</v>
      </c>
      <c r="B16" s="262">
        <f>SUM('7.finanszírozás.'!C10)</f>
        <v>1221181</v>
      </c>
      <c r="C16" s="607"/>
      <c r="D16" s="262">
        <v>0</v>
      </c>
      <c r="E16" s="262">
        <f>'2.működés'!E109</f>
        <v>0</v>
      </c>
      <c r="F16" s="262">
        <f>SUM('2.működés'!C104)-F36</f>
        <v>189486</v>
      </c>
      <c r="G16" s="262">
        <f>SUM(B16:F16)</f>
        <v>1410667</v>
      </c>
      <c r="H16" s="262"/>
      <c r="I16" s="262"/>
      <c r="J16" s="262">
        <f>SUM('3.felh'!C37)</f>
        <v>518711</v>
      </c>
      <c r="K16" s="262"/>
      <c r="L16" s="262">
        <f>SUM(H16:K16)</f>
        <v>518711</v>
      </c>
      <c r="M16" s="608">
        <f>SUM(L16,G16)</f>
        <v>1929378</v>
      </c>
    </row>
    <row r="17" spans="1:13" ht="16.5" customHeight="1" x14ac:dyDescent="0.2">
      <c r="A17" s="298" t="s">
        <v>1339</v>
      </c>
      <c r="B17" s="262">
        <f>SUM('7.finanszírozás.'!C11-'2.működés'!D95)</f>
        <v>1259304</v>
      </c>
      <c r="C17" s="607"/>
      <c r="D17" s="262">
        <f>SUM('2.működés'!D95)</f>
        <v>42372</v>
      </c>
      <c r="E17" s="262">
        <f>'2.működés'!D109</f>
        <v>0</v>
      </c>
      <c r="F17" s="262">
        <f>SUM('2.működés'!D104-'7.finanszírozás.'!D35)</f>
        <v>189486</v>
      </c>
      <c r="G17" s="262">
        <f t="shared" ref="G17:G29" si="7">SUM(B17:F17)</f>
        <v>1491162</v>
      </c>
      <c r="H17" s="262"/>
      <c r="I17" s="262"/>
      <c r="J17" s="262">
        <f>'1.Bev-kiad.'!D58</f>
        <v>518711</v>
      </c>
      <c r="K17" s="262"/>
      <c r="L17" s="262">
        <f t="shared" ref="L17:L29" si="8">SUM(H17:K17)</f>
        <v>518711</v>
      </c>
      <c r="M17" s="608">
        <f t="shared" ref="M17:M29" si="9">SUM(L17,G17)</f>
        <v>2009873</v>
      </c>
    </row>
    <row r="18" spans="1:13" ht="16.5" hidden="1" customHeight="1" x14ac:dyDescent="0.2">
      <c r="A18" s="298" t="s">
        <v>1422</v>
      </c>
      <c r="B18" s="262">
        <f>SUM('7.finanszírozás.'!C12-'2.működés'!E95)</f>
        <v>1259304</v>
      </c>
      <c r="C18" s="607"/>
      <c r="D18" s="262">
        <f>SUM('2.működés'!E95)</f>
        <v>42372</v>
      </c>
      <c r="E18" s="262">
        <f>'2.működés'!D110</f>
        <v>0</v>
      </c>
      <c r="F18" s="262">
        <f>SUM('2.működés'!E104-'7.finanszírozás.'!D36)</f>
        <v>189486</v>
      </c>
      <c r="G18" s="262">
        <f t="shared" ref="G18" si="10">SUM(B18:F18)</f>
        <v>1491162</v>
      </c>
      <c r="H18" s="262"/>
      <c r="I18" s="262"/>
      <c r="J18" s="262">
        <f>'1.Bev-kiad.'!E58</f>
        <v>518711</v>
      </c>
      <c r="K18" s="262"/>
      <c r="L18" s="262">
        <f t="shared" ref="L18" si="11">SUM(H18:K18)</f>
        <v>518711</v>
      </c>
      <c r="M18" s="608">
        <f t="shared" ref="M18" si="12">SUM(L18,G18)</f>
        <v>2009873</v>
      </c>
    </row>
    <row r="19" spans="1:13" ht="16.5" customHeight="1" x14ac:dyDescent="0.2">
      <c r="A19" s="298" t="s">
        <v>1418</v>
      </c>
      <c r="B19" s="262">
        <f>SUM('7.finanszírozás.'!C13-'2.működés'!F99)</f>
        <v>1354320</v>
      </c>
      <c r="C19" s="607"/>
      <c r="D19" s="262">
        <f>SUM('2.működés'!F99)</f>
        <v>40000</v>
      </c>
      <c r="E19" s="262">
        <f>'2.működés'!F109</f>
        <v>0</v>
      </c>
      <c r="F19" s="262">
        <f>SUM('2.működés'!F104-'7.finanszírozás.'!D37)</f>
        <v>189486</v>
      </c>
      <c r="G19" s="262">
        <f t="shared" si="7"/>
        <v>1583806</v>
      </c>
      <c r="H19" s="262"/>
      <c r="I19" s="262"/>
      <c r="J19" s="262">
        <f>'1.Bev-kiad.'!F58</f>
        <v>518711</v>
      </c>
      <c r="K19" s="262"/>
      <c r="L19" s="262">
        <f t="shared" si="8"/>
        <v>518711</v>
      </c>
      <c r="M19" s="608">
        <f t="shared" si="9"/>
        <v>2102517</v>
      </c>
    </row>
    <row r="20" spans="1:13" ht="16.5" hidden="1" customHeight="1" x14ac:dyDescent="0.2">
      <c r="A20" s="298"/>
      <c r="B20" s="262"/>
      <c r="C20" s="607"/>
      <c r="D20" s="262"/>
      <c r="E20" s="262"/>
      <c r="F20" s="262"/>
      <c r="G20" s="262">
        <f t="shared" si="7"/>
        <v>0</v>
      </c>
      <c r="H20" s="262"/>
      <c r="I20" s="262"/>
      <c r="J20" s="262"/>
      <c r="K20" s="262"/>
      <c r="L20" s="262">
        <f t="shared" si="8"/>
        <v>0</v>
      </c>
      <c r="M20" s="608">
        <f>SUM(L20,G20)</f>
        <v>0</v>
      </c>
    </row>
    <row r="21" spans="1:13" ht="16.5" hidden="1" customHeight="1" x14ac:dyDescent="0.2">
      <c r="A21" s="298" t="s">
        <v>921</v>
      </c>
      <c r="B21" s="262">
        <f>SUM('7.finanszírozás.'!C15-'2.működés'!H99)</f>
        <v>1086325</v>
      </c>
      <c r="C21" s="607"/>
      <c r="D21" s="262">
        <f>SUM('2.működés'!H99)</f>
        <v>40000</v>
      </c>
      <c r="E21" s="262">
        <f>'2.működés'!H109</f>
        <v>0</v>
      </c>
      <c r="F21" s="262">
        <f>SUM('2.működés'!H104-'7.finanszírozás.'!D39)</f>
        <v>198937</v>
      </c>
      <c r="G21" s="262">
        <f>SUM(B21:F21)</f>
        <v>1325262</v>
      </c>
      <c r="H21" s="262"/>
      <c r="I21" s="262"/>
      <c r="J21" s="262">
        <f>'1.Bev-kiad.'!H58</f>
        <v>518711</v>
      </c>
      <c r="K21" s="262"/>
      <c r="L21" s="262">
        <f>SUM(H21:K21)</f>
        <v>518711</v>
      </c>
      <c r="M21" s="608">
        <f>SUM(L21,G21)</f>
        <v>1843973</v>
      </c>
    </row>
    <row r="22" spans="1:13" ht="16.5" hidden="1" customHeight="1" x14ac:dyDescent="0.2">
      <c r="B22" s="262"/>
      <c r="C22" s="607"/>
      <c r="D22" s="262"/>
      <c r="E22" s="262"/>
      <c r="F22" s="262"/>
      <c r="G22" s="262">
        <f t="shared" si="7"/>
        <v>0</v>
      </c>
      <c r="H22" s="262"/>
      <c r="I22" s="262"/>
      <c r="J22" s="262"/>
      <c r="K22" s="262"/>
      <c r="L22" s="262">
        <f t="shared" si="8"/>
        <v>0</v>
      </c>
      <c r="M22" s="608">
        <f>SUM(L22,G22)</f>
        <v>0</v>
      </c>
    </row>
    <row r="23" spans="1:13" ht="16.5" customHeight="1" x14ac:dyDescent="0.2">
      <c r="A23" s="298" t="s">
        <v>1205</v>
      </c>
      <c r="B23" s="131"/>
      <c r="C23" s="131"/>
      <c r="D23" s="131"/>
      <c r="E23" s="131"/>
      <c r="F23" s="131"/>
      <c r="G23" s="83">
        <f>SUM(B23:F23)</f>
        <v>0</v>
      </c>
      <c r="H23" s="166">
        <v>0</v>
      </c>
      <c r="I23" s="166">
        <f>SUM('3.felh'!C13+'3.felh'!C25+'3.felh'!C31)</f>
        <v>21700</v>
      </c>
      <c r="J23" s="84"/>
      <c r="K23" s="83">
        <f>SUM('3.felh'!C40)</f>
        <v>0</v>
      </c>
      <c r="L23" s="83">
        <f>SUM(H23:K23)</f>
        <v>21700</v>
      </c>
      <c r="M23" s="299">
        <f>SUM(L23,G23)</f>
        <v>21700</v>
      </c>
    </row>
    <row r="24" spans="1:13" ht="16.5" customHeight="1" x14ac:dyDescent="0.2">
      <c r="A24" s="298" t="s">
        <v>1356</v>
      </c>
      <c r="B24" s="131"/>
      <c r="C24" s="131"/>
      <c r="D24" s="131"/>
      <c r="E24" s="131"/>
      <c r="F24" s="131"/>
      <c r="G24" s="83">
        <f>SUM(B24:F24)</f>
        <v>0</v>
      </c>
      <c r="H24" s="166">
        <f>'3.felh'!D13</f>
        <v>708662</v>
      </c>
      <c r="I24" s="166">
        <f>'3.felh'!D25+'3.felh'!D31</f>
        <v>10800</v>
      </c>
      <c r="J24" s="84"/>
      <c r="K24" s="83">
        <f>SUM('3.felh'!D40)</f>
        <v>350000</v>
      </c>
      <c r="L24" s="83">
        <f t="shared" si="8"/>
        <v>1069462</v>
      </c>
      <c r="M24" s="299">
        <f t="shared" si="9"/>
        <v>1069462</v>
      </c>
    </row>
    <row r="25" spans="1:13" ht="16.5" hidden="1" customHeight="1" x14ac:dyDescent="0.2">
      <c r="A25" s="298" t="s">
        <v>1424</v>
      </c>
      <c r="B25" s="131"/>
      <c r="C25" s="131"/>
      <c r="D25" s="131"/>
      <c r="E25" s="131"/>
      <c r="F25" s="131"/>
      <c r="G25" s="83"/>
      <c r="H25" s="166">
        <f>'3.felh'!E13</f>
        <v>708662</v>
      </c>
      <c r="I25" s="166">
        <f>'3.felh'!E25+'3.felh'!E31</f>
        <v>10800</v>
      </c>
      <c r="J25" s="84"/>
      <c r="K25" s="83">
        <f>SUM('3.felh'!E40)</f>
        <v>350000</v>
      </c>
      <c r="L25" s="83">
        <f t="shared" ref="L25" si="13">SUM(H25:K25)</f>
        <v>1069462</v>
      </c>
      <c r="M25" s="299">
        <f t="shared" ref="M25" si="14">SUM(L25,G25)</f>
        <v>1069462</v>
      </c>
    </row>
    <row r="26" spans="1:13" ht="16.5" customHeight="1" thickBot="1" x14ac:dyDescent="0.25">
      <c r="A26" s="298" t="s">
        <v>1419</v>
      </c>
      <c r="B26" s="131"/>
      <c r="C26" s="131"/>
      <c r="D26" s="131"/>
      <c r="E26" s="131"/>
      <c r="F26" s="131"/>
      <c r="G26" s="83">
        <f t="shared" si="7"/>
        <v>0</v>
      </c>
      <c r="H26" s="166">
        <f>'3.felh'!F13</f>
        <v>726752</v>
      </c>
      <c r="I26" s="166">
        <f>'3.felh'!F25+'3.felh'!F31</f>
        <v>460800</v>
      </c>
      <c r="J26" s="84"/>
      <c r="K26" s="83">
        <f>SUM('3.felh'!F40)</f>
        <v>350000</v>
      </c>
      <c r="L26" s="83">
        <f t="shared" si="8"/>
        <v>1537552</v>
      </c>
      <c r="M26" s="299">
        <f t="shared" si="9"/>
        <v>1537552</v>
      </c>
    </row>
    <row r="27" spans="1:13" ht="16.5" hidden="1" customHeight="1" x14ac:dyDescent="0.2">
      <c r="A27" s="298"/>
      <c r="B27" s="131"/>
      <c r="C27" s="131"/>
      <c r="D27" s="131"/>
      <c r="E27" s="131"/>
      <c r="F27" s="131"/>
      <c r="G27" s="83">
        <f t="shared" si="7"/>
        <v>0</v>
      </c>
      <c r="H27" s="166"/>
      <c r="I27" s="166"/>
      <c r="J27" s="84"/>
      <c r="K27" s="83"/>
      <c r="L27" s="83">
        <f t="shared" si="8"/>
        <v>0</v>
      </c>
      <c r="M27" s="299">
        <f>SUM(L27,G27)</f>
        <v>0</v>
      </c>
    </row>
    <row r="28" spans="1:13" ht="16.5" hidden="1" customHeight="1" x14ac:dyDescent="0.2">
      <c r="A28" s="298" t="str">
        <f>A21</f>
        <v xml:space="preserve">       Teljesítés 2021.12.31.</v>
      </c>
      <c r="B28" s="131"/>
      <c r="C28" s="131"/>
      <c r="D28" s="131"/>
      <c r="E28" s="131"/>
      <c r="F28" s="131"/>
      <c r="G28" s="83">
        <f t="shared" si="7"/>
        <v>0</v>
      </c>
      <c r="H28" s="166">
        <f>'3.felh'!H13</f>
        <v>40000</v>
      </c>
      <c r="I28" s="166">
        <f>'3.felh'!H25+'3.felh'!H31</f>
        <v>11800</v>
      </c>
      <c r="J28" s="84"/>
      <c r="K28" s="83">
        <f>SUM('3.felh'!H40)</f>
        <v>0</v>
      </c>
      <c r="L28" s="83">
        <f t="shared" si="8"/>
        <v>51800</v>
      </c>
      <c r="M28" s="299">
        <f>SUM(L28,G27)</f>
        <v>51800</v>
      </c>
    </row>
    <row r="29" spans="1:13" ht="19.5" hidden="1" customHeight="1" thickBot="1" x14ac:dyDescent="0.25">
      <c r="A29" s="609" t="str">
        <f>A43</f>
        <v xml:space="preserve">       Államigazgatási feladatok (eredeti előirányzat 2023. év)</v>
      </c>
      <c r="B29" s="610"/>
      <c r="C29" s="610"/>
      <c r="D29" s="610"/>
      <c r="E29" s="610"/>
      <c r="F29" s="610"/>
      <c r="G29" s="83">
        <f t="shared" si="7"/>
        <v>0</v>
      </c>
      <c r="H29" s="610"/>
      <c r="I29" s="610"/>
      <c r="J29" s="610"/>
      <c r="K29" s="610"/>
      <c r="L29" s="83">
        <f t="shared" si="8"/>
        <v>0</v>
      </c>
      <c r="M29" s="299">
        <f t="shared" si="9"/>
        <v>0</v>
      </c>
    </row>
    <row r="30" spans="1:13" ht="15.75" customHeight="1" thickBot="1" x14ac:dyDescent="0.25">
      <c r="A30" s="124" t="s">
        <v>1209</v>
      </c>
      <c r="B30" s="132">
        <f>SUM(B36)</f>
        <v>54069</v>
      </c>
      <c r="C30" s="132">
        <f>SUM(C36)</f>
        <v>133919</v>
      </c>
      <c r="D30" s="132">
        <f>SUM(D38)</f>
        <v>0</v>
      </c>
      <c r="E30" s="132">
        <f>SUM(E36)</f>
        <v>68150</v>
      </c>
      <c r="F30" s="132">
        <f>SUM(F36)</f>
        <v>16067</v>
      </c>
      <c r="G30" s="132">
        <f>SUM(G36)</f>
        <v>272205</v>
      </c>
      <c r="H30" s="132"/>
      <c r="I30" s="132"/>
      <c r="J30" s="132"/>
      <c r="K30" s="132"/>
      <c r="L30" s="132">
        <v>0</v>
      </c>
      <c r="M30" s="126">
        <f>SUM(G30)</f>
        <v>272205</v>
      </c>
    </row>
    <row r="31" spans="1:13" ht="15.75" customHeight="1" thickBot="1" x14ac:dyDescent="0.25">
      <c r="A31" s="124" t="s">
        <v>1357</v>
      </c>
      <c r="B31" s="132">
        <f t="shared" ref="B31:C31" si="15">SUM(B37)</f>
        <v>54125</v>
      </c>
      <c r="C31" s="132">
        <f t="shared" si="15"/>
        <v>133919</v>
      </c>
      <c r="D31" s="132">
        <f t="shared" ref="D31:D35" si="16">SUM(D39)</f>
        <v>0</v>
      </c>
      <c r="E31" s="132">
        <f t="shared" ref="E31:G31" si="17">SUM(E37)</f>
        <v>68150</v>
      </c>
      <c r="F31" s="132">
        <f t="shared" si="17"/>
        <v>16067</v>
      </c>
      <c r="G31" s="132">
        <f t="shared" si="17"/>
        <v>272261</v>
      </c>
      <c r="H31" s="132"/>
      <c r="I31" s="132"/>
      <c r="J31" s="132"/>
      <c r="K31" s="132"/>
      <c r="L31" s="132">
        <v>0</v>
      </c>
      <c r="M31" s="126">
        <f t="shared" ref="M31:M35" si="18">SUM(G31)</f>
        <v>272261</v>
      </c>
    </row>
    <row r="32" spans="1:13" ht="15.75" hidden="1" customHeight="1" thickBot="1" x14ac:dyDescent="0.25">
      <c r="A32" s="124" t="s">
        <v>1425</v>
      </c>
      <c r="B32" s="132">
        <f t="shared" ref="B32:C32" si="19">SUM(B38)</f>
        <v>54125</v>
      </c>
      <c r="C32" s="132">
        <f t="shared" si="19"/>
        <v>133919</v>
      </c>
      <c r="D32" s="132">
        <f t="shared" si="16"/>
        <v>0</v>
      </c>
      <c r="E32" s="132">
        <f t="shared" ref="E32:G32" si="20">SUM(E38)</f>
        <v>68150</v>
      </c>
      <c r="F32" s="132">
        <f t="shared" si="20"/>
        <v>16067</v>
      </c>
      <c r="G32" s="132">
        <f t="shared" si="20"/>
        <v>272261</v>
      </c>
      <c r="H32" s="132"/>
      <c r="I32" s="132"/>
      <c r="J32" s="132"/>
      <c r="K32" s="132"/>
      <c r="L32" s="132"/>
      <c r="M32" s="126">
        <f t="shared" si="18"/>
        <v>272261</v>
      </c>
    </row>
    <row r="33" spans="1:13" ht="15.75" customHeight="1" thickBot="1" x14ac:dyDescent="0.25">
      <c r="A33" s="124" t="s">
        <v>1426</v>
      </c>
      <c r="B33" s="132">
        <f t="shared" ref="B33:C33" si="21">SUM(B39)</f>
        <v>54435</v>
      </c>
      <c r="C33" s="132">
        <f t="shared" si="21"/>
        <v>142046</v>
      </c>
      <c r="D33" s="132">
        <f t="shared" si="16"/>
        <v>0</v>
      </c>
      <c r="E33" s="132">
        <f t="shared" ref="E33:G33" si="22">SUM(E39)</f>
        <v>68150</v>
      </c>
      <c r="F33" s="132">
        <f t="shared" si="22"/>
        <v>16067</v>
      </c>
      <c r="G33" s="132">
        <f t="shared" si="22"/>
        <v>280698</v>
      </c>
      <c r="H33" s="132"/>
      <c r="I33" s="132"/>
      <c r="J33" s="132"/>
      <c r="K33" s="132"/>
      <c r="L33" s="132"/>
      <c r="M33" s="126">
        <f t="shared" si="18"/>
        <v>280698</v>
      </c>
    </row>
    <row r="34" spans="1:13" ht="15.75" hidden="1" customHeight="1" thickBot="1" x14ac:dyDescent="0.25">
      <c r="A34" s="124"/>
      <c r="B34" s="132">
        <f t="shared" ref="B34:C34" si="23">SUM(B40)</f>
        <v>0</v>
      </c>
      <c r="C34" s="132">
        <f t="shared" si="23"/>
        <v>0</v>
      </c>
      <c r="D34" s="132">
        <f t="shared" si="16"/>
        <v>0</v>
      </c>
      <c r="E34" s="132">
        <f t="shared" ref="E34:G34" si="24">SUM(E40)</f>
        <v>0</v>
      </c>
      <c r="F34" s="132">
        <f t="shared" si="24"/>
        <v>0</v>
      </c>
      <c r="G34" s="132">
        <f t="shared" si="24"/>
        <v>0</v>
      </c>
      <c r="H34" s="132"/>
      <c r="I34" s="132"/>
      <c r="J34" s="132"/>
      <c r="K34" s="132"/>
      <c r="L34" s="132"/>
      <c r="M34" s="126">
        <f t="shared" si="18"/>
        <v>0</v>
      </c>
    </row>
    <row r="35" spans="1:13" ht="15.75" hidden="1" customHeight="1" thickBot="1" x14ac:dyDescent="0.25">
      <c r="A35" s="124" t="s">
        <v>923</v>
      </c>
      <c r="B35" s="132">
        <f t="shared" ref="B35:C35" si="25">SUM(B41)</f>
        <v>53369</v>
      </c>
      <c r="C35" s="132">
        <f t="shared" si="25"/>
        <v>133919</v>
      </c>
      <c r="D35" s="132">
        <f t="shared" si="16"/>
        <v>0</v>
      </c>
      <c r="E35" s="132">
        <f t="shared" ref="E35:G35" si="26">SUM(E41)</f>
        <v>10710</v>
      </c>
      <c r="F35" s="132">
        <f t="shared" si="26"/>
        <v>3400</v>
      </c>
      <c r="G35" s="132">
        <f t="shared" si="26"/>
        <v>201398</v>
      </c>
      <c r="H35" s="132"/>
      <c r="I35" s="132"/>
      <c r="J35" s="132"/>
      <c r="K35" s="132"/>
      <c r="L35" s="132"/>
      <c r="M35" s="126">
        <f t="shared" si="18"/>
        <v>201398</v>
      </c>
    </row>
    <row r="36" spans="1:13" ht="15.75" customHeight="1" x14ac:dyDescent="0.2">
      <c r="A36" s="611" t="str">
        <f>A16</f>
        <v xml:space="preserve">       Kötelező (eredeti előirányzat 2023. év)</v>
      </c>
      <c r="B36" s="83">
        <f>SUM('7.finanszírozás.'!D10)</f>
        <v>54069</v>
      </c>
      <c r="C36" s="83">
        <f>SUM('7.finanszírozás.'!D42)</f>
        <v>133919</v>
      </c>
      <c r="D36" s="83"/>
      <c r="E36" s="83">
        <f>SUM('7.finanszírozás.'!D50)</f>
        <v>68150</v>
      </c>
      <c r="F36" s="83">
        <f>SUM('7.finanszírozás.'!D34)</f>
        <v>16067</v>
      </c>
      <c r="G36" s="83">
        <f t="shared" ref="G36:G43" si="27">SUM(B36:F36)</f>
        <v>272205</v>
      </c>
      <c r="H36" s="130"/>
      <c r="I36" s="130"/>
      <c r="J36" s="130"/>
      <c r="K36" s="130"/>
      <c r="L36" s="130">
        <v>0</v>
      </c>
      <c r="M36" s="299">
        <f t="shared" ref="M36:M43" si="28">SUM(G36)</f>
        <v>272205</v>
      </c>
    </row>
    <row r="37" spans="1:13" ht="15.75" customHeight="1" x14ac:dyDescent="0.2">
      <c r="A37" s="611" t="str">
        <f>A17</f>
        <v xml:space="preserve">       Kötelező (módosított előirányzat 2023.06. havi)</v>
      </c>
      <c r="B37" s="83">
        <f>SUM('7.finanszírozás.'!D11)</f>
        <v>54125</v>
      </c>
      <c r="C37" s="83">
        <f>SUM('7.finanszírozás.'!D43)</f>
        <v>133919</v>
      </c>
      <c r="D37" s="83"/>
      <c r="E37" s="83">
        <f>SUM('7.finanszírozás.'!D51)</f>
        <v>68150</v>
      </c>
      <c r="F37" s="83">
        <f>SUM('7.finanszírozás.'!D35)</f>
        <v>16067</v>
      </c>
      <c r="G37" s="83">
        <f t="shared" si="27"/>
        <v>272261</v>
      </c>
      <c r="H37" s="130"/>
      <c r="I37" s="130"/>
      <c r="J37" s="130"/>
      <c r="K37" s="130"/>
      <c r="L37" s="130">
        <v>0</v>
      </c>
      <c r="M37" s="299">
        <f t="shared" si="28"/>
        <v>272261</v>
      </c>
    </row>
    <row r="38" spans="1:13" ht="15.75" hidden="1" customHeight="1" x14ac:dyDescent="0.2">
      <c r="A38" s="611" t="str">
        <f>A18</f>
        <v xml:space="preserve">       Kötelező (módosított előirányzat 2023.07. havi)</v>
      </c>
      <c r="B38" s="83">
        <f>SUM('7.finanszírozás.'!D12)</f>
        <v>54125</v>
      </c>
      <c r="C38" s="83">
        <f>SUM('7.finanszírozás.'!D44)</f>
        <v>133919</v>
      </c>
      <c r="D38" s="83"/>
      <c r="E38" s="83">
        <f>SUM('7.finanszírozás.'!D52)</f>
        <v>68150</v>
      </c>
      <c r="F38" s="83">
        <f>SUM('7.finanszírozás.'!D36)</f>
        <v>16067</v>
      </c>
      <c r="G38" s="83">
        <f t="shared" si="27"/>
        <v>272261</v>
      </c>
      <c r="H38" s="130"/>
      <c r="I38" s="130"/>
      <c r="J38" s="130"/>
      <c r="K38" s="130"/>
      <c r="L38" s="130"/>
      <c r="M38" s="299">
        <f t="shared" si="28"/>
        <v>272261</v>
      </c>
    </row>
    <row r="39" spans="1:13" ht="15.75" customHeight="1" x14ac:dyDescent="0.2">
      <c r="A39" s="611" t="str">
        <f>A19</f>
        <v xml:space="preserve">       Kötelező (módosított előirányzat 2023.09. havi)</v>
      </c>
      <c r="B39" s="83">
        <f>SUM('7.finanszírozás.'!D13)</f>
        <v>54435</v>
      </c>
      <c r="C39" s="83">
        <f>SUM('7.finanszírozás.'!D45)</f>
        <v>142046</v>
      </c>
      <c r="D39" s="83"/>
      <c r="E39" s="83">
        <f>SUM('7.finanszírozás.'!D53)</f>
        <v>68150</v>
      </c>
      <c r="F39" s="83">
        <f>SUM('7.finanszírozás.'!D37)</f>
        <v>16067</v>
      </c>
      <c r="G39" s="83">
        <f t="shared" si="27"/>
        <v>280698</v>
      </c>
      <c r="H39" s="130"/>
      <c r="I39" s="130"/>
      <c r="J39" s="130"/>
      <c r="K39" s="130"/>
      <c r="L39" s="130"/>
      <c r="M39" s="299">
        <f t="shared" si="28"/>
        <v>280698</v>
      </c>
    </row>
    <row r="40" spans="1:13" ht="15.75" hidden="1" customHeight="1" x14ac:dyDescent="0.2">
      <c r="A40" s="611"/>
      <c r="B40" s="83">
        <f>SUM('7.finanszírozás.'!D14)</f>
        <v>0</v>
      </c>
      <c r="C40" s="83">
        <f>SUM('7.finanszírozás.'!D46)</f>
        <v>0</v>
      </c>
      <c r="D40" s="83"/>
      <c r="E40" s="83">
        <f>SUM('7.finanszírozás.'!D54)</f>
        <v>0</v>
      </c>
      <c r="F40" s="83">
        <f>SUM('7.finanszírozás.'!D38)</f>
        <v>0</v>
      </c>
      <c r="G40" s="83">
        <f t="shared" si="27"/>
        <v>0</v>
      </c>
      <c r="H40" s="130"/>
      <c r="I40" s="130"/>
      <c r="J40" s="130"/>
      <c r="K40" s="130"/>
      <c r="L40" s="130"/>
      <c r="M40" s="299">
        <f t="shared" si="28"/>
        <v>0</v>
      </c>
    </row>
    <row r="41" spans="1:13" ht="15.75" hidden="1" customHeight="1" x14ac:dyDescent="0.2">
      <c r="A41" s="611" t="str">
        <f>A21</f>
        <v xml:space="preserve">       Teljesítés 2021.12.31.</v>
      </c>
      <c r="B41" s="83">
        <f>SUM('7.finanszírozás.'!D15)</f>
        <v>53369</v>
      </c>
      <c r="C41" s="83">
        <f>SUM('7.finanszírozás.'!D47)</f>
        <v>133919</v>
      </c>
      <c r="D41" s="83"/>
      <c r="E41" s="83">
        <f>SUM('7.finanszírozás.'!D55)</f>
        <v>10710</v>
      </c>
      <c r="F41" s="83">
        <f>SUM('7.finanszírozás.'!D39)</f>
        <v>3400</v>
      </c>
      <c r="G41" s="83">
        <f t="shared" si="27"/>
        <v>201398</v>
      </c>
      <c r="H41" s="130"/>
      <c r="I41" s="130"/>
      <c r="J41" s="130"/>
      <c r="K41" s="130"/>
      <c r="L41" s="130"/>
      <c r="M41" s="299">
        <f t="shared" si="28"/>
        <v>201398</v>
      </c>
    </row>
    <row r="42" spans="1:13" ht="20.25" customHeight="1" x14ac:dyDescent="0.2">
      <c r="A42" s="298" t="str">
        <f>A23</f>
        <v xml:space="preserve">       Nem kötelező (eredeti előirányzat 2023. év)</v>
      </c>
      <c r="B42" s="83"/>
      <c r="C42" s="83"/>
      <c r="D42" s="83"/>
      <c r="E42" s="83"/>
      <c r="F42" s="83"/>
      <c r="G42" s="83">
        <f t="shared" si="27"/>
        <v>0</v>
      </c>
      <c r="H42" s="83"/>
      <c r="I42" s="83"/>
      <c r="J42" s="83"/>
      <c r="K42" s="83"/>
      <c r="L42" s="83">
        <v>0</v>
      </c>
      <c r="M42" s="299">
        <f t="shared" si="28"/>
        <v>0</v>
      </c>
    </row>
    <row r="43" spans="1:13" ht="19.5" customHeight="1" thickBot="1" x14ac:dyDescent="0.25">
      <c r="A43" s="609" t="s">
        <v>1206</v>
      </c>
      <c r="B43" s="83"/>
      <c r="C43" s="83"/>
      <c r="D43" s="83"/>
      <c r="E43" s="83"/>
      <c r="F43" s="83"/>
      <c r="G43" s="83">
        <f t="shared" si="27"/>
        <v>0</v>
      </c>
      <c r="H43" s="83"/>
      <c r="I43" s="83"/>
      <c r="J43" s="83"/>
      <c r="K43" s="83"/>
      <c r="L43" s="83">
        <v>0</v>
      </c>
      <c r="M43" s="299">
        <f t="shared" si="28"/>
        <v>0</v>
      </c>
    </row>
    <row r="44" spans="1:13" ht="16.5" thickBot="1" x14ac:dyDescent="0.25">
      <c r="A44" s="612" t="s">
        <v>1207</v>
      </c>
      <c r="B44" s="134">
        <f t="shared" ref="B44:L44" si="29">SUM(B10+B30)</f>
        <v>1275250</v>
      </c>
      <c r="C44" s="134">
        <f t="shared" si="29"/>
        <v>133919</v>
      </c>
      <c r="D44" s="134">
        <f t="shared" si="29"/>
        <v>0</v>
      </c>
      <c r="E44" s="134">
        <f t="shared" si="29"/>
        <v>68150</v>
      </c>
      <c r="F44" s="134">
        <f t="shared" si="29"/>
        <v>205553</v>
      </c>
      <c r="G44" s="134">
        <f t="shared" si="29"/>
        <v>1682872</v>
      </c>
      <c r="H44" s="134">
        <f t="shared" si="29"/>
        <v>0</v>
      </c>
      <c r="I44" s="134">
        <f t="shared" si="29"/>
        <v>21700</v>
      </c>
      <c r="J44" s="134">
        <f t="shared" si="29"/>
        <v>518711</v>
      </c>
      <c r="K44" s="134">
        <f t="shared" si="29"/>
        <v>0</v>
      </c>
      <c r="L44" s="134">
        <f t="shared" si="29"/>
        <v>540411</v>
      </c>
      <c r="M44" s="135">
        <f>SUM(L44,G44)</f>
        <v>2223283</v>
      </c>
    </row>
    <row r="45" spans="1:13" ht="16.5" thickBot="1" x14ac:dyDescent="0.25">
      <c r="A45" s="612" t="s">
        <v>1358</v>
      </c>
      <c r="B45" s="134">
        <f t="shared" ref="B45:L45" si="30">SUM(B11+B31)</f>
        <v>1313429</v>
      </c>
      <c r="C45" s="134">
        <f t="shared" si="30"/>
        <v>133919</v>
      </c>
      <c r="D45" s="134">
        <f t="shared" si="30"/>
        <v>42372</v>
      </c>
      <c r="E45" s="134">
        <f t="shared" si="30"/>
        <v>68150</v>
      </c>
      <c r="F45" s="134">
        <f t="shared" si="30"/>
        <v>205553</v>
      </c>
      <c r="G45" s="134">
        <f t="shared" si="30"/>
        <v>1763423</v>
      </c>
      <c r="H45" s="134">
        <f t="shared" si="30"/>
        <v>708662</v>
      </c>
      <c r="I45" s="134">
        <f t="shared" si="30"/>
        <v>10800</v>
      </c>
      <c r="J45" s="134">
        <f t="shared" si="30"/>
        <v>518711</v>
      </c>
      <c r="K45" s="134">
        <f t="shared" si="30"/>
        <v>350000</v>
      </c>
      <c r="L45" s="134">
        <f t="shared" si="30"/>
        <v>1588173</v>
      </c>
      <c r="M45" s="135">
        <f t="shared" ref="M45:M49" si="31">SUM(L45,G45)</f>
        <v>3351596</v>
      </c>
    </row>
    <row r="46" spans="1:13" ht="16.5" hidden="1" thickBot="1" x14ac:dyDescent="0.25">
      <c r="A46" s="612" t="s">
        <v>1427</v>
      </c>
      <c r="B46" s="134">
        <f t="shared" ref="B46:L46" si="32">SUM(B12+B32)</f>
        <v>1313429</v>
      </c>
      <c r="C46" s="134">
        <f t="shared" si="32"/>
        <v>133919</v>
      </c>
      <c r="D46" s="134">
        <f t="shared" si="32"/>
        <v>42372</v>
      </c>
      <c r="E46" s="134">
        <f t="shared" si="32"/>
        <v>68150</v>
      </c>
      <c r="F46" s="134">
        <f t="shared" si="32"/>
        <v>205553</v>
      </c>
      <c r="G46" s="134">
        <f t="shared" si="32"/>
        <v>1763423</v>
      </c>
      <c r="H46" s="134">
        <f t="shared" si="32"/>
        <v>708662</v>
      </c>
      <c r="I46" s="134">
        <f t="shared" si="32"/>
        <v>10800</v>
      </c>
      <c r="J46" s="134">
        <f t="shared" si="32"/>
        <v>518711</v>
      </c>
      <c r="K46" s="134">
        <f t="shared" si="32"/>
        <v>350000</v>
      </c>
      <c r="L46" s="134">
        <f t="shared" si="32"/>
        <v>1588173</v>
      </c>
      <c r="M46" s="135">
        <f t="shared" si="31"/>
        <v>3351596</v>
      </c>
    </row>
    <row r="47" spans="1:13" ht="16.5" thickBot="1" x14ac:dyDescent="0.25">
      <c r="A47" s="612" t="s">
        <v>1428</v>
      </c>
      <c r="B47" s="134">
        <f t="shared" ref="B47:L47" si="33">SUM(B13+B33)</f>
        <v>1408755</v>
      </c>
      <c r="C47" s="134">
        <f t="shared" si="33"/>
        <v>142046</v>
      </c>
      <c r="D47" s="134">
        <f t="shared" si="33"/>
        <v>40000</v>
      </c>
      <c r="E47" s="134">
        <f t="shared" si="33"/>
        <v>68150</v>
      </c>
      <c r="F47" s="134">
        <f t="shared" si="33"/>
        <v>205553</v>
      </c>
      <c r="G47" s="134">
        <f t="shared" si="33"/>
        <v>1864504</v>
      </c>
      <c r="H47" s="134">
        <f t="shared" si="33"/>
        <v>726752</v>
      </c>
      <c r="I47" s="134">
        <f t="shared" si="33"/>
        <v>460800</v>
      </c>
      <c r="J47" s="134">
        <f t="shared" si="33"/>
        <v>518711</v>
      </c>
      <c r="K47" s="134">
        <f t="shared" si="33"/>
        <v>350000</v>
      </c>
      <c r="L47" s="134">
        <f t="shared" si="33"/>
        <v>2056263</v>
      </c>
      <c r="M47" s="135">
        <f t="shared" si="31"/>
        <v>3920767</v>
      </c>
    </row>
    <row r="48" spans="1:13" ht="16.5" hidden="1" thickBot="1" x14ac:dyDescent="0.25">
      <c r="A48" s="612"/>
      <c r="B48" s="134">
        <f t="shared" ref="B48:L48" si="34">SUM(B14+B34)</f>
        <v>0</v>
      </c>
      <c r="C48" s="134">
        <f t="shared" si="34"/>
        <v>0</v>
      </c>
      <c r="D48" s="134">
        <f t="shared" si="34"/>
        <v>0</v>
      </c>
      <c r="E48" s="134">
        <f t="shared" si="34"/>
        <v>0</v>
      </c>
      <c r="F48" s="134">
        <f t="shared" si="34"/>
        <v>0</v>
      </c>
      <c r="G48" s="134">
        <f t="shared" si="34"/>
        <v>0</v>
      </c>
      <c r="H48" s="134">
        <f t="shared" si="34"/>
        <v>0</v>
      </c>
      <c r="I48" s="134">
        <f t="shared" si="34"/>
        <v>0</v>
      </c>
      <c r="J48" s="134">
        <f t="shared" si="34"/>
        <v>0</v>
      </c>
      <c r="K48" s="134">
        <f t="shared" si="34"/>
        <v>0</v>
      </c>
      <c r="L48" s="134">
        <f t="shared" si="34"/>
        <v>0</v>
      </c>
      <c r="M48" s="135">
        <f t="shared" si="31"/>
        <v>0</v>
      </c>
    </row>
    <row r="49" spans="1:13" ht="16.5" hidden="1" thickBot="1" x14ac:dyDescent="0.25">
      <c r="A49" s="612" t="s">
        <v>920</v>
      </c>
      <c r="B49" s="134">
        <f t="shared" ref="B49:L49" si="35">SUM(B15+B35)</f>
        <v>1139694</v>
      </c>
      <c r="C49" s="134">
        <f t="shared" si="35"/>
        <v>133919</v>
      </c>
      <c r="D49" s="134">
        <f t="shared" si="35"/>
        <v>40000</v>
      </c>
      <c r="E49" s="134">
        <f t="shared" si="35"/>
        <v>10710</v>
      </c>
      <c r="F49" s="134">
        <f t="shared" si="35"/>
        <v>202337</v>
      </c>
      <c r="G49" s="134">
        <f t="shared" si="35"/>
        <v>1526660</v>
      </c>
      <c r="H49" s="134">
        <f t="shared" si="35"/>
        <v>40000</v>
      </c>
      <c r="I49" s="134">
        <f t="shared" si="35"/>
        <v>11800</v>
      </c>
      <c r="J49" s="134">
        <f t="shared" si="35"/>
        <v>518711</v>
      </c>
      <c r="K49" s="134">
        <f t="shared" si="35"/>
        <v>0</v>
      </c>
      <c r="L49" s="134">
        <f t="shared" si="35"/>
        <v>570511</v>
      </c>
      <c r="M49" s="135">
        <f t="shared" si="31"/>
        <v>2097171</v>
      </c>
    </row>
    <row r="50" spans="1:13" ht="12.95" customHeight="1" x14ac:dyDescent="0.2">
      <c r="A50" s="69" t="s">
        <v>412</v>
      </c>
      <c r="M50" s="605">
        <f>SUM('7.finanszírozás.'!F75)</f>
        <v>-210196</v>
      </c>
    </row>
    <row r="51" spans="1:13" ht="12.95" customHeight="1" x14ac:dyDescent="0.2">
      <c r="A51" s="69" t="s">
        <v>416</v>
      </c>
      <c r="M51" s="606">
        <f>SUM(M47+M50)</f>
        <v>3710571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="80" zoomScaleNormal="80" workbookViewId="0">
      <selection activeCell="A44" sqref="A44:XFD44"/>
    </sheetView>
  </sheetViews>
  <sheetFormatPr defaultRowHeight="12.75" x14ac:dyDescent="0.2"/>
  <cols>
    <col min="1" max="1" width="47.140625" style="71" customWidth="1"/>
    <col min="2" max="2" width="10" style="66" bestFit="1" customWidth="1"/>
    <col min="3" max="3" width="9.42578125" style="66" bestFit="1" customWidth="1"/>
    <col min="4" max="4" width="10" style="66" bestFit="1" customWidth="1"/>
    <col min="5" max="6" width="9.42578125" style="66" bestFit="1" customWidth="1"/>
    <col min="7" max="7" width="11.28515625" style="66" customWidth="1"/>
    <col min="8" max="8" width="12" style="66" customWidth="1"/>
    <col min="9" max="9" width="10.28515625" style="66" customWidth="1"/>
    <col min="10" max="10" width="11.42578125" style="66" customWidth="1"/>
    <col min="11" max="11" width="10" style="66" customWidth="1"/>
    <col min="12" max="12" width="11.42578125" style="66" customWidth="1"/>
    <col min="13" max="13" width="9.42578125" style="66" bestFit="1" customWidth="1"/>
    <col min="14" max="14" width="11.5703125" style="66" customWidth="1"/>
    <col min="15" max="15" width="12.140625" style="66" customWidth="1"/>
    <col min="16" max="16" width="7" style="65" bestFit="1" customWidth="1"/>
    <col min="17" max="16384" width="9.140625" style="65"/>
  </cols>
  <sheetData>
    <row r="1" spans="1:19" ht="15" customHeight="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 t="s">
        <v>256</v>
      </c>
      <c r="P1" s="64"/>
      <c r="Q1" s="64"/>
      <c r="R1" s="64"/>
      <c r="S1" s="64"/>
    </row>
    <row r="2" spans="1:19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01" t="str">
        <f>'1.Bev-kiad.'!F2</f>
        <v>a 20/2023.(IX.29.) önkormányzati rendelethez</v>
      </c>
      <c r="P2" s="64"/>
      <c r="Q2" s="64"/>
      <c r="R2" s="64"/>
      <c r="S2" s="64"/>
    </row>
    <row r="3" spans="1:19" ht="1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81" t="s">
        <v>1360</v>
      </c>
      <c r="P3" s="64"/>
      <c r="Q3" s="64"/>
      <c r="R3" s="64"/>
      <c r="S3" s="64"/>
    </row>
    <row r="4" spans="1:19" ht="38.25" customHeight="1" x14ac:dyDescent="0.2">
      <c r="A4" s="790" t="s">
        <v>1208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64"/>
      <c r="Q4" s="64"/>
      <c r="R4" s="64"/>
      <c r="S4" s="64"/>
    </row>
    <row r="5" spans="1:19" ht="13.5" thickBot="1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302" t="s">
        <v>477</v>
      </c>
    </row>
    <row r="6" spans="1:19" s="69" customFormat="1" ht="14.25" customHeight="1" x14ac:dyDescent="0.2">
      <c r="A6" s="775"/>
      <c r="B6" s="793" t="s">
        <v>35</v>
      </c>
      <c r="C6" s="794"/>
      <c r="D6" s="794"/>
      <c r="E6" s="794"/>
      <c r="F6" s="794"/>
      <c r="G6" s="794"/>
      <c r="H6" s="794"/>
      <c r="I6" s="795"/>
      <c r="J6" s="777" t="s">
        <v>36</v>
      </c>
      <c r="K6" s="777" t="s">
        <v>37</v>
      </c>
      <c r="L6" s="777"/>
      <c r="M6" s="777"/>
      <c r="N6" s="777"/>
      <c r="O6" s="778" t="s">
        <v>7</v>
      </c>
      <c r="P6" s="784"/>
    </row>
    <row r="7" spans="1:19" s="69" customFormat="1" ht="63.75" customHeight="1" x14ac:dyDescent="0.2">
      <c r="A7" s="776"/>
      <c r="B7" s="782" t="s">
        <v>38</v>
      </c>
      <c r="C7" s="782" t="s">
        <v>102</v>
      </c>
      <c r="D7" s="782" t="s">
        <v>39</v>
      </c>
      <c r="E7" s="782" t="s">
        <v>440</v>
      </c>
      <c r="F7" s="782" t="s">
        <v>40</v>
      </c>
      <c r="G7" s="788" t="s">
        <v>57</v>
      </c>
      <c r="H7" s="789"/>
      <c r="I7" s="782" t="s">
        <v>369</v>
      </c>
      <c r="J7" s="772"/>
      <c r="K7" s="782" t="s">
        <v>41</v>
      </c>
      <c r="L7" s="782" t="s">
        <v>42</v>
      </c>
      <c r="M7" s="782" t="s">
        <v>43</v>
      </c>
      <c r="N7" s="772" t="s">
        <v>12</v>
      </c>
      <c r="O7" s="779"/>
      <c r="P7" s="784"/>
    </row>
    <row r="8" spans="1:19" ht="35.25" customHeight="1" thickBot="1" x14ac:dyDescent="0.25">
      <c r="A8" s="792"/>
      <c r="B8" s="787"/>
      <c r="C8" s="787"/>
      <c r="D8" s="787"/>
      <c r="E8" s="787"/>
      <c r="F8" s="787"/>
      <c r="G8" s="220" t="s">
        <v>424</v>
      </c>
      <c r="H8" s="220" t="s">
        <v>425</v>
      </c>
      <c r="I8" s="787"/>
      <c r="J8" s="786"/>
      <c r="K8" s="787"/>
      <c r="L8" s="787"/>
      <c r="M8" s="787"/>
      <c r="N8" s="786"/>
      <c r="O8" s="785"/>
      <c r="P8" s="784"/>
    </row>
    <row r="9" spans="1:19" ht="21.75" customHeight="1" thickBot="1" x14ac:dyDescent="0.25">
      <c r="A9" s="297" t="str">
        <f>'5.Bev.össz'!A10</f>
        <v>Önkormányzat (eredeti előirányzat 2023. év)</v>
      </c>
      <c r="B9" s="127">
        <f t="shared" ref="B9:I9" si="0">B15+B21</f>
        <v>52402</v>
      </c>
      <c r="C9" s="127">
        <f t="shared" si="0"/>
        <v>7120</v>
      </c>
      <c r="D9" s="127">
        <f t="shared" si="0"/>
        <v>443776</v>
      </c>
      <c r="E9" s="127">
        <f t="shared" si="0"/>
        <v>11500</v>
      </c>
      <c r="F9" s="127">
        <f t="shared" si="0"/>
        <v>496283</v>
      </c>
      <c r="G9" s="127">
        <f t="shared" si="0"/>
        <v>202069</v>
      </c>
      <c r="H9" s="127">
        <f t="shared" si="0"/>
        <v>77996</v>
      </c>
      <c r="I9" s="127">
        <f t="shared" si="0"/>
        <v>130392</v>
      </c>
      <c r="J9" s="127">
        <f>B9+C9+D9+E9+F9+G9+H9+I9</f>
        <v>1421538</v>
      </c>
      <c r="K9" s="127">
        <f t="shared" ref="K9:M11" si="1">K15+K21</f>
        <v>4648</v>
      </c>
      <c r="L9" s="127">
        <f t="shared" si="1"/>
        <v>444892</v>
      </c>
      <c r="M9" s="127">
        <f t="shared" si="1"/>
        <v>80000</v>
      </c>
      <c r="N9" s="127">
        <f>K9+L9+M9</f>
        <v>529540</v>
      </c>
      <c r="O9" s="128">
        <f>J9+N9</f>
        <v>1951078</v>
      </c>
      <c r="P9" s="301">
        <f>P15</f>
        <v>8</v>
      </c>
    </row>
    <row r="10" spans="1:19" ht="30" customHeight="1" thickBot="1" x14ac:dyDescent="0.25">
      <c r="A10" s="297" t="str">
        <f>'5.Bev.össz'!A11</f>
        <v>Önkormányzat (módosított előirányzat 2023.06.havi)</v>
      </c>
      <c r="B10" s="127">
        <f t="shared" ref="B10:I11" si="2">B16+B22</f>
        <v>55342</v>
      </c>
      <c r="C10" s="127">
        <f t="shared" si="2"/>
        <v>7464</v>
      </c>
      <c r="D10" s="127">
        <f t="shared" si="2"/>
        <v>504351</v>
      </c>
      <c r="E10" s="127">
        <f t="shared" si="2"/>
        <v>11500</v>
      </c>
      <c r="F10" s="127">
        <f t="shared" si="2"/>
        <v>516269</v>
      </c>
      <c r="G10" s="127">
        <f t="shared" si="2"/>
        <v>202069</v>
      </c>
      <c r="H10" s="127">
        <f t="shared" si="2"/>
        <v>77996</v>
      </c>
      <c r="I10" s="127">
        <f t="shared" si="2"/>
        <v>188903</v>
      </c>
      <c r="J10" s="127">
        <f t="shared" ref="J10:J14" si="3">B10+C10+D10+E10+F10+G10+H10+I10</f>
        <v>1563894</v>
      </c>
      <c r="K10" s="127">
        <f t="shared" si="1"/>
        <v>26776</v>
      </c>
      <c r="L10" s="127">
        <f t="shared" si="1"/>
        <v>769002</v>
      </c>
      <c r="M10" s="127">
        <f t="shared" si="1"/>
        <v>719663</v>
      </c>
      <c r="N10" s="127">
        <f>K10+L10+M10</f>
        <v>1515441</v>
      </c>
      <c r="O10" s="128">
        <f>J10+N10</f>
        <v>3079335</v>
      </c>
      <c r="P10" s="301">
        <f t="shared" ref="P10:P14" si="4">P16</f>
        <v>8</v>
      </c>
    </row>
    <row r="11" spans="1:19" ht="21.75" hidden="1" customHeight="1" thickBot="1" x14ac:dyDescent="0.25">
      <c r="A11" s="297" t="str">
        <f>'5.Bev.össz'!A12</f>
        <v>Önkormányzat (módosított előirányzat 2023.07.havi)</v>
      </c>
      <c r="B11" s="127">
        <f t="shared" si="2"/>
        <v>55342</v>
      </c>
      <c r="C11" s="127">
        <f t="shared" si="2"/>
        <v>7464</v>
      </c>
      <c r="D11" s="127">
        <f t="shared" si="2"/>
        <v>504351</v>
      </c>
      <c r="E11" s="127">
        <f t="shared" si="2"/>
        <v>11500</v>
      </c>
      <c r="F11" s="127">
        <f t="shared" si="2"/>
        <v>516269</v>
      </c>
      <c r="G11" s="127">
        <f t="shared" si="2"/>
        <v>202069</v>
      </c>
      <c r="H11" s="127">
        <f t="shared" si="2"/>
        <v>77996</v>
      </c>
      <c r="I11" s="127">
        <f t="shared" si="2"/>
        <v>188903</v>
      </c>
      <c r="J11" s="127">
        <f t="shared" ref="J11" si="5">B11+C11+D11+E11+F11+G11+H11+I11</f>
        <v>1563894</v>
      </c>
      <c r="K11" s="127">
        <f t="shared" si="1"/>
        <v>26776</v>
      </c>
      <c r="L11" s="127">
        <f t="shared" si="1"/>
        <v>769002</v>
      </c>
      <c r="M11" s="127">
        <f t="shared" si="1"/>
        <v>719663</v>
      </c>
      <c r="N11" s="127">
        <f>K11+L11+M11</f>
        <v>1515441</v>
      </c>
      <c r="O11" s="128">
        <f>J11+N11</f>
        <v>3079335</v>
      </c>
      <c r="P11" s="301">
        <f t="shared" si="4"/>
        <v>8</v>
      </c>
    </row>
    <row r="12" spans="1:19" ht="27.75" customHeight="1" thickBot="1" x14ac:dyDescent="0.25">
      <c r="A12" s="297" t="str">
        <f>'5.Bev.össz'!A13</f>
        <v>Önkormányzat (módosított előirányzat 2023.09.havi)</v>
      </c>
      <c r="B12" s="127">
        <f t="shared" ref="B12:I12" si="6">B18+B24</f>
        <v>55342</v>
      </c>
      <c r="C12" s="127">
        <f t="shared" si="6"/>
        <v>7464</v>
      </c>
      <c r="D12" s="127">
        <f t="shared" si="6"/>
        <v>512670</v>
      </c>
      <c r="E12" s="127">
        <f t="shared" si="6"/>
        <v>11500</v>
      </c>
      <c r="F12" s="127">
        <f t="shared" si="6"/>
        <v>542862</v>
      </c>
      <c r="G12" s="127">
        <f t="shared" si="6"/>
        <v>210196</v>
      </c>
      <c r="H12" s="127">
        <f t="shared" si="6"/>
        <v>77996</v>
      </c>
      <c r="I12" s="127">
        <f t="shared" si="6"/>
        <v>241065</v>
      </c>
      <c r="J12" s="127">
        <f t="shared" si="3"/>
        <v>1659095</v>
      </c>
      <c r="K12" s="127">
        <f t="shared" ref="K12:M14" si="7">K18+K24</f>
        <v>27076</v>
      </c>
      <c r="L12" s="127">
        <f t="shared" si="7"/>
        <v>992840</v>
      </c>
      <c r="M12" s="127">
        <f t="shared" si="7"/>
        <v>961058</v>
      </c>
      <c r="N12" s="127">
        <f t="shared" ref="N12:N14" si="8">K12+L12+M12</f>
        <v>1980974</v>
      </c>
      <c r="O12" s="128">
        <f t="shared" ref="O12:O14" si="9">J12+N12</f>
        <v>3640069</v>
      </c>
      <c r="P12" s="301">
        <f t="shared" si="4"/>
        <v>8</v>
      </c>
    </row>
    <row r="13" spans="1:19" ht="21.75" hidden="1" customHeight="1" thickBot="1" x14ac:dyDescent="0.25">
      <c r="A13" s="297">
        <f>'5.Bev.össz'!A14</f>
        <v>0</v>
      </c>
      <c r="B13" s="127">
        <f t="shared" ref="B13:I13" si="10">B19+B25</f>
        <v>0</v>
      </c>
      <c r="C13" s="127">
        <f t="shared" si="10"/>
        <v>0</v>
      </c>
      <c r="D13" s="127">
        <f t="shared" si="10"/>
        <v>0</v>
      </c>
      <c r="E13" s="127">
        <f t="shared" si="10"/>
        <v>0</v>
      </c>
      <c r="F13" s="127">
        <f t="shared" si="10"/>
        <v>0</v>
      </c>
      <c r="G13" s="127">
        <f t="shared" si="10"/>
        <v>0</v>
      </c>
      <c r="H13" s="127">
        <f t="shared" si="10"/>
        <v>0</v>
      </c>
      <c r="I13" s="127">
        <f t="shared" si="10"/>
        <v>0</v>
      </c>
      <c r="J13" s="127">
        <f t="shared" si="3"/>
        <v>0</v>
      </c>
      <c r="K13" s="127">
        <f t="shared" si="7"/>
        <v>0</v>
      </c>
      <c r="L13" s="127">
        <f t="shared" si="7"/>
        <v>0</v>
      </c>
      <c r="M13" s="127">
        <f t="shared" si="7"/>
        <v>0</v>
      </c>
      <c r="N13" s="127">
        <f t="shared" si="8"/>
        <v>0</v>
      </c>
      <c r="O13" s="128">
        <f t="shared" si="9"/>
        <v>0</v>
      </c>
      <c r="P13" s="301">
        <f t="shared" si="4"/>
        <v>0</v>
      </c>
    </row>
    <row r="14" spans="1:19" ht="13.5" hidden="1" thickBot="1" x14ac:dyDescent="0.25">
      <c r="A14" s="297" t="str">
        <f>'5.Bev.össz'!A15</f>
        <v>Önkormányzat: Teljesítés 2021.12.31.</v>
      </c>
      <c r="B14" s="127">
        <f t="shared" ref="B14:I14" si="11">B20+B26</f>
        <v>46254</v>
      </c>
      <c r="C14" s="127">
        <f t="shared" si="11"/>
        <v>6431</v>
      </c>
      <c r="D14" s="127">
        <f t="shared" si="11"/>
        <v>120942</v>
      </c>
      <c r="E14" s="127">
        <f t="shared" si="11"/>
        <v>300</v>
      </c>
      <c r="F14" s="127" t="e">
        <f t="shared" si="11"/>
        <v>#REF!</v>
      </c>
      <c r="G14" s="127">
        <f t="shared" si="11"/>
        <v>144629</v>
      </c>
      <c r="H14" s="127">
        <f t="shared" si="11"/>
        <v>77996</v>
      </c>
      <c r="I14" s="127">
        <f t="shared" si="11"/>
        <v>91565</v>
      </c>
      <c r="J14" s="127" t="e">
        <f t="shared" si="3"/>
        <v>#REF!</v>
      </c>
      <c r="K14" s="127">
        <f t="shared" si="7"/>
        <v>4648</v>
      </c>
      <c r="L14" s="127">
        <f t="shared" si="7"/>
        <v>544892</v>
      </c>
      <c r="M14" s="127">
        <f t="shared" si="7"/>
        <v>0</v>
      </c>
      <c r="N14" s="127">
        <f t="shared" si="8"/>
        <v>549540</v>
      </c>
      <c r="O14" s="128" t="e">
        <f t="shared" si="9"/>
        <v>#REF!</v>
      </c>
      <c r="P14" s="301">
        <f t="shared" si="4"/>
        <v>16</v>
      </c>
    </row>
    <row r="15" spans="1:19" ht="23.25" customHeight="1" x14ac:dyDescent="0.2">
      <c r="A15" s="306" t="str">
        <f>'5.Bev.össz'!A16</f>
        <v xml:space="preserve">       Kötelező (eredeti előirányzat 2023. év)</v>
      </c>
      <c r="B15" s="129">
        <f>SUM('7.finanszírozás.'!C94)</f>
        <v>52402</v>
      </c>
      <c r="C15" s="129">
        <f>SUM('7.finanszírozás.'!C101)</f>
        <v>7120</v>
      </c>
      <c r="D15" s="129">
        <f>SUM('7.finanszírozás.'!C108)</f>
        <v>443776</v>
      </c>
      <c r="E15" s="129">
        <f>SUM('7.finanszírozás.'!C124)</f>
        <v>11500</v>
      </c>
      <c r="F15" s="129">
        <f>SUM('4. Átadott p.eszk.'!B67-'4. Átadott p.eszk.'!B56-'4. Átadott p.eszk.'!B57)</f>
        <v>491033</v>
      </c>
      <c r="G15" s="129">
        <f>SUM('7.finanszírozás.'!F50+'7.finanszírozás.'!F42)</f>
        <v>202069</v>
      </c>
      <c r="H15" s="129">
        <f>SUM('1.Bev-kiad.'!C78)</f>
        <v>77996</v>
      </c>
      <c r="I15" s="129">
        <f>SUM('2.működés'!C126)</f>
        <v>130392</v>
      </c>
      <c r="J15" s="137">
        <f>SUM(B15:I15)</f>
        <v>1416288</v>
      </c>
      <c r="K15" s="129">
        <f>SUM('3.felh'!C45)</f>
        <v>4648</v>
      </c>
      <c r="L15" s="129">
        <f>SUM('3.felh'!C66)</f>
        <v>444892</v>
      </c>
      <c r="M15" s="129">
        <f>SUM('3.felh'!C82)</f>
        <v>80000</v>
      </c>
      <c r="N15" s="137">
        <f>SUM(K15:M15)</f>
        <v>529540</v>
      </c>
      <c r="O15" s="307">
        <f>SUM(J15+N15)</f>
        <v>1945828</v>
      </c>
      <c r="P15" s="300">
        <v>8</v>
      </c>
    </row>
    <row r="16" spans="1:19" x14ac:dyDescent="0.2">
      <c r="A16" s="306" t="str">
        <f>'5.Bev.össz'!A17</f>
        <v xml:space="preserve">       Kötelező (módosított előirányzat 2023.06. havi)</v>
      </c>
      <c r="B16" s="129">
        <f>SUM('7.finanszírozás.'!C95)</f>
        <v>55342</v>
      </c>
      <c r="C16" s="129">
        <f>SUM('7.finanszírozás.'!C102)</f>
        <v>7464</v>
      </c>
      <c r="D16" s="129">
        <f>SUM('7.finanszírozás.'!C109)</f>
        <v>504351</v>
      </c>
      <c r="E16" s="129">
        <f>SUM('7.finanszírozás.'!C123)</f>
        <v>11500</v>
      </c>
      <c r="F16" s="129">
        <f>SUM('4. Átadott p.eszk.'!C67)-'4. Átadott p.eszk.'!C56-'4. Átadott p.eszk.'!C57</f>
        <v>510990</v>
      </c>
      <c r="G16" s="129">
        <f>SUM('7.finanszírozás.'!E43+'7.finanszírozás.'!E51)</f>
        <v>202069</v>
      </c>
      <c r="H16" s="129">
        <f>SUM('1.Bev-kiad.'!D78)</f>
        <v>77996</v>
      </c>
      <c r="I16" s="129">
        <f>SUM('2.működés'!D126)</f>
        <v>188903</v>
      </c>
      <c r="J16" s="137">
        <f>SUM(B16:I16)</f>
        <v>1558615</v>
      </c>
      <c r="K16" s="129">
        <f>SUM('3.felh'!D45)</f>
        <v>26776</v>
      </c>
      <c r="L16" s="129">
        <f>SUM('3.felh'!D66)</f>
        <v>769002</v>
      </c>
      <c r="M16" s="129">
        <f>'3.felh'!D82</f>
        <v>719663</v>
      </c>
      <c r="N16" s="137">
        <f>SUM(K16:M16)</f>
        <v>1515441</v>
      </c>
      <c r="O16" s="307">
        <f>SUM(J22+N16)</f>
        <v>1520720</v>
      </c>
      <c r="P16" s="300">
        <v>8</v>
      </c>
    </row>
    <row r="17" spans="1:16" ht="15.75" hidden="1" customHeight="1" x14ac:dyDescent="0.2">
      <c r="A17" s="306" t="str">
        <f>'5.Bev.össz'!A18</f>
        <v xml:space="preserve">       Kötelező (módosított előirányzat 2023.07. havi)</v>
      </c>
      <c r="B17" s="129">
        <f>SUM('7.finanszírozás.'!C96)</f>
        <v>55342</v>
      </c>
      <c r="C17" s="129">
        <f>SUM('7.finanszírozás.'!C103)</f>
        <v>7464</v>
      </c>
      <c r="D17" s="129">
        <f>SUM('7.finanszírozás.'!C110)</f>
        <v>504351</v>
      </c>
      <c r="E17" s="129">
        <f>SUM('7.finanszírozás.'!C124)</f>
        <v>11500</v>
      </c>
      <c r="F17" s="129">
        <f>SUM('4. Átadott p.eszk.'!D67)-'4. Átadott p.eszk.'!D56</f>
        <v>511269</v>
      </c>
      <c r="G17" s="129">
        <f>SUM('7.finanszírozás.'!E44+'7.finanszírozás.'!E52)</f>
        <v>202069</v>
      </c>
      <c r="H17" s="129">
        <f>SUM('1.Bev-kiad.'!E78)</f>
        <v>77996</v>
      </c>
      <c r="I17" s="129">
        <f>SUM('2.működés'!E126)</f>
        <v>188903</v>
      </c>
      <c r="J17" s="137">
        <f>SUM(B17:I17)</f>
        <v>1558894</v>
      </c>
      <c r="K17" s="129">
        <f>SUM('3.felh'!E45)</f>
        <v>26776</v>
      </c>
      <c r="L17" s="129">
        <f>SUM('3.felh'!E66)</f>
        <v>769002</v>
      </c>
      <c r="M17" s="129">
        <f>'3.felh'!E82</f>
        <v>719663</v>
      </c>
      <c r="N17" s="137">
        <f>SUM(K17:M17)</f>
        <v>1515441</v>
      </c>
      <c r="O17" s="307">
        <f>SUM(J23+N17)</f>
        <v>1520441</v>
      </c>
      <c r="P17" s="300">
        <v>8</v>
      </c>
    </row>
    <row r="18" spans="1:16" x14ac:dyDescent="0.2">
      <c r="A18" s="306" t="str">
        <f>'5.Bev.össz'!A19</f>
        <v xml:space="preserve">       Kötelező (módosított előirányzat 2023.09. havi)</v>
      </c>
      <c r="B18" s="129">
        <f>SUM('7.finanszírozás.'!C97)</f>
        <v>55342</v>
      </c>
      <c r="C18" s="129">
        <f>SUM('7.finanszírozás.'!C104)</f>
        <v>7464</v>
      </c>
      <c r="D18" s="129">
        <f>SUM('7.finanszírozás.'!C111)</f>
        <v>512670</v>
      </c>
      <c r="E18" s="129">
        <f>SUM('7.finanszírozás.'!C125)</f>
        <v>11500</v>
      </c>
      <c r="F18" s="129">
        <f>SUM('4. Átadott p.eszk.'!E9)</f>
        <v>367364</v>
      </c>
      <c r="G18" s="129">
        <f>SUM('7.finanszírozás.'!E45+'7.finanszírozás.'!E53)</f>
        <v>210196</v>
      </c>
      <c r="H18" s="129">
        <f>SUM('1.Bev-kiad.'!F78)</f>
        <v>77996</v>
      </c>
      <c r="I18" s="129">
        <f>SUM('2.működés'!F126)</f>
        <v>241065</v>
      </c>
      <c r="J18" s="137">
        <f>SUM(B18:I18)</f>
        <v>1483597</v>
      </c>
      <c r="K18" s="129"/>
      <c r="L18" s="129"/>
      <c r="M18" s="129"/>
      <c r="N18" s="137">
        <f t="shared" ref="N18:N26" si="12">SUM(K18:M18)</f>
        <v>0</v>
      </c>
      <c r="O18" s="307">
        <f t="shared" ref="O18:O26" si="13">SUM(J18+N18)</f>
        <v>1483597</v>
      </c>
      <c r="P18" s="300">
        <v>8</v>
      </c>
    </row>
    <row r="19" spans="1:16" hidden="1" x14ac:dyDescent="0.2">
      <c r="A19" s="306">
        <f>'5.Bev.össz'!A20</f>
        <v>0</v>
      </c>
      <c r="B19" s="129"/>
      <c r="C19" s="129"/>
      <c r="D19" s="129"/>
      <c r="E19" s="129"/>
      <c r="F19" s="129">
        <v>0</v>
      </c>
      <c r="G19" s="129"/>
      <c r="H19" s="129"/>
      <c r="I19" s="129"/>
      <c r="J19" s="137">
        <f>SUM(B19:I19)</f>
        <v>0</v>
      </c>
      <c r="K19" s="129"/>
      <c r="L19" s="129"/>
      <c r="M19" s="129"/>
      <c r="N19" s="137">
        <f t="shared" si="12"/>
        <v>0</v>
      </c>
      <c r="O19" s="307">
        <f t="shared" si="13"/>
        <v>0</v>
      </c>
      <c r="P19" s="300"/>
    </row>
    <row r="20" spans="1:16" hidden="1" x14ac:dyDescent="0.2">
      <c r="A20" s="306" t="str">
        <f>'5.Bev.össz'!A21</f>
        <v xml:space="preserve">       Teljesítés 2021.12.31.</v>
      </c>
      <c r="B20" s="129">
        <f>SUM('7.finanszírozás.'!C99)</f>
        <v>46254</v>
      </c>
      <c r="C20" s="129">
        <f>SUM('7.finanszírozás.'!C106)</f>
        <v>6431</v>
      </c>
      <c r="D20" s="129">
        <f>SUM('7.finanszírozás.'!C113)</f>
        <v>120942</v>
      </c>
      <c r="E20" s="129">
        <f>SUM('7.finanszírozás.'!C127)</f>
        <v>300</v>
      </c>
      <c r="F20" s="129">
        <f>SUM('4. Átadott p.eszk.'!G9)</f>
        <v>344793</v>
      </c>
      <c r="G20" s="129">
        <f>SUM('7.finanszírozás.'!E47+'7.finanszírozás.'!E55)</f>
        <v>144629</v>
      </c>
      <c r="H20" s="129">
        <f>SUM('1.Bev-kiad.'!H78)</f>
        <v>77996</v>
      </c>
      <c r="I20" s="129">
        <f>SUM('2.működés'!H126)</f>
        <v>91565</v>
      </c>
      <c r="J20" s="137">
        <f t="shared" ref="J20:J26" si="14">SUM(B20:I20)</f>
        <v>832910</v>
      </c>
      <c r="K20" s="129"/>
      <c r="L20" s="129"/>
      <c r="M20" s="129"/>
      <c r="N20" s="137">
        <f t="shared" si="12"/>
        <v>0</v>
      </c>
      <c r="O20" s="307">
        <f t="shared" si="13"/>
        <v>832910</v>
      </c>
      <c r="P20" s="300">
        <v>16</v>
      </c>
    </row>
    <row r="21" spans="1:16" ht="20.25" customHeight="1" x14ac:dyDescent="0.2">
      <c r="A21" s="306" t="str">
        <f>'5.Bev.össz'!A23</f>
        <v xml:space="preserve">       Nem kötelező (eredeti előirányzat 2023. év)</v>
      </c>
      <c r="B21" s="70"/>
      <c r="C21" s="70"/>
      <c r="D21" s="70"/>
      <c r="E21" s="70"/>
      <c r="F21" s="68">
        <f>SUM('4. Átadott p.eszk.'!B56+'4. Átadott p.eszk.'!B57)</f>
        <v>5250</v>
      </c>
      <c r="G21" s="68"/>
      <c r="H21" s="68"/>
      <c r="I21" s="68"/>
      <c r="J21" s="137">
        <f>SUM(B21:I21)</f>
        <v>5250</v>
      </c>
      <c r="K21" s="129">
        <v>0</v>
      </c>
      <c r="L21" s="129">
        <v>0</v>
      </c>
      <c r="M21" s="129">
        <v>0</v>
      </c>
      <c r="N21" s="137">
        <f>SUM(K21:M21)</f>
        <v>0</v>
      </c>
      <c r="O21" s="307">
        <f>SUM(J21+N21)</f>
        <v>5250</v>
      </c>
      <c r="P21" s="304"/>
    </row>
    <row r="22" spans="1:16" ht="33.75" customHeight="1" x14ac:dyDescent="0.2">
      <c r="A22" s="306" t="str">
        <f>'5.Bev.össz'!A24</f>
        <v xml:space="preserve">       Nem kötelező (módosított előirányzat 2023.06. havi)</v>
      </c>
      <c r="B22" s="68"/>
      <c r="C22" s="68"/>
      <c r="D22" s="68"/>
      <c r="E22" s="68"/>
      <c r="F22" s="68">
        <f>'4. Átadott p.eszk.'!C56+'4. Átadott p.eszk.'!C57</f>
        <v>5279</v>
      </c>
      <c r="G22" s="68"/>
      <c r="H22" s="68"/>
      <c r="I22" s="68"/>
      <c r="J22" s="137">
        <f t="shared" si="14"/>
        <v>5279</v>
      </c>
      <c r="K22" s="129">
        <v>0</v>
      </c>
      <c r="L22" s="129">
        <v>0</v>
      </c>
      <c r="M22" s="129">
        <v>0</v>
      </c>
      <c r="N22" s="137">
        <v>0</v>
      </c>
      <c r="O22" s="307">
        <f>SUM(J22+N22)</f>
        <v>5279</v>
      </c>
      <c r="P22" s="304"/>
    </row>
    <row r="23" spans="1:16" ht="27" hidden="1" customHeight="1" x14ac:dyDescent="0.2">
      <c r="A23" s="306" t="str">
        <f>'5.Bev.össz'!A25</f>
        <v xml:space="preserve">       Nem kötelező (módosított előirányzat 2023.07. havi)</v>
      </c>
      <c r="B23" s="70"/>
      <c r="C23" s="70"/>
      <c r="D23" s="70"/>
      <c r="E23" s="70"/>
      <c r="F23" s="68">
        <f>'4. Átadott p.eszk.'!D56</f>
        <v>5000</v>
      </c>
      <c r="G23" s="68"/>
      <c r="H23" s="68"/>
      <c r="I23" s="68"/>
      <c r="J23" s="137">
        <f t="shared" ref="J23" si="15">SUM(B23:I23)</f>
        <v>5000</v>
      </c>
      <c r="K23" s="129">
        <v>0</v>
      </c>
      <c r="L23" s="129">
        <v>0</v>
      </c>
      <c r="M23" s="129">
        <v>0</v>
      </c>
      <c r="N23" s="137">
        <v>0</v>
      </c>
      <c r="O23" s="307">
        <f>SUM(J23+N23)</f>
        <v>5000</v>
      </c>
      <c r="P23" s="304"/>
    </row>
    <row r="24" spans="1:16" x14ac:dyDescent="0.2">
      <c r="A24" s="306" t="str">
        <f>'5.Bev.össz'!A26</f>
        <v xml:space="preserve">       Nem kötelező (módosított előirányzat 2023.09. havi)</v>
      </c>
      <c r="B24" s="70"/>
      <c r="C24" s="70"/>
      <c r="D24" s="70"/>
      <c r="E24" s="70"/>
      <c r="F24" s="68">
        <f>SUM('4. Átadott p.eszk.'!E35+'4. Átadott p.eszk.'!E61)</f>
        <v>175498</v>
      </c>
      <c r="G24" s="68"/>
      <c r="H24" s="68"/>
      <c r="I24" s="68"/>
      <c r="J24" s="137">
        <f t="shared" si="14"/>
        <v>175498</v>
      </c>
      <c r="K24" s="129">
        <f>SUM('3.felh'!F45)</f>
        <v>27076</v>
      </c>
      <c r="L24" s="129">
        <f>SUM('3.felh'!F66)</f>
        <v>992840</v>
      </c>
      <c r="M24" s="129">
        <f>'3.felh'!F82</f>
        <v>961058</v>
      </c>
      <c r="N24" s="137">
        <f t="shared" si="12"/>
        <v>1980974</v>
      </c>
      <c r="O24" s="307">
        <f t="shared" si="13"/>
        <v>2156472</v>
      </c>
      <c r="P24" s="304"/>
    </row>
    <row r="25" spans="1:16" hidden="1" x14ac:dyDescent="0.2">
      <c r="A25" s="306">
        <f>'5.Bev.össz'!A27</f>
        <v>0</v>
      </c>
      <c r="B25" s="70"/>
      <c r="C25" s="70"/>
      <c r="D25" s="70"/>
      <c r="E25" s="70"/>
      <c r="F25" s="68"/>
      <c r="G25" s="68"/>
      <c r="H25" s="68"/>
      <c r="I25" s="68"/>
      <c r="J25" s="137">
        <f t="shared" si="14"/>
        <v>0</v>
      </c>
      <c r="K25" s="129"/>
      <c r="L25" s="129"/>
      <c r="M25" s="129"/>
      <c r="N25" s="137">
        <f t="shared" si="12"/>
        <v>0</v>
      </c>
      <c r="O25" s="307">
        <f t="shared" si="13"/>
        <v>0</v>
      </c>
      <c r="P25" s="304"/>
    </row>
    <row r="26" spans="1:16" hidden="1" x14ac:dyDescent="0.2">
      <c r="A26" s="306" t="str">
        <f>'5.Bev.össz'!A28</f>
        <v xml:space="preserve">       Teljesítés 2021.12.31.</v>
      </c>
      <c r="B26" s="70"/>
      <c r="C26" s="70"/>
      <c r="D26" s="70"/>
      <c r="E26" s="70"/>
      <c r="F26" s="68" t="e">
        <f>SUM('4. Átadott p.eszk.'!G35+'4. Átadott p.eszk.'!G61)</f>
        <v>#REF!</v>
      </c>
      <c r="G26" s="70"/>
      <c r="H26" s="70"/>
      <c r="I26" s="70"/>
      <c r="J26" s="137" t="e">
        <f t="shared" si="14"/>
        <v>#REF!</v>
      </c>
      <c r="K26" s="591">
        <f>SUM('3.felh'!H45)</f>
        <v>4648</v>
      </c>
      <c r="L26" s="591">
        <f>SUM('3.felh'!H66)</f>
        <v>544892</v>
      </c>
      <c r="M26" s="591">
        <f>SUM('3.felh'!H82)</f>
        <v>0</v>
      </c>
      <c r="N26" s="137">
        <f t="shared" si="12"/>
        <v>549540</v>
      </c>
      <c r="O26" s="307" t="e">
        <f t="shared" si="13"/>
        <v>#REF!</v>
      </c>
      <c r="P26" s="304"/>
    </row>
    <row r="27" spans="1:16" ht="33" customHeight="1" thickBot="1" x14ac:dyDescent="0.25">
      <c r="A27" s="308" t="str">
        <f>'5.Bev.össz'!A29</f>
        <v xml:space="preserve">       Államigazgatási feladatok (eredeti előirányzat 2023. év)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307"/>
      <c r="P27" s="304"/>
    </row>
    <row r="28" spans="1:16" s="69" customFormat="1" ht="21" customHeight="1" thickBot="1" x14ac:dyDescent="0.25">
      <c r="A28" s="297" t="str">
        <f>'5.Bev.össz'!A30</f>
        <v>KÖH (eredeti előirányzat 2023. év)</v>
      </c>
      <c r="B28" s="132">
        <f t="shared" ref="B28:J28" si="16">SUM(B34)</f>
        <v>207511</v>
      </c>
      <c r="C28" s="132">
        <f t="shared" si="16"/>
        <v>26935</v>
      </c>
      <c r="D28" s="132">
        <f t="shared" si="16"/>
        <v>36759</v>
      </c>
      <c r="E28" s="132">
        <f t="shared" si="16"/>
        <v>0</v>
      </c>
      <c r="F28" s="132">
        <f t="shared" si="16"/>
        <v>0</v>
      </c>
      <c r="G28" s="132">
        <f t="shared" si="16"/>
        <v>0</v>
      </c>
      <c r="H28" s="132">
        <f t="shared" si="16"/>
        <v>0</v>
      </c>
      <c r="I28" s="132">
        <f t="shared" si="16"/>
        <v>0</v>
      </c>
      <c r="J28" s="125">
        <f t="shared" si="16"/>
        <v>271205</v>
      </c>
      <c r="K28" s="125">
        <f>K34</f>
        <v>1000</v>
      </c>
      <c r="L28" s="125">
        <f>L34</f>
        <v>0</v>
      </c>
      <c r="M28" s="125">
        <f>M34</f>
        <v>0</v>
      </c>
      <c r="N28" s="125">
        <f>K28+L28+M28</f>
        <v>1000</v>
      </c>
      <c r="O28" s="138">
        <f>(N28+J28)</f>
        <v>272205</v>
      </c>
      <c r="P28" s="303">
        <f>P34</f>
        <v>36</v>
      </c>
    </row>
    <row r="29" spans="1:16" s="69" customFormat="1" ht="21" customHeight="1" thickBot="1" x14ac:dyDescent="0.25">
      <c r="A29" s="297" t="str">
        <f>'5.Bev.össz'!A31</f>
        <v>KÖH (módosított előirányzat 2023.06. havi)</v>
      </c>
      <c r="B29" s="132">
        <f t="shared" ref="B29:J30" si="17">SUM(B35)</f>
        <v>207511</v>
      </c>
      <c r="C29" s="132">
        <f t="shared" si="17"/>
        <v>26935</v>
      </c>
      <c r="D29" s="132">
        <f t="shared" si="17"/>
        <v>36815</v>
      </c>
      <c r="E29" s="132">
        <f t="shared" si="17"/>
        <v>0</v>
      </c>
      <c r="F29" s="132">
        <f t="shared" si="17"/>
        <v>0</v>
      </c>
      <c r="G29" s="132">
        <f t="shared" si="17"/>
        <v>0</v>
      </c>
      <c r="H29" s="132">
        <f t="shared" si="17"/>
        <v>0</v>
      </c>
      <c r="I29" s="132">
        <f t="shared" si="17"/>
        <v>0</v>
      </c>
      <c r="J29" s="125">
        <f t="shared" si="17"/>
        <v>271261</v>
      </c>
      <c r="K29" s="125">
        <f t="shared" ref="K29:M33" si="18">K35</f>
        <v>1000</v>
      </c>
      <c r="L29" s="125">
        <f t="shared" si="18"/>
        <v>0</v>
      </c>
      <c r="M29" s="125">
        <f t="shared" si="18"/>
        <v>0</v>
      </c>
      <c r="N29" s="125">
        <f t="shared" ref="N29:N33" si="19">K29+L29+M29</f>
        <v>1000</v>
      </c>
      <c r="O29" s="138">
        <f t="shared" ref="O29:O33" si="20">(N29+J29)</f>
        <v>272261</v>
      </c>
      <c r="P29" s="303">
        <f t="shared" ref="P29:P33" si="21">P35</f>
        <v>36</v>
      </c>
    </row>
    <row r="30" spans="1:16" s="69" customFormat="1" ht="21" hidden="1" customHeight="1" thickBot="1" x14ac:dyDescent="0.25">
      <c r="A30" s="297" t="str">
        <f>'5.Bev.össz'!A32</f>
        <v>KÖH (módosított előirányzat 2023.07. havi)</v>
      </c>
      <c r="B30" s="132">
        <f t="shared" si="17"/>
        <v>207511</v>
      </c>
      <c r="C30" s="132">
        <f t="shared" si="17"/>
        <v>26935</v>
      </c>
      <c r="D30" s="132">
        <f t="shared" si="17"/>
        <v>36815</v>
      </c>
      <c r="E30" s="132">
        <f t="shared" si="17"/>
        <v>0</v>
      </c>
      <c r="F30" s="132">
        <f t="shared" si="17"/>
        <v>0</v>
      </c>
      <c r="G30" s="132">
        <f t="shared" si="17"/>
        <v>0</v>
      </c>
      <c r="H30" s="132">
        <f t="shared" si="17"/>
        <v>0</v>
      </c>
      <c r="I30" s="132">
        <f t="shared" si="17"/>
        <v>0</v>
      </c>
      <c r="J30" s="125">
        <f t="shared" si="17"/>
        <v>271261</v>
      </c>
      <c r="K30" s="125">
        <f t="shared" si="18"/>
        <v>1000</v>
      </c>
      <c r="L30" s="125">
        <f t="shared" si="18"/>
        <v>0</v>
      </c>
      <c r="M30" s="125">
        <f t="shared" si="18"/>
        <v>0</v>
      </c>
      <c r="N30" s="125">
        <f t="shared" ref="N30" si="22">K30+L30+M30</f>
        <v>1000</v>
      </c>
      <c r="O30" s="138">
        <f t="shared" ref="O30" si="23">(N30+J30)</f>
        <v>272261</v>
      </c>
      <c r="P30" s="303">
        <f t="shared" si="21"/>
        <v>36</v>
      </c>
    </row>
    <row r="31" spans="1:16" s="69" customFormat="1" ht="21" customHeight="1" thickBot="1" x14ac:dyDescent="0.25">
      <c r="A31" s="297" t="str">
        <f>'5.Bev.össz'!A33</f>
        <v>KÖH (módosított előirányzat 2023.09. havi)</v>
      </c>
      <c r="B31" s="132">
        <f t="shared" ref="B31:J31" si="24">SUM(B37)</f>
        <v>207511</v>
      </c>
      <c r="C31" s="132">
        <f t="shared" si="24"/>
        <v>26935</v>
      </c>
      <c r="D31" s="132">
        <f t="shared" si="24"/>
        <v>43252</v>
      </c>
      <c r="E31" s="132">
        <f t="shared" si="24"/>
        <v>0</v>
      </c>
      <c r="F31" s="132">
        <f t="shared" si="24"/>
        <v>0</v>
      </c>
      <c r="G31" s="132">
        <f t="shared" si="24"/>
        <v>0</v>
      </c>
      <c r="H31" s="132">
        <f t="shared" si="24"/>
        <v>0</v>
      </c>
      <c r="I31" s="132">
        <f t="shared" si="24"/>
        <v>0</v>
      </c>
      <c r="J31" s="125">
        <f t="shared" si="24"/>
        <v>277698</v>
      </c>
      <c r="K31" s="125">
        <f t="shared" si="18"/>
        <v>3000</v>
      </c>
      <c r="L31" s="125">
        <f t="shared" si="18"/>
        <v>0</v>
      </c>
      <c r="M31" s="125">
        <f t="shared" si="18"/>
        <v>0</v>
      </c>
      <c r="N31" s="125">
        <f t="shared" si="19"/>
        <v>3000</v>
      </c>
      <c r="O31" s="138">
        <f t="shared" si="20"/>
        <v>280698</v>
      </c>
      <c r="P31" s="303">
        <f t="shared" si="21"/>
        <v>36</v>
      </c>
    </row>
    <row r="32" spans="1:16" s="69" customFormat="1" ht="13.5" hidden="1" thickBot="1" x14ac:dyDescent="0.25">
      <c r="A32" s="297">
        <f>'5.Bev.össz'!A34</f>
        <v>0</v>
      </c>
      <c r="B32" s="132">
        <f t="shared" ref="B32:J32" si="25">SUM(B38)</f>
        <v>0</v>
      </c>
      <c r="C32" s="132">
        <f t="shared" si="25"/>
        <v>0</v>
      </c>
      <c r="D32" s="132">
        <f t="shared" si="25"/>
        <v>0</v>
      </c>
      <c r="E32" s="132">
        <f t="shared" si="25"/>
        <v>0</v>
      </c>
      <c r="F32" s="132">
        <f t="shared" si="25"/>
        <v>0</v>
      </c>
      <c r="G32" s="132">
        <f t="shared" si="25"/>
        <v>0</v>
      </c>
      <c r="H32" s="132">
        <f t="shared" si="25"/>
        <v>0</v>
      </c>
      <c r="I32" s="132">
        <f t="shared" si="25"/>
        <v>0</v>
      </c>
      <c r="J32" s="125">
        <f t="shared" si="25"/>
        <v>0</v>
      </c>
      <c r="K32" s="125">
        <f t="shared" si="18"/>
        <v>0</v>
      </c>
      <c r="L32" s="125">
        <f t="shared" si="18"/>
        <v>0</v>
      </c>
      <c r="M32" s="125">
        <f t="shared" si="18"/>
        <v>0</v>
      </c>
      <c r="N32" s="125">
        <f t="shared" si="19"/>
        <v>0</v>
      </c>
      <c r="O32" s="138">
        <f t="shared" si="20"/>
        <v>0</v>
      </c>
      <c r="P32" s="303">
        <f t="shared" si="21"/>
        <v>0</v>
      </c>
    </row>
    <row r="33" spans="1:17" s="69" customFormat="1" ht="13.5" hidden="1" thickBot="1" x14ac:dyDescent="0.25">
      <c r="A33" s="297" t="str">
        <f>'5.Bev.össz'!A35</f>
        <v>KÖH: Teljesítés 2021.12.31.</v>
      </c>
      <c r="B33" s="132">
        <f t="shared" ref="B33:J33" si="26">SUM(B39)</f>
        <v>154612</v>
      </c>
      <c r="C33" s="132">
        <f t="shared" si="26"/>
        <v>27450</v>
      </c>
      <c r="D33" s="132">
        <f t="shared" si="26"/>
        <v>18336</v>
      </c>
      <c r="E33" s="132">
        <f t="shared" si="26"/>
        <v>0</v>
      </c>
      <c r="F33" s="132">
        <f t="shared" si="26"/>
        <v>0</v>
      </c>
      <c r="G33" s="132">
        <f t="shared" si="26"/>
        <v>0</v>
      </c>
      <c r="H33" s="132">
        <f t="shared" si="26"/>
        <v>0</v>
      </c>
      <c r="I33" s="132">
        <f t="shared" si="26"/>
        <v>0</v>
      </c>
      <c r="J33" s="125">
        <f t="shared" si="26"/>
        <v>200398</v>
      </c>
      <c r="K33" s="125">
        <f t="shared" si="18"/>
        <v>1000</v>
      </c>
      <c r="L33" s="125">
        <f t="shared" si="18"/>
        <v>0</v>
      </c>
      <c r="M33" s="125">
        <f t="shared" si="18"/>
        <v>0</v>
      </c>
      <c r="N33" s="125">
        <f t="shared" si="19"/>
        <v>1000</v>
      </c>
      <c r="O33" s="138">
        <f t="shared" si="20"/>
        <v>201398</v>
      </c>
      <c r="P33" s="303">
        <f t="shared" si="21"/>
        <v>40</v>
      </c>
    </row>
    <row r="34" spans="1:17" s="69" customFormat="1" ht="20.25" customHeight="1" x14ac:dyDescent="0.2">
      <c r="A34" s="298" t="str">
        <f>A15</f>
        <v xml:space="preserve">       Kötelező (eredeti előirányzat 2023. év)</v>
      </c>
      <c r="B34" s="68">
        <f>SUM('7.finanszírozás.'!D94)</f>
        <v>207511</v>
      </c>
      <c r="C34" s="68">
        <f>SUM('7.finanszírozás.'!D101)</f>
        <v>26935</v>
      </c>
      <c r="D34" s="68">
        <f>SUM('7.finanszírozás.'!D108)</f>
        <v>36759</v>
      </c>
      <c r="E34" s="68"/>
      <c r="F34" s="68">
        <f>'7.finanszírozás.'!D129</f>
        <v>0</v>
      </c>
      <c r="G34" s="68"/>
      <c r="H34" s="68"/>
      <c r="I34" s="68"/>
      <c r="J34" s="136">
        <f>SUM(B34:I34)</f>
        <v>271205</v>
      </c>
      <c r="K34" s="68">
        <f>'7.finanszírozás.'!D117</f>
        <v>1000</v>
      </c>
      <c r="L34" s="68"/>
      <c r="M34" s="68"/>
      <c r="N34" s="137">
        <f>SUM(K34:M34)</f>
        <v>1000</v>
      </c>
      <c r="O34" s="299">
        <f>SUM(J34+N34)</f>
        <v>272205</v>
      </c>
      <c r="P34" s="300">
        <v>36</v>
      </c>
    </row>
    <row r="35" spans="1:17" s="69" customFormat="1" x14ac:dyDescent="0.2">
      <c r="A35" s="298" t="str">
        <f>'5.Bev.össz'!A37</f>
        <v xml:space="preserve">       Kötelező (módosított előirányzat 2023.06. havi)</v>
      </c>
      <c r="B35" s="68">
        <f>SUM('7.finanszírozás.'!D95)</f>
        <v>207511</v>
      </c>
      <c r="C35" s="68">
        <f>SUM('7.finanszírozás.'!D102)</f>
        <v>26935</v>
      </c>
      <c r="D35" s="68">
        <f>SUM('7.finanszírozás.'!D109)</f>
        <v>36815</v>
      </c>
      <c r="E35" s="68"/>
      <c r="F35" s="68">
        <f>'7.finanszírozás.'!D130</f>
        <v>0</v>
      </c>
      <c r="G35" s="68"/>
      <c r="H35" s="68"/>
      <c r="I35" s="68"/>
      <c r="J35" s="136">
        <f t="shared" ref="J35:J39" si="27">SUM(B35:I35)</f>
        <v>271261</v>
      </c>
      <c r="K35" s="68">
        <f>'7.finanszírozás.'!D116</f>
        <v>1000</v>
      </c>
      <c r="L35" s="68"/>
      <c r="M35" s="68"/>
      <c r="N35" s="137">
        <f t="shared" ref="N35:N39" si="28">SUM(K35:M35)</f>
        <v>1000</v>
      </c>
      <c r="O35" s="299">
        <f t="shared" ref="O35:O39" si="29">SUM(J35+N35)</f>
        <v>272261</v>
      </c>
      <c r="P35" s="300">
        <v>36</v>
      </c>
    </row>
    <row r="36" spans="1:17" s="69" customFormat="1" ht="15.75" hidden="1" customHeight="1" x14ac:dyDescent="0.2">
      <c r="A36" s="298" t="str">
        <f>'5.Bev.össz'!A38</f>
        <v xml:space="preserve">       Kötelező (módosított előirányzat 2023.07. havi)</v>
      </c>
      <c r="B36" s="68">
        <f>SUM('7.finanszírozás.'!D96)</f>
        <v>207511</v>
      </c>
      <c r="C36" s="68">
        <f>SUM('7.finanszírozás.'!D103)</f>
        <v>26935</v>
      </c>
      <c r="D36" s="68">
        <f>SUM('7.finanszírozás.'!D110)</f>
        <v>36815</v>
      </c>
      <c r="E36" s="68"/>
      <c r="F36" s="68">
        <f>'7.finanszírozás.'!D131</f>
        <v>0</v>
      </c>
      <c r="G36" s="68"/>
      <c r="H36" s="68"/>
      <c r="I36" s="68"/>
      <c r="J36" s="136">
        <f t="shared" ref="J36" si="30">SUM(B36:I36)</f>
        <v>271261</v>
      </c>
      <c r="K36" s="68">
        <f>'7.finanszírozás.'!D117</f>
        <v>1000</v>
      </c>
      <c r="L36" s="68"/>
      <c r="M36" s="68"/>
      <c r="N36" s="137">
        <f t="shared" ref="N36" si="31">SUM(K36:M36)</f>
        <v>1000</v>
      </c>
      <c r="O36" s="299">
        <f t="shared" ref="O36" si="32">SUM(J36+N36)</f>
        <v>272261</v>
      </c>
      <c r="P36" s="300">
        <v>36</v>
      </c>
    </row>
    <row r="37" spans="1:17" s="69" customFormat="1" x14ac:dyDescent="0.2">
      <c r="A37" s="298" t="str">
        <f>'5.Bev.össz'!A39</f>
        <v xml:space="preserve">       Kötelező (módosított előirányzat 2023.09. havi)</v>
      </c>
      <c r="B37" s="68">
        <f>SUM('7.finanszírozás.'!D97)</f>
        <v>207511</v>
      </c>
      <c r="C37" s="68">
        <f>SUM('7.finanszírozás.'!D104)</f>
        <v>26935</v>
      </c>
      <c r="D37" s="68">
        <f>SUM('7.finanszírozás.'!D111)</f>
        <v>43252</v>
      </c>
      <c r="E37" s="68"/>
      <c r="F37" s="68">
        <f>'7.finanszírozás.'!D132</f>
        <v>0</v>
      </c>
      <c r="G37" s="68"/>
      <c r="H37" s="68"/>
      <c r="I37" s="68"/>
      <c r="J37" s="136">
        <f t="shared" si="27"/>
        <v>277698</v>
      </c>
      <c r="K37" s="68">
        <f>'7.finanszírozás.'!D118</f>
        <v>3000</v>
      </c>
      <c r="L37" s="68"/>
      <c r="M37" s="68"/>
      <c r="N37" s="137">
        <f t="shared" si="28"/>
        <v>3000</v>
      </c>
      <c r="O37" s="299">
        <f t="shared" si="29"/>
        <v>280698</v>
      </c>
      <c r="P37" s="300">
        <v>36</v>
      </c>
    </row>
    <row r="38" spans="1:17" s="69" customFormat="1" hidden="1" x14ac:dyDescent="0.2">
      <c r="A38" s="298">
        <f>'5.Bev.össz'!A40</f>
        <v>0</v>
      </c>
      <c r="B38" s="68">
        <f>SUM('7.finanszírozás.'!D98)</f>
        <v>0</v>
      </c>
      <c r="C38" s="68">
        <f>SUM('7.finanszírozás.'!D105)</f>
        <v>0</v>
      </c>
      <c r="D38" s="68">
        <f>SUM('7.finanszírozás.'!D112)</f>
        <v>0</v>
      </c>
      <c r="E38" s="68"/>
      <c r="F38" s="68">
        <f>'7.finanszírozás.'!D133</f>
        <v>0</v>
      </c>
      <c r="G38" s="68"/>
      <c r="H38" s="68"/>
      <c r="I38" s="68"/>
      <c r="J38" s="136">
        <f t="shared" si="27"/>
        <v>0</v>
      </c>
      <c r="K38" s="68">
        <f>'7.finanszírozás.'!D119</f>
        <v>0</v>
      </c>
      <c r="L38" s="68"/>
      <c r="M38" s="68"/>
      <c r="N38" s="137">
        <f t="shared" si="28"/>
        <v>0</v>
      </c>
      <c r="O38" s="299">
        <f t="shared" si="29"/>
        <v>0</v>
      </c>
      <c r="P38" s="300"/>
    </row>
    <row r="39" spans="1:17" s="69" customFormat="1" hidden="1" x14ac:dyDescent="0.2">
      <c r="A39" s="298" t="str">
        <f>'5.Bev.össz'!A41</f>
        <v xml:space="preserve">       Teljesítés 2021.12.31.</v>
      </c>
      <c r="B39" s="68">
        <f>SUM('7.finanszírozás.'!D99)</f>
        <v>154612</v>
      </c>
      <c r="C39" s="68">
        <f>SUM('7.finanszírozás.'!D106)</f>
        <v>27450</v>
      </c>
      <c r="D39" s="68">
        <f>SUM('7.finanszírozás.'!D113)</f>
        <v>18336</v>
      </c>
      <c r="E39" s="68"/>
      <c r="F39" s="68">
        <f>'7.finanszírozás.'!D134</f>
        <v>0</v>
      </c>
      <c r="G39" s="68"/>
      <c r="H39" s="68"/>
      <c r="I39" s="68"/>
      <c r="J39" s="136">
        <f t="shared" si="27"/>
        <v>200398</v>
      </c>
      <c r="K39" s="68">
        <f>'7.finanszírozás.'!D120</f>
        <v>1000</v>
      </c>
      <c r="L39" s="68"/>
      <c r="M39" s="68"/>
      <c r="N39" s="137">
        <f t="shared" si="28"/>
        <v>1000</v>
      </c>
      <c r="O39" s="299">
        <f t="shared" si="29"/>
        <v>201398</v>
      </c>
      <c r="P39" s="300">
        <v>40</v>
      </c>
    </row>
    <row r="40" spans="1:17" s="69" customFormat="1" ht="18.75" customHeight="1" x14ac:dyDescent="0.2">
      <c r="A40" s="298" t="str">
        <f>'5.Bev.össz'!A42</f>
        <v xml:space="preserve">       Nem kötelező (eredeti előirányzat 2023. év)</v>
      </c>
      <c r="B40" s="68"/>
      <c r="C40" s="68"/>
      <c r="D40" s="68"/>
      <c r="E40" s="68"/>
      <c r="F40" s="68"/>
      <c r="G40" s="68"/>
      <c r="H40" s="68"/>
      <c r="I40" s="68"/>
      <c r="J40" s="136"/>
      <c r="K40" s="68"/>
      <c r="L40" s="68"/>
      <c r="M40" s="68"/>
      <c r="N40" s="137"/>
      <c r="O40" s="299"/>
      <c r="P40" s="300"/>
    </row>
    <row r="41" spans="1:17" s="69" customFormat="1" ht="31.5" customHeight="1" thickBot="1" x14ac:dyDescent="0.25">
      <c r="A41" s="298" t="str">
        <f>'5.Bev.össz'!A43</f>
        <v xml:space="preserve">       Államigazgatási feladatok (eredeti előirányzat 2023. év)</v>
      </c>
      <c r="B41" s="591"/>
      <c r="C41" s="591"/>
      <c r="D41" s="591"/>
      <c r="E41" s="591"/>
      <c r="F41" s="591"/>
      <c r="G41" s="591"/>
      <c r="H41" s="591"/>
      <c r="I41" s="591"/>
      <c r="J41" s="590"/>
      <c r="K41" s="591"/>
      <c r="L41" s="591"/>
      <c r="M41" s="591"/>
      <c r="N41" s="590"/>
      <c r="O41" s="589"/>
      <c r="P41" s="300"/>
    </row>
    <row r="42" spans="1:17" s="69" customFormat="1" ht="35.25" customHeight="1" thickBot="1" x14ac:dyDescent="0.25">
      <c r="A42" s="133" t="str">
        <f>'5.Bev.össz'!A44</f>
        <v>Önk.mindösszesen (eredeti előirányzat 2023. év)</v>
      </c>
      <c r="B42" s="134">
        <f t="shared" ref="B42:O42" si="33">SUM(B9+B28)</f>
        <v>259913</v>
      </c>
      <c r="C42" s="134">
        <f t="shared" si="33"/>
        <v>34055</v>
      </c>
      <c r="D42" s="134">
        <f t="shared" si="33"/>
        <v>480535</v>
      </c>
      <c r="E42" s="134">
        <f t="shared" si="33"/>
        <v>11500</v>
      </c>
      <c r="F42" s="134">
        <f t="shared" si="33"/>
        <v>496283</v>
      </c>
      <c r="G42" s="134">
        <f t="shared" si="33"/>
        <v>202069</v>
      </c>
      <c r="H42" s="134">
        <f t="shared" si="33"/>
        <v>77996</v>
      </c>
      <c r="I42" s="134">
        <f t="shared" si="33"/>
        <v>130392</v>
      </c>
      <c r="J42" s="134">
        <f t="shared" si="33"/>
        <v>1692743</v>
      </c>
      <c r="K42" s="134">
        <f t="shared" si="33"/>
        <v>5648</v>
      </c>
      <c r="L42" s="134">
        <f t="shared" si="33"/>
        <v>444892</v>
      </c>
      <c r="M42" s="134">
        <f t="shared" si="33"/>
        <v>80000</v>
      </c>
      <c r="N42" s="134">
        <f t="shared" si="33"/>
        <v>530540</v>
      </c>
      <c r="O42" s="135">
        <f t="shared" si="33"/>
        <v>2223283</v>
      </c>
      <c r="P42" s="305">
        <f>P9+P28</f>
        <v>44</v>
      </c>
      <c r="Q42" s="221"/>
    </row>
    <row r="43" spans="1:17" s="69" customFormat="1" ht="32.25" thickBot="1" x14ac:dyDescent="0.25">
      <c r="A43" s="133" t="str">
        <f>'5.Bev.össz'!A45</f>
        <v>Önk.mindösszesen (módosított ei. 2023.06. havi)</v>
      </c>
      <c r="B43" s="134">
        <f t="shared" ref="B43:O44" si="34">SUM(B10+B29)</f>
        <v>262853</v>
      </c>
      <c r="C43" s="134">
        <f t="shared" si="34"/>
        <v>34399</v>
      </c>
      <c r="D43" s="134">
        <f t="shared" si="34"/>
        <v>541166</v>
      </c>
      <c r="E43" s="134">
        <f t="shared" si="34"/>
        <v>11500</v>
      </c>
      <c r="F43" s="134">
        <f t="shared" si="34"/>
        <v>516269</v>
      </c>
      <c r="G43" s="134">
        <f t="shared" si="34"/>
        <v>202069</v>
      </c>
      <c r="H43" s="134">
        <f t="shared" si="34"/>
        <v>77996</v>
      </c>
      <c r="I43" s="134">
        <f t="shared" si="34"/>
        <v>188903</v>
      </c>
      <c r="J43" s="134">
        <f t="shared" si="34"/>
        <v>1835155</v>
      </c>
      <c r="K43" s="134">
        <f t="shared" si="34"/>
        <v>27776</v>
      </c>
      <c r="L43" s="134">
        <f t="shared" si="34"/>
        <v>769002</v>
      </c>
      <c r="M43" s="134">
        <f t="shared" si="34"/>
        <v>719663</v>
      </c>
      <c r="N43" s="134">
        <f t="shared" si="34"/>
        <v>1516441</v>
      </c>
      <c r="O43" s="135">
        <f t="shared" si="34"/>
        <v>3351596</v>
      </c>
      <c r="P43" s="305">
        <f t="shared" ref="P43:P47" si="35">P10+P29</f>
        <v>44</v>
      </c>
      <c r="Q43" s="221"/>
    </row>
    <row r="44" spans="1:17" s="69" customFormat="1" ht="29.25" hidden="1" customHeight="1" thickBot="1" x14ac:dyDescent="0.25">
      <c r="A44" s="133" t="str">
        <f>'5.Bev.össz'!A46</f>
        <v>Önk.mindösszesen (módosított ei. 2023.07. havi)</v>
      </c>
      <c r="B44" s="134">
        <f t="shared" si="34"/>
        <v>262853</v>
      </c>
      <c r="C44" s="134">
        <f t="shared" si="34"/>
        <v>34399</v>
      </c>
      <c r="D44" s="134">
        <f t="shared" si="34"/>
        <v>541166</v>
      </c>
      <c r="E44" s="134">
        <f t="shared" si="34"/>
        <v>11500</v>
      </c>
      <c r="F44" s="134">
        <f t="shared" si="34"/>
        <v>516269</v>
      </c>
      <c r="G44" s="134">
        <f t="shared" si="34"/>
        <v>202069</v>
      </c>
      <c r="H44" s="134">
        <f t="shared" si="34"/>
        <v>77996</v>
      </c>
      <c r="I44" s="134">
        <f t="shared" si="34"/>
        <v>188903</v>
      </c>
      <c r="J44" s="134">
        <f t="shared" si="34"/>
        <v>1835155</v>
      </c>
      <c r="K44" s="134">
        <f t="shared" si="34"/>
        <v>27776</v>
      </c>
      <c r="L44" s="134">
        <f t="shared" si="34"/>
        <v>769002</v>
      </c>
      <c r="M44" s="134">
        <f t="shared" si="34"/>
        <v>719663</v>
      </c>
      <c r="N44" s="134">
        <f t="shared" si="34"/>
        <v>1516441</v>
      </c>
      <c r="O44" s="135">
        <f t="shared" si="34"/>
        <v>3351596</v>
      </c>
      <c r="P44" s="305">
        <f t="shared" si="35"/>
        <v>44</v>
      </c>
      <c r="Q44" s="221"/>
    </row>
    <row r="45" spans="1:17" s="69" customFormat="1" ht="30" customHeight="1" thickBot="1" x14ac:dyDescent="0.25">
      <c r="A45" s="133" t="str">
        <f>'5.Bev.össz'!A47</f>
        <v>Önk.mindösszesen (módosított ei. 2023.09. havi)</v>
      </c>
      <c r="B45" s="134">
        <f t="shared" ref="B45:O45" si="36">SUM(B12+B31)</f>
        <v>262853</v>
      </c>
      <c r="C45" s="134">
        <f t="shared" si="36"/>
        <v>34399</v>
      </c>
      <c r="D45" s="134">
        <f t="shared" si="36"/>
        <v>555922</v>
      </c>
      <c r="E45" s="134">
        <f t="shared" si="36"/>
        <v>11500</v>
      </c>
      <c r="F45" s="134">
        <f t="shared" si="36"/>
        <v>542862</v>
      </c>
      <c r="G45" s="134">
        <f t="shared" si="36"/>
        <v>210196</v>
      </c>
      <c r="H45" s="134">
        <f t="shared" si="36"/>
        <v>77996</v>
      </c>
      <c r="I45" s="134">
        <f t="shared" si="36"/>
        <v>241065</v>
      </c>
      <c r="J45" s="134">
        <f t="shared" si="36"/>
        <v>1936793</v>
      </c>
      <c r="K45" s="134">
        <f t="shared" si="36"/>
        <v>30076</v>
      </c>
      <c r="L45" s="134">
        <f t="shared" si="36"/>
        <v>992840</v>
      </c>
      <c r="M45" s="134">
        <f t="shared" si="36"/>
        <v>961058</v>
      </c>
      <c r="N45" s="134">
        <f t="shared" si="36"/>
        <v>1983974</v>
      </c>
      <c r="O45" s="135">
        <f t="shared" si="36"/>
        <v>3920767</v>
      </c>
      <c r="P45" s="305">
        <f t="shared" si="35"/>
        <v>44</v>
      </c>
      <c r="Q45" s="221"/>
    </row>
    <row r="46" spans="1:17" s="69" customFormat="1" ht="24" hidden="1" customHeight="1" thickBot="1" x14ac:dyDescent="0.25">
      <c r="A46" s="133">
        <f>'5.Bev.össz'!A48</f>
        <v>0</v>
      </c>
      <c r="B46" s="134">
        <f t="shared" ref="B46:O46" si="37">SUM(B13+B32)</f>
        <v>0</v>
      </c>
      <c r="C46" s="134">
        <f t="shared" si="37"/>
        <v>0</v>
      </c>
      <c r="D46" s="134">
        <f t="shared" si="37"/>
        <v>0</v>
      </c>
      <c r="E46" s="134">
        <f t="shared" si="37"/>
        <v>0</v>
      </c>
      <c r="F46" s="134">
        <f t="shared" si="37"/>
        <v>0</v>
      </c>
      <c r="G46" s="134">
        <f t="shared" si="37"/>
        <v>0</v>
      </c>
      <c r="H46" s="134">
        <f t="shared" si="37"/>
        <v>0</v>
      </c>
      <c r="I46" s="134">
        <f t="shared" si="37"/>
        <v>0</v>
      </c>
      <c r="J46" s="134">
        <f t="shared" si="37"/>
        <v>0</v>
      </c>
      <c r="K46" s="134">
        <f t="shared" si="37"/>
        <v>0</v>
      </c>
      <c r="L46" s="134">
        <f t="shared" si="37"/>
        <v>0</v>
      </c>
      <c r="M46" s="134">
        <f t="shared" si="37"/>
        <v>0</v>
      </c>
      <c r="N46" s="134">
        <f t="shared" si="37"/>
        <v>0</v>
      </c>
      <c r="O46" s="135">
        <f t="shared" si="37"/>
        <v>0</v>
      </c>
      <c r="P46" s="305">
        <f t="shared" si="35"/>
        <v>0</v>
      </c>
      <c r="Q46" s="221"/>
    </row>
    <row r="47" spans="1:17" s="69" customFormat="1" ht="15.75" hidden="1" customHeight="1" thickBot="1" x14ac:dyDescent="0.25">
      <c r="A47" s="133" t="str">
        <f>'5.Bev.össz'!A49</f>
        <v>Önk.mindösszesen (Teljesítés 2021.12.31.)</v>
      </c>
      <c r="B47" s="134">
        <f t="shared" ref="B47:O47" si="38">SUM(B14+B33)</f>
        <v>200866</v>
      </c>
      <c r="C47" s="134">
        <f t="shared" si="38"/>
        <v>33881</v>
      </c>
      <c r="D47" s="134">
        <f t="shared" si="38"/>
        <v>139278</v>
      </c>
      <c r="E47" s="134">
        <f t="shared" si="38"/>
        <v>300</v>
      </c>
      <c r="F47" s="134" t="e">
        <f t="shared" si="38"/>
        <v>#REF!</v>
      </c>
      <c r="G47" s="134">
        <f t="shared" si="38"/>
        <v>144629</v>
      </c>
      <c r="H47" s="134">
        <f t="shared" si="38"/>
        <v>77996</v>
      </c>
      <c r="I47" s="134">
        <f t="shared" si="38"/>
        <v>91565</v>
      </c>
      <c r="J47" s="134" t="e">
        <f t="shared" si="38"/>
        <v>#REF!</v>
      </c>
      <c r="K47" s="134">
        <f t="shared" si="38"/>
        <v>5648</v>
      </c>
      <c r="L47" s="134">
        <f t="shared" si="38"/>
        <v>544892</v>
      </c>
      <c r="M47" s="134">
        <f t="shared" si="38"/>
        <v>0</v>
      </c>
      <c r="N47" s="134">
        <f t="shared" si="38"/>
        <v>550540</v>
      </c>
      <c r="O47" s="135" t="e">
        <f t="shared" si="38"/>
        <v>#REF!</v>
      </c>
      <c r="P47" s="305">
        <f t="shared" si="35"/>
        <v>56</v>
      </c>
      <c r="Q47" s="221"/>
    </row>
    <row r="48" spans="1:17" x14ac:dyDescent="0.2">
      <c r="A48" s="71" t="s">
        <v>412</v>
      </c>
      <c r="O48" s="66">
        <f>SUM('7.finanszírozás.'!F89)</f>
        <v>-210196</v>
      </c>
    </row>
    <row r="49" spans="1:15" x14ac:dyDescent="0.2">
      <c r="A49" s="71" t="s">
        <v>417</v>
      </c>
      <c r="O49" s="606">
        <f>SUM(O45+O48)</f>
        <v>3710571</v>
      </c>
    </row>
    <row r="50" spans="1:15" x14ac:dyDescent="0.2">
      <c r="A50" s="71" t="s">
        <v>415</v>
      </c>
      <c r="O50" s="66">
        <v>0</v>
      </c>
    </row>
    <row r="60" spans="1:15" x14ac:dyDescent="0.2">
      <c r="D60" s="66" t="s">
        <v>897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9"/>
  <sheetViews>
    <sheetView zoomScaleNormal="100" zoomScaleSheetLayoutView="70" workbookViewId="0">
      <selection activeCell="B7" sqref="B7:B8"/>
    </sheetView>
  </sheetViews>
  <sheetFormatPr defaultRowHeight="12.75" x14ac:dyDescent="0.2"/>
  <cols>
    <col min="1" max="1" width="2" style="54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3"/>
      <c r="C1" s="3"/>
      <c r="D1" s="3"/>
      <c r="E1" s="3"/>
      <c r="F1" s="112" t="s">
        <v>257</v>
      </c>
    </row>
    <row r="2" spans="2:8" x14ac:dyDescent="0.2">
      <c r="B2" s="3"/>
      <c r="C2" s="3"/>
      <c r="D2" s="3"/>
      <c r="E2" s="3"/>
      <c r="F2" s="601" t="str">
        <f>'1.Bev-kiad.'!F2</f>
        <v>a 20/2023.(IX.29.) önkormányzati rendelethez</v>
      </c>
    </row>
    <row r="3" spans="2:8" x14ac:dyDescent="0.2">
      <c r="B3" s="3"/>
      <c r="C3" s="3"/>
      <c r="D3" s="3"/>
      <c r="E3" s="3"/>
      <c r="F3" s="181" t="s">
        <v>1361</v>
      </c>
    </row>
    <row r="4" spans="2:8" x14ac:dyDescent="0.2">
      <c r="B4" s="3"/>
      <c r="C4" s="3"/>
      <c r="D4" s="3"/>
      <c r="E4" s="3"/>
      <c r="F4" s="181"/>
    </row>
    <row r="5" spans="2:8" ht="42.75" customHeight="1" x14ac:dyDescent="0.2">
      <c r="B5" s="798" t="s">
        <v>1210</v>
      </c>
      <c r="C5" s="799"/>
      <c r="D5" s="799"/>
      <c r="E5" s="799"/>
      <c r="F5" s="799"/>
    </row>
    <row r="6" spans="2:8" ht="11.25" customHeight="1" thickBot="1" x14ac:dyDescent="0.25">
      <c r="B6" s="3"/>
      <c r="C6" s="3"/>
      <c r="D6" s="3"/>
      <c r="E6" s="3"/>
      <c r="F6" s="58" t="s">
        <v>0</v>
      </c>
    </row>
    <row r="7" spans="2:8" ht="12.75" customHeight="1" x14ac:dyDescent="0.2">
      <c r="B7" s="800" t="s">
        <v>46</v>
      </c>
      <c r="C7" s="802" t="s">
        <v>44</v>
      </c>
      <c r="D7" s="287" t="s">
        <v>45</v>
      </c>
      <c r="E7" s="802" t="s">
        <v>101</v>
      </c>
      <c r="F7" s="796" t="s">
        <v>48</v>
      </c>
      <c r="G7" s="28"/>
    </row>
    <row r="8" spans="2:8" ht="21.75" customHeight="1" thickBot="1" x14ac:dyDescent="0.25">
      <c r="B8" s="801"/>
      <c r="C8" s="803"/>
      <c r="D8" s="72" t="s">
        <v>49</v>
      </c>
      <c r="E8" s="803"/>
      <c r="F8" s="797"/>
      <c r="G8" s="28"/>
    </row>
    <row r="9" spans="2:8" ht="13.5" customHeight="1" x14ac:dyDescent="0.2">
      <c r="B9" s="275" t="s">
        <v>414</v>
      </c>
      <c r="C9" s="117"/>
      <c r="D9" s="118"/>
      <c r="E9" s="118"/>
      <c r="F9" s="118"/>
      <c r="G9" s="28"/>
    </row>
    <row r="10" spans="2:8" x14ac:dyDescent="0.2">
      <c r="B10" s="222" t="s">
        <v>883</v>
      </c>
      <c r="C10" s="237">
        <f>SUM('2.működés'!C8)-E10</f>
        <v>1221181</v>
      </c>
      <c r="D10" s="237">
        <f>SUM('9.Hivatal'!T85+'9.Hivatal'!T86+'9.Hivatal'!T87+'9.Hivatal'!T89)</f>
        <v>54069</v>
      </c>
      <c r="E10" s="237">
        <f t="shared" ref="E10:E15" si="0">SUM(D10:D10)</f>
        <v>54069</v>
      </c>
      <c r="F10" s="237">
        <f t="shared" ref="F10:F15" si="1">SUM(C10+E10)</f>
        <v>1275250</v>
      </c>
      <c r="G10" s="28"/>
      <c r="H10" s="76"/>
    </row>
    <row r="11" spans="2:8" x14ac:dyDescent="0.2">
      <c r="B11" s="222" t="s">
        <v>1340</v>
      </c>
      <c r="C11" s="237">
        <f>SUM('2.működés'!D8)-E11</f>
        <v>1301676</v>
      </c>
      <c r="D11" s="237">
        <f>SUM('9.Hivatal'!U85+'9.Hivatal'!U86+'9.Hivatal'!U87+'9.Hivatal'!U89)</f>
        <v>54125</v>
      </c>
      <c r="E11" s="237">
        <f>SUM(D11:D11)</f>
        <v>54125</v>
      </c>
      <c r="F11" s="237">
        <f>SUM(C11+E11)</f>
        <v>1355801</v>
      </c>
      <c r="G11" s="28"/>
      <c r="H11" s="76"/>
    </row>
    <row r="12" spans="2:8" hidden="1" x14ac:dyDescent="0.2">
      <c r="B12" s="222" t="s">
        <v>1421</v>
      </c>
      <c r="C12" s="237">
        <f>SUM('2.működés'!E8)-E12</f>
        <v>1301676</v>
      </c>
      <c r="D12" s="237">
        <f>SUM('9.Hivatal'!V85+'9.Hivatal'!V86+'9.Hivatal'!V87+'9.Hivatal'!V89+'9.Hivatal'!V90)</f>
        <v>54125</v>
      </c>
      <c r="E12" s="237">
        <f t="shared" si="0"/>
        <v>54125</v>
      </c>
      <c r="F12" s="237">
        <f t="shared" si="1"/>
        <v>1355801</v>
      </c>
      <c r="G12" s="28"/>
      <c r="H12" s="76"/>
    </row>
    <row r="13" spans="2:8" x14ac:dyDescent="0.2">
      <c r="B13" s="222" t="s">
        <v>1420</v>
      </c>
      <c r="C13" s="237">
        <f>SUM('2.működés'!F8)-E13</f>
        <v>1394320</v>
      </c>
      <c r="D13" s="237">
        <f>SUM('9.Hivatal'!W85+'9.Hivatal'!W86+'9.Hivatal'!W87+'9.Hivatal'!W89+'9.Hivatal'!W90)</f>
        <v>54435</v>
      </c>
      <c r="E13" s="237">
        <f t="shared" si="0"/>
        <v>54435</v>
      </c>
      <c r="F13" s="237">
        <f t="shared" si="1"/>
        <v>1448755</v>
      </c>
      <c r="G13" s="28"/>
      <c r="H13" s="76"/>
    </row>
    <row r="14" spans="2:8" hidden="1" x14ac:dyDescent="0.2">
      <c r="B14" s="222" t="s">
        <v>486</v>
      </c>
      <c r="C14" s="237"/>
      <c r="D14" s="237"/>
      <c r="E14" s="237"/>
      <c r="F14" s="237"/>
      <c r="G14" s="28"/>
      <c r="H14" s="76"/>
    </row>
    <row r="15" spans="2:8" hidden="1" x14ac:dyDescent="0.2">
      <c r="B15" s="222" t="s">
        <v>919</v>
      </c>
      <c r="C15" s="237">
        <f>SUM('2.működés'!H8)-E15</f>
        <v>1126325</v>
      </c>
      <c r="D15" s="237">
        <f>SUM('9.Hivatal'!Y83+'9.Hivatal'!Y84+'9.Hivatal'!Y85)</f>
        <v>53369</v>
      </c>
      <c r="E15" s="237">
        <f t="shared" si="0"/>
        <v>53369</v>
      </c>
      <c r="F15" s="237">
        <f t="shared" si="1"/>
        <v>1179694</v>
      </c>
      <c r="G15" s="28"/>
      <c r="H15" s="213"/>
    </row>
    <row r="16" spans="2:8" x14ac:dyDescent="0.2">
      <c r="B16" s="222"/>
      <c r="C16" s="237"/>
      <c r="D16" s="237"/>
      <c r="E16" s="237"/>
      <c r="F16" s="237"/>
      <c r="G16" s="28"/>
    </row>
    <row r="17" spans="2:9" ht="13.5" customHeight="1" x14ac:dyDescent="0.2">
      <c r="B17" s="273" t="s">
        <v>372</v>
      </c>
      <c r="C17" s="238"/>
      <c r="D17" s="238"/>
      <c r="E17" s="238"/>
      <c r="F17" s="237"/>
      <c r="G17" s="28"/>
      <c r="H17" s="76"/>
    </row>
    <row r="18" spans="2:9" ht="12.75" customHeight="1" x14ac:dyDescent="0.2">
      <c r="B18" s="222" t="str">
        <f t="shared" ref="B18:B23" si="2">B10</f>
        <v>2023. évi eredeti előirányzat</v>
      </c>
      <c r="C18" s="237">
        <f>'1.Bev-kiad.'!C16+'1.Bev-kiad.'!C40+'1.Bev-kiad.'!C50</f>
        <v>21700</v>
      </c>
      <c r="D18" s="238">
        <v>0</v>
      </c>
      <c r="E18" s="237">
        <v>0</v>
      </c>
      <c r="F18" s="237">
        <f t="shared" ref="F18:F23" si="3">SUM(C18+E18)</f>
        <v>21700</v>
      </c>
      <c r="G18" s="28"/>
      <c r="H18" s="76"/>
    </row>
    <row r="19" spans="2:9" x14ac:dyDescent="0.2">
      <c r="B19" s="222" t="str">
        <f t="shared" si="2"/>
        <v>Módosított előirányzat 2023.06.hó</v>
      </c>
      <c r="C19" s="237">
        <f>'1.Bev-kiad.'!D16+'1.Bev-kiad.'!D40+'1.Bev-kiad.'!D50</f>
        <v>719462</v>
      </c>
      <c r="D19" s="238">
        <v>0</v>
      </c>
      <c r="E19" s="237">
        <f>SUM(D19:D19)</f>
        <v>0</v>
      </c>
      <c r="F19" s="237">
        <f t="shared" si="3"/>
        <v>719462</v>
      </c>
      <c r="G19" s="28"/>
      <c r="H19" s="76"/>
    </row>
    <row r="20" spans="2:9" hidden="1" x14ac:dyDescent="0.2">
      <c r="B20" s="222" t="str">
        <f t="shared" si="2"/>
        <v>Módosított előirányzat 2023.07.hó</v>
      </c>
      <c r="C20" s="237">
        <f>'1.Bev-kiad.'!E16+'1.Bev-kiad.'!E40+'1.Bev-kiad.'!E50</f>
        <v>719462</v>
      </c>
      <c r="D20" s="238">
        <v>0</v>
      </c>
      <c r="E20" s="237">
        <f>SUM(D20:D20)</f>
        <v>0</v>
      </c>
      <c r="F20" s="237">
        <f t="shared" si="3"/>
        <v>719462</v>
      </c>
      <c r="G20" s="28"/>
      <c r="H20" s="76"/>
    </row>
    <row r="21" spans="2:9" x14ac:dyDescent="0.2">
      <c r="B21" s="222" t="str">
        <f t="shared" si="2"/>
        <v>Módosított előirányzat 2023.09.hó</v>
      </c>
      <c r="C21" s="237">
        <f>'1.Bev-kiad.'!F16+'1.Bev-kiad.'!F40+'1.Bev-kiad.'!F50</f>
        <v>1187552</v>
      </c>
      <c r="D21" s="238">
        <v>0</v>
      </c>
      <c r="E21" s="237">
        <f>SUM(D21:D21)</f>
        <v>0</v>
      </c>
      <c r="F21" s="237">
        <f t="shared" si="3"/>
        <v>1187552</v>
      </c>
      <c r="G21" s="28"/>
      <c r="H21" s="76"/>
    </row>
    <row r="22" spans="2:9" hidden="1" x14ac:dyDescent="0.2">
      <c r="B22" s="222" t="str">
        <f t="shared" si="2"/>
        <v>Beszámoló előtti ei.mód.</v>
      </c>
      <c r="C22" s="237"/>
      <c r="D22" s="238">
        <v>0</v>
      </c>
      <c r="E22" s="237">
        <f>SUM(D22:D22)</f>
        <v>0</v>
      </c>
      <c r="F22" s="237">
        <f t="shared" si="3"/>
        <v>0</v>
      </c>
      <c r="G22" s="28"/>
      <c r="H22" s="76"/>
    </row>
    <row r="23" spans="2:9" hidden="1" x14ac:dyDescent="0.2">
      <c r="B23" s="222" t="str">
        <f t="shared" si="2"/>
        <v>Teljesítés 2021.12.31.</v>
      </c>
      <c r="C23" s="237">
        <f>'1.Bev-kiad.'!H16+'1.Bev-kiad.'!H40+'1.Bev-kiad.'!H50</f>
        <v>51800</v>
      </c>
      <c r="D23" s="238">
        <v>0</v>
      </c>
      <c r="E23" s="237">
        <f>SUM(D23:D23)</f>
        <v>0</v>
      </c>
      <c r="F23" s="237">
        <f t="shared" si="3"/>
        <v>51800</v>
      </c>
      <c r="G23" s="28"/>
      <c r="H23" s="76"/>
    </row>
    <row r="24" spans="2:9" x14ac:dyDescent="0.2">
      <c r="B24" s="222"/>
      <c r="C24" s="237"/>
      <c r="D24" s="238"/>
      <c r="E24" s="238"/>
      <c r="F24" s="237"/>
      <c r="G24" s="28"/>
      <c r="H24" s="76"/>
    </row>
    <row r="25" spans="2:9" ht="15.75" customHeight="1" x14ac:dyDescent="0.2">
      <c r="B25" s="273" t="s">
        <v>50</v>
      </c>
      <c r="C25" s="238"/>
      <c r="D25" s="238"/>
      <c r="E25" s="238"/>
      <c r="F25" s="238"/>
      <c r="G25" s="29"/>
      <c r="I25" s="76"/>
    </row>
    <row r="26" spans="2:9" x14ac:dyDescent="0.2">
      <c r="B26" s="222" t="str">
        <f t="shared" ref="B26:B31" si="4">B18</f>
        <v>2023. évi eredeti előirányzat</v>
      </c>
      <c r="C26" s="237">
        <f t="shared" ref="C26:C31" si="5">SUM(C34+C58)</f>
        <v>708197</v>
      </c>
      <c r="D26" s="237">
        <f t="shared" ref="D26:D31" si="6">SUM(D42+D50+D34)</f>
        <v>218136</v>
      </c>
      <c r="E26" s="237">
        <f t="shared" ref="E26:E31" si="7">SUM(D26:D26)</f>
        <v>218136</v>
      </c>
      <c r="F26" s="237">
        <f t="shared" ref="F26:F31" si="8">SUM(C26+E26)</f>
        <v>926333</v>
      </c>
      <c r="G26" s="164"/>
    </row>
    <row r="27" spans="2:9" x14ac:dyDescent="0.2">
      <c r="B27" s="222" t="str">
        <f t="shared" si="4"/>
        <v>Módosított előirányzat 2023.06.hó</v>
      </c>
      <c r="C27" s="237">
        <f t="shared" si="5"/>
        <v>1058197</v>
      </c>
      <c r="D27" s="237">
        <f t="shared" si="6"/>
        <v>218136</v>
      </c>
      <c r="E27" s="237">
        <f t="shared" si="7"/>
        <v>218136</v>
      </c>
      <c r="F27" s="237">
        <f t="shared" si="8"/>
        <v>1276333</v>
      </c>
      <c r="G27" s="164"/>
    </row>
    <row r="28" spans="2:9" hidden="1" x14ac:dyDescent="0.2">
      <c r="B28" s="222" t="str">
        <f t="shared" si="4"/>
        <v>Módosított előirányzat 2023.07.hó</v>
      </c>
      <c r="C28" s="237">
        <f t="shared" si="5"/>
        <v>1058197</v>
      </c>
      <c r="D28" s="237">
        <f t="shared" si="6"/>
        <v>218136</v>
      </c>
      <c r="E28" s="237">
        <f t="shared" si="7"/>
        <v>218136</v>
      </c>
      <c r="F28" s="237">
        <f t="shared" si="8"/>
        <v>1276333</v>
      </c>
      <c r="G28" s="28"/>
    </row>
    <row r="29" spans="2:9" x14ac:dyDescent="0.2">
      <c r="B29" s="222" t="str">
        <f t="shared" si="4"/>
        <v>Módosított előirányzat 2023.09.hó</v>
      </c>
      <c r="C29" s="237">
        <f t="shared" si="5"/>
        <v>1058197</v>
      </c>
      <c r="D29" s="237">
        <f t="shared" si="6"/>
        <v>226263</v>
      </c>
      <c r="E29" s="237">
        <f t="shared" si="7"/>
        <v>226263</v>
      </c>
      <c r="F29" s="237">
        <f t="shared" si="8"/>
        <v>1284460</v>
      </c>
      <c r="G29" s="28"/>
    </row>
    <row r="30" spans="2:9" hidden="1" x14ac:dyDescent="0.2">
      <c r="B30" s="222" t="str">
        <f t="shared" si="4"/>
        <v>Beszámoló előtti ei.mód.</v>
      </c>
      <c r="C30" s="237">
        <f t="shared" si="5"/>
        <v>0</v>
      </c>
      <c r="D30" s="237">
        <f t="shared" si="6"/>
        <v>0</v>
      </c>
      <c r="E30" s="237">
        <f t="shared" si="7"/>
        <v>0</v>
      </c>
      <c r="F30" s="237">
        <f t="shared" si="8"/>
        <v>0</v>
      </c>
      <c r="G30" s="28"/>
    </row>
    <row r="31" spans="2:9" hidden="1" x14ac:dyDescent="0.2">
      <c r="B31" s="222" t="str">
        <f t="shared" si="4"/>
        <v>Teljesítés 2021.12.31.</v>
      </c>
      <c r="C31" s="237">
        <f t="shared" si="5"/>
        <v>717648</v>
      </c>
      <c r="D31" s="237">
        <f t="shared" si="6"/>
        <v>148029</v>
      </c>
      <c r="E31" s="237">
        <f t="shared" si="7"/>
        <v>148029</v>
      </c>
      <c r="F31" s="237">
        <f t="shared" si="8"/>
        <v>865677</v>
      </c>
      <c r="G31" s="164"/>
    </row>
    <row r="32" spans="2:9" x14ac:dyDescent="0.2">
      <c r="B32" s="222"/>
      <c r="C32" s="237"/>
      <c r="D32" s="237"/>
      <c r="E32" s="237"/>
      <c r="F32" s="237"/>
      <c r="G32" s="29"/>
    </row>
    <row r="33" spans="2:9" ht="14.25" customHeight="1" x14ac:dyDescent="0.2">
      <c r="B33" s="284" t="s">
        <v>428</v>
      </c>
      <c r="C33" s="238"/>
      <c r="D33" s="237"/>
      <c r="E33" s="237"/>
      <c r="F33" s="237"/>
      <c r="G33" s="29"/>
    </row>
    <row r="34" spans="2:9" ht="14.25" customHeight="1" x14ac:dyDescent="0.2">
      <c r="B34" s="222" t="str">
        <f t="shared" ref="B34:B39" si="9">B26</f>
        <v>2023. évi eredeti előirányzat</v>
      </c>
      <c r="C34" s="238">
        <f>SUM('1.Bev-kiad.'!C56)-D34</f>
        <v>708197</v>
      </c>
      <c r="D34" s="238">
        <f>SUM('9.Hivatal'!T83)</f>
        <v>16067</v>
      </c>
      <c r="E34" s="237">
        <f t="shared" ref="E34:E39" si="10">SUM(D34:D34)</f>
        <v>16067</v>
      </c>
      <c r="F34" s="237">
        <f t="shared" ref="F34:F39" si="11">SUM(C34+E34)</f>
        <v>724264</v>
      </c>
      <c r="G34" s="29"/>
    </row>
    <row r="35" spans="2:9" ht="14.25" customHeight="1" x14ac:dyDescent="0.2">
      <c r="B35" s="222" t="str">
        <f t="shared" si="9"/>
        <v>Módosított előirányzat 2023.06.hó</v>
      </c>
      <c r="C35" s="238">
        <f>SUM('1.Bev-kiad.'!D56)-D35</f>
        <v>708197</v>
      </c>
      <c r="D35" s="238">
        <f>SUM('9.Hivatal'!U83)</f>
        <v>16067</v>
      </c>
      <c r="E35" s="237">
        <f t="shared" si="10"/>
        <v>16067</v>
      </c>
      <c r="F35" s="237">
        <f t="shared" si="11"/>
        <v>724264</v>
      </c>
      <c r="G35" s="29"/>
    </row>
    <row r="36" spans="2:9" ht="14.25" hidden="1" customHeight="1" x14ac:dyDescent="0.2">
      <c r="B36" s="222" t="str">
        <f t="shared" si="9"/>
        <v>Módosított előirányzat 2023.07.hó</v>
      </c>
      <c r="C36" s="238">
        <f>SUM('1.Bev-kiad.'!E56)-D36</f>
        <v>708197</v>
      </c>
      <c r="D36" s="238">
        <f>SUM('9.Hivatal'!V83)</f>
        <v>16067</v>
      </c>
      <c r="E36" s="237">
        <f t="shared" si="10"/>
        <v>16067</v>
      </c>
      <c r="F36" s="237">
        <f t="shared" si="11"/>
        <v>724264</v>
      </c>
      <c r="G36" s="29"/>
    </row>
    <row r="37" spans="2:9" ht="14.25" customHeight="1" x14ac:dyDescent="0.2">
      <c r="B37" s="222" t="str">
        <f t="shared" si="9"/>
        <v>Módosított előirányzat 2023.09.hó</v>
      </c>
      <c r="C37" s="238">
        <f>SUM('1.Bev-kiad.'!F56)-D37</f>
        <v>708197</v>
      </c>
      <c r="D37" s="238">
        <f>SUM('9.Hivatal'!W83)</f>
        <v>16067</v>
      </c>
      <c r="E37" s="237">
        <f t="shared" si="10"/>
        <v>16067</v>
      </c>
      <c r="F37" s="237">
        <f t="shared" si="11"/>
        <v>724264</v>
      </c>
      <c r="G37" s="29"/>
    </row>
    <row r="38" spans="2:9" ht="14.25" hidden="1" customHeight="1" x14ac:dyDescent="0.2">
      <c r="B38" s="222" t="str">
        <f t="shared" si="9"/>
        <v>Beszámoló előtti ei.mód.</v>
      </c>
      <c r="C38" s="238"/>
      <c r="D38" s="238"/>
      <c r="E38" s="237">
        <f t="shared" si="10"/>
        <v>0</v>
      </c>
      <c r="F38" s="237">
        <f t="shared" si="11"/>
        <v>0</v>
      </c>
      <c r="G38" s="29"/>
    </row>
    <row r="39" spans="2:9" ht="14.25" hidden="1" customHeight="1" x14ac:dyDescent="0.2">
      <c r="B39" s="222" t="str">
        <f t="shared" si="9"/>
        <v>Teljesítés 2021.12.31.</v>
      </c>
      <c r="C39" s="238">
        <f>SUM('1.Bev-kiad.'!H56)-D39</f>
        <v>717648</v>
      </c>
      <c r="D39" s="238">
        <f>SUM('9.Hivatal'!Y86)</f>
        <v>3400</v>
      </c>
      <c r="E39" s="237">
        <f t="shared" si="10"/>
        <v>3400</v>
      </c>
      <c r="F39" s="237">
        <f t="shared" si="11"/>
        <v>721048</v>
      </c>
      <c r="G39" s="29"/>
    </row>
    <row r="40" spans="2:9" x14ac:dyDescent="0.2">
      <c r="B40" s="222"/>
      <c r="C40" s="238"/>
      <c r="D40" s="238"/>
      <c r="E40" s="237"/>
      <c r="F40" s="237"/>
      <c r="G40" s="29"/>
    </row>
    <row r="41" spans="2:9" x14ac:dyDescent="0.2">
      <c r="B41" s="285" t="s">
        <v>865</v>
      </c>
      <c r="C41" s="238"/>
      <c r="D41" s="238"/>
      <c r="E41" s="238"/>
      <c r="F41" s="238"/>
      <c r="G41" s="75"/>
    </row>
    <row r="42" spans="2:9" x14ac:dyDescent="0.2">
      <c r="B42" s="222" t="str">
        <f t="shared" ref="B42:B47" si="12">B34</f>
        <v>2023. évi eredeti előirányzat</v>
      </c>
      <c r="C42" s="238">
        <v>0</v>
      </c>
      <c r="D42" s="238">
        <f>SUM('9.Hivatal'!T84)</f>
        <v>133919</v>
      </c>
      <c r="E42" s="237">
        <f t="shared" ref="E42:E47" si="13">SUM(D42:D42)</f>
        <v>133919</v>
      </c>
      <c r="F42" s="237">
        <f t="shared" ref="F42:F47" si="14">SUM(C42+E42)</f>
        <v>133919</v>
      </c>
      <c r="G42" s="164"/>
      <c r="H42" s="29"/>
      <c r="I42" s="29"/>
    </row>
    <row r="43" spans="2:9" x14ac:dyDescent="0.2">
      <c r="B43" s="222" t="str">
        <f t="shared" si="12"/>
        <v>Módosított előirányzat 2023.06.hó</v>
      </c>
      <c r="C43" s="238"/>
      <c r="D43" s="238">
        <f>SUM('9.Hivatal'!U84)</f>
        <v>133919</v>
      </c>
      <c r="E43" s="237">
        <f t="shared" si="13"/>
        <v>133919</v>
      </c>
      <c r="F43" s="237">
        <f t="shared" si="14"/>
        <v>133919</v>
      </c>
      <c r="G43" s="164"/>
      <c r="H43" s="29"/>
      <c r="I43" s="29"/>
    </row>
    <row r="44" spans="2:9" hidden="1" x14ac:dyDescent="0.2">
      <c r="B44" s="222" t="str">
        <f t="shared" si="12"/>
        <v>Módosított előirányzat 2023.07.hó</v>
      </c>
      <c r="C44" s="238"/>
      <c r="D44" s="238">
        <f>SUM('9.Hivatal'!V84)</f>
        <v>133919</v>
      </c>
      <c r="E44" s="237">
        <f t="shared" si="13"/>
        <v>133919</v>
      </c>
      <c r="F44" s="237">
        <f t="shared" si="14"/>
        <v>133919</v>
      </c>
      <c r="G44" s="164"/>
      <c r="H44" s="29"/>
      <c r="I44" s="29"/>
    </row>
    <row r="45" spans="2:9" x14ac:dyDescent="0.2">
      <c r="B45" s="222" t="str">
        <f t="shared" si="12"/>
        <v>Módosított előirányzat 2023.09.hó</v>
      </c>
      <c r="C45" s="238"/>
      <c r="D45" s="238">
        <f>SUM('9.Hivatal'!W84)</f>
        <v>142046</v>
      </c>
      <c r="E45" s="237">
        <f t="shared" si="13"/>
        <v>142046</v>
      </c>
      <c r="F45" s="237">
        <f t="shared" si="14"/>
        <v>142046</v>
      </c>
      <c r="G45" s="164"/>
      <c r="H45" s="29"/>
      <c r="I45" s="29"/>
    </row>
    <row r="46" spans="2:9" hidden="1" x14ac:dyDescent="0.2">
      <c r="B46" s="222" t="str">
        <f t="shared" si="12"/>
        <v>Beszámoló előtti ei.mód.</v>
      </c>
      <c r="C46" s="238"/>
      <c r="D46" s="238">
        <v>0</v>
      </c>
      <c r="E46" s="237">
        <f t="shared" si="13"/>
        <v>0</v>
      </c>
      <c r="F46" s="237">
        <f t="shared" si="14"/>
        <v>0</v>
      </c>
      <c r="G46" s="164"/>
      <c r="H46" s="29"/>
      <c r="I46" s="29"/>
    </row>
    <row r="47" spans="2:9" ht="13.5" hidden="1" customHeight="1" x14ac:dyDescent="0.2">
      <c r="B47" s="222" t="str">
        <f t="shared" si="12"/>
        <v>Teljesítés 2021.12.31.</v>
      </c>
      <c r="C47" s="238"/>
      <c r="D47" s="238">
        <f>SUM('9.Hivatal'!Y82)</f>
        <v>133919</v>
      </c>
      <c r="E47" s="237">
        <f t="shared" si="13"/>
        <v>133919</v>
      </c>
      <c r="F47" s="237">
        <f t="shared" si="14"/>
        <v>133919</v>
      </c>
      <c r="G47" s="164"/>
      <c r="H47" s="29"/>
      <c r="I47" s="29"/>
    </row>
    <row r="48" spans="2:9" x14ac:dyDescent="0.2">
      <c r="B48" s="222"/>
      <c r="C48" s="238"/>
      <c r="D48" s="238"/>
      <c r="E48" s="237"/>
      <c r="F48" s="237"/>
      <c r="G48" s="29"/>
      <c r="H48" s="29"/>
      <c r="I48" s="29"/>
    </row>
    <row r="49" spans="2:11" ht="26.25" customHeight="1" x14ac:dyDescent="0.2">
      <c r="B49" s="285" t="s">
        <v>51</v>
      </c>
      <c r="C49" s="238"/>
      <c r="D49" s="238"/>
      <c r="E49" s="238"/>
      <c r="F49" s="238"/>
      <c r="G49" s="28"/>
      <c r="H49" s="28"/>
      <c r="I49" s="28"/>
    </row>
    <row r="50" spans="2:11" x14ac:dyDescent="0.2">
      <c r="B50" s="222" t="str">
        <f t="shared" ref="B50:B55" si="15">B42</f>
        <v>2023. évi eredeti előirányzat</v>
      </c>
      <c r="C50" s="238">
        <v>0</v>
      </c>
      <c r="D50" s="238">
        <f>SUM('9.Hivatal'!T92)</f>
        <v>68150</v>
      </c>
      <c r="E50" s="237">
        <f t="shared" ref="E50:E55" si="16">SUM(D50:D50)</f>
        <v>68150</v>
      </c>
      <c r="F50" s="237">
        <f t="shared" ref="F50:F55" si="17">SUM(E50)</f>
        <v>68150</v>
      </c>
      <c r="G50" s="29">
        <f t="shared" ref="G50:G55" si="18">SUM(E66-E10-E34)</f>
        <v>202069</v>
      </c>
      <c r="H50" s="29"/>
      <c r="I50" s="29"/>
    </row>
    <row r="51" spans="2:11" x14ac:dyDescent="0.2">
      <c r="B51" s="222" t="str">
        <f t="shared" si="15"/>
        <v>Módosított előirányzat 2023.06.hó</v>
      </c>
      <c r="C51" s="238"/>
      <c r="D51" s="238">
        <f>SUM('9.Hivatal'!U92)</f>
        <v>68150</v>
      </c>
      <c r="E51" s="237">
        <f t="shared" si="16"/>
        <v>68150</v>
      </c>
      <c r="F51" s="237">
        <f t="shared" si="17"/>
        <v>68150</v>
      </c>
      <c r="G51" s="29">
        <f t="shared" si="18"/>
        <v>202069</v>
      </c>
      <c r="H51" s="29"/>
      <c r="I51" s="29"/>
    </row>
    <row r="52" spans="2:11" hidden="1" x14ac:dyDescent="0.2">
      <c r="B52" s="222" t="str">
        <f t="shared" si="15"/>
        <v>Módosított előirányzat 2023.07.hó</v>
      </c>
      <c r="C52" s="238"/>
      <c r="D52" s="238">
        <f>SUM('9.Hivatal'!V92)</f>
        <v>68150</v>
      </c>
      <c r="E52" s="237">
        <f t="shared" si="16"/>
        <v>68150</v>
      </c>
      <c r="F52" s="237">
        <f t="shared" si="17"/>
        <v>68150</v>
      </c>
      <c r="G52" s="29">
        <f t="shared" si="18"/>
        <v>202069</v>
      </c>
      <c r="H52" s="29"/>
      <c r="I52" s="29"/>
    </row>
    <row r="53" spans="2:11" x14ac:dyDescent="0.2">
      <c r="B53" s="222" t="str">
        <f t="shared" si="15"/>
        <v>Módosított előirányzat 2023.09.hó</v>
      </c>
      <c r="C53" s="238"/>
      <c r="D53" s="238">
        <f>SUM('9.Hivatal'!W92)</f>
        <v>68150</v>
      </c>
      <c r="E53" s="237">
        <f t="shared" si="16"/>
        <v>68150</v>
      </c>
      <c r="F53" s="237">
        <f t="shared" si="17"/>
        <v>68150</v>
      </c>
      <c r="G53" s="29">
        <f t="shared" si="18"/>
        <v>210196</v>
      </c>
      <c r="H53" s="29"/>
      <c r="I53" s="29"/>
    </row>
    <row r="54" spans="2:11" hidden="1" x14ac:dyDescent="0.2">
      <c r="B54" s="222" t="str">
        <f t="shared" si="15"/>
        <v>Beszámoló előtti ei.mód.</v>
      </c>
      <c r="C54" s="238"/>
      <c r="D54" s="238">
        <v>0</v>
      </c>
      <c r="E54" s="237">
        <f t="shared" si="16"/>
        <v>0</v>
      </c>
      <c r="F54" s="237">
        <f t="shared" si="17"/>
        <v>0</v>
      </c>
      <c r="G54" s="29">
        <f t="shared" si="18"/>
        <v>0</v>
      </c>
      <c r="H54" s="29"/>
      <c r="I54" s="29"/>
    </row>
    <row r="55" spans="2:11" ht="13.5" hidden="1" customHeight="1" x14ac:dyDescent="0.2">
      <c r="B55" s="222" t="str">
        <f t="shared" si="15"/>
        <v>Teljesítés 2021.12.31.</v>
      </c>
      <c r="C55" s="238"/>
      <c r="D55" s="238">
        <f>SUM('9.Hivatal'!Y90)</f>
        <v>10710</v>
      </c>
      <c r="E55" s="237">
        <f t="shared" si="16"/>
        <v>10710</v>
      </c>
      <c r="F55" s="237">
        <f t="shared" si="17"/>
        <v>10710</v>
      </c>
      <c r="G55" s="29">
        <f t="shared" si="18"/>
        <v>144629</v>
      </c>
      <c r="H55" s="29"/>
      <c r="I55" s="29"/>
    </row>
    <row r="56" spans="2:11" x14ac:dyDescent="0.2">
      <c r="B56" s="222"/>
      <c r="C56" s="238"/>
      <c r="D56" s="238"/>
      <c r="E56" s="237"/>
      <c r="F56" s="237"/>
      <c r="G56" s="29"/>
      <c r="H56" s="29"/>
      <c r="I56" s="29"/>
    </row>
    <row r="57" spans="2:11" ht="13.5" customHeight="1" x14ac:dyDescent="0.2">
      <c r="B57" s="285" t="s">
        <v>476</v>
      </c>
      <c r="C57" s="276"/>
      <c r="D57" s="276"/>
      <c r="E57" s="277"/>
      <c r="F57" s="277"/>
      <c r="G57" s="29"/>
      <c r="H57" s="29"/>
      <c r="I57" s="29"/>
    </row>
    <row r="58" spans="2:11" ht="14.25" customHeight="1" x14ac:dyDescent="0.2">
      <c r="B58" s="295" t="str">
        <f t="shared" ref="B58:B63" si="19">B50</f>
        <v>2023. évi eredeti előirányzat</v>
      </c>
      <c r="C58" s="276">
        <f>SUM('1.Bev-kiad.'!C60)</f>
        <v>0</v>
      </c>
      <c r="D58" s="276">
        <v>0</v>
      </c>
      <c r="E58" s="237">
        <f t="shared" ref="E58" si="20">SUM(D58:D58)</f>
        <v>0</v>
      </c>
      <c r="F58" s="237">
        <f t="shared" ref="F58:F63" si="21">SUM(C58+E58)</f>
        <v>0</v>
      </c>
      <c r="G58" s="29"/>
      <c r="H58" s="29"/>
      <c r="I58" s="29"/>
      <c r="K58" s="76"/>
    </row>
    <row r="59" spans="2:11" ht="13.5" customHeight="1" x14ac:dyDescent="0.2">
      <c r="B59" s="295" t="str">
        <f t="shared" si="19"/>
        <v>Módosított előirányzat 2023.06.hó</v>
      </c>
      <c r="C59" s="276">
        <f>'1.Bev-kiad.'!D60</f>
        <v>350000</v>
      </c>
      <c r="D59" s="276"/>
      <c r="E59" s="277"/>
      <c r="F59" s="74">
        <f t="shared" si="21"/>
        <v>350000</v>
      </c>
      <c r="G59" s="29"/>
      <c r="H59" s="29"/>
      <c r="I59" s="29"/>
    </row>
    <row r="60" spans="2:11" ht="13.5" hidden="1" customHeight="1" x14ac:dyDescent="0.2">
      <c r="B60" s="295" t="str">
        <f t="shared" si="19"/>
        <v>Módosított előirányzat 2023.07.hó</v>
      </c>
      <c r="C60" s="276">
        <f>'1.Bev-kiad.'!E60</f>
        <v>350000</v>
      </c>
      <c r="D60" s="276"/>
      <c r="E60" s="277"/>
      <c r="F60" s="74">
        <f t="shared" si="21"/>
        <v>350000</v>
      </c>
      <c r="G60" s="29"/>
      <c r="H60" s="29"/>
      <c r="I60" s="29"/>
    </row>
    <row r="61" spans="2:11" ht="13.5" customHeight="1" x14ac:dyDescent="0.2">
      <c r="B61" s="295" t="str">
        <f t="shared" si="19"/>
        <v>Módosított előirányzat 2023.09.hó</v>
      </c>
      <c r="C61" s="276">
        <f>'1.Bev-kiad.'!F60</f>
        <v>350000</v>
      </c>
      <c r="D61" s="276"/>
      <c r="E61" s="277"/>
      <c r="F61" s="74">
        <f t="shared" si="21"/>
        <v>350000</v>
      </c>
      <c r="G61" s="29"/>
      <c r="H61" s="29"/>
      <c r="I61" s="29"/>
    </row>
    <row r="62" spans="2:11" ht="13.5" hidden="1" customHeight="1" x14ac:dyDescent="0.2">
      <c r="B62" s="295" t="str">
        <f t="shared" si="19"/>
        <v>Beszámoló előtti ei.mód.</v>
      </c>
      <c r="C62" s="276">
        <f>'1.Bev-kiad.'!H60</f>
        <v>0</v>
      </c>
      <c r="D62" s="276"/>
      <c r="E62" s="277"/>
      <c r="F62" s="74">
        <f t="shared" si="21"/>
        <v>0</v>
      </c>
      <c r="G62" s="29"/>
      <c r="H62" s="29"/>
      <c r="I62" s="29"/>
    </row>
    <row r="63" spans="2:11" ht="13.5" hidden="1" customHeight="1" x14ac:dyDescent="0.2">
      <c r="B63" s="295" t="str">
        <f t="shared" si="19"/>
        <v>Teljesítés 2021.12.31.</v>
      </c>
      <c r="C63" s="276">
        <f>'1.Bev-kiad.'!I60</f>
        <v>0</v>
      </c>
      <c r="D63" s="276"/>
      <c r="E63" s="277"/>
      <c r="F63" s="74">
        <f t="shared" si="21"/>
        <v>0</v>
      </c>
      <c r="G63" s="29"/>
      <c r="H63" s="29"/>
      <c r="I63" s="29"/>
    </row>
    <row r="64" spans="2:11" ht="13.5" customHeight="1" thickBot="1" x14ac:dyDescent="0.25">
      <c r="B64" s="295"/>
      <c r="C64" s="276"/>
      <c r="D64" s="276"/>
      <c r="E64" s="277"/>
      <c r="F64" s="74"/>
      <c r="G64" s="29"/>
      <c r="H64" s="29"/>
      <c r="I64" s="29"/>
    </row>
    <row r="65" spans="2:11" ht="14.25" customHeight="1" x14ac:dyDescent="0.2">
      <c r="B65" s="113" t="s">
        <v>52</v>
      </c>
      <c r="C65" s="239"/>
      <c r="D65" s="239"/>
      <c r="E65" s="239"/>
      <c r="F65" s="244"/>
      <c r="G65" s="29"/>
      <c r="H65" s="76"/>
    </row>
    <row r="66" spans="2:11" ht="14.25" customHeight="1" x14ac:dyDescent="0.2">
      <c r="B66" s="212" t="str">
        <f t="shared" ref="B66:B71" si="22">B10</f>
        <v>2023. évi eredeti előirányzat</v>
      </c>
      <c r="C66" s="241">
        <f t="shared" ref="C66:C71" si="23">SUM(C10+C26+C18)</f>
        <v>1951078</v>
      </c>
      <c r="D66" s="241">
        <f t="shared" ref="D66:D71" si="24">SUM(D10+D26)</f>
        <v>272205</v>
      </c>
      <c r="E66" s="241">
        <f t="shared" ref="E66:E71" si="25">SUM(D66:D66)</f>
        <v>272205</v>
      </c>
      <c r="F66" s="245">
        <f t="shared" ref="F66:F71" si="26">SUM(C66+E66)</f>
        <v>2223283</v>
      </c>
      <c r="G66" s="164"/>
      <c r="H66" s="213"/>
      <c r="I66" s="76"/>
    </row>
    <row r="67" spans="2:11" ht="14.25" customHeight="1" x14ac:dyDescent="0.2">
      <c r="B67" s="212" t="str">
        <f t="shared" si="22"/>
        <v>Módosított előirányzat 2023.06.hó</v>
      </c>
      <c r="C67" s="241">
        <f t="shared" si="23"/>
        <v>3079335</v>
      </c>
      <c r="D67" s="241">
        <f t="shared" si="24"/>
        <v>272261</v>
      </c>
      <c r="E67" s="241">
        <f t="shared" si="25"/>
        <v>272261</v>
      </c>
      <c r="F67" s="245">
        <f t="shared" si="26"/>
        <v>3351596</v>
      </c>
      <c r="G67" s="164"/>
      <c r="H67" s="213"/>
    </row>
    <row r="68" spans="2:11" ht="14.25" hidden="1" customHeight="1" x14ac:dyDescent="0.2">
      <c r="B68" s="212" t="str">
        <f t="shared" si="22"/>
        <v>Módosított előirányzat 2023.07.hó</v>
      </c>
      <c r="C68" s="241">
        <f t="shared" si="23"/>
        <v>3079335</v>
      </c>
      <c r="D68" s="241">
        <f t="shared" si="24"/>
        <v>272261</v>
      </c>
      <c r="E68" s="241">
        <f t="shared" si="25"/>
        <v>272261</v>
      </c>
      <c r="F68" s="245">
        <f t="shared" si="26"/>
        <v>3351596</v>
      </c>
      <c r="G68" s="164"/>
      <c r="H68" s="213"/>
    </row>
    <row r="69" spans="2:11" ht="14.25" customHeight="1" x14ac:dyDescent="0.2">
      <c r="B69" s="212" t="str">
        <f t="shared" si="22"/>
        <v>Módosított előirányzat 2023.09.hó</v>
      </c>
      <c r="C69" s="241">
        <f t="shared" si="23"/>
        <v>3640069</v>
      </c>
      <c r="D69" s="241">
        <f t="shared" si="24"/>
        <v>280698</v>
      </c>
      <c r="E69" s="241">
        <f t="shared" si="25"/>
        <v>280698</v>
      </c>
      <c r="F69" s="245">
        <f t="shared" si="26"/>
        <v>3920767</v>
      </c>
      <c r="G69" s="164"/>
      <c r="H69" s="213"/>
    </row>
    <row r="70" spans="2:11" ht="14.25" hidden="1" customHeight="1" x14ac:dyDescent="0.2">
      <c r="B70" s="212" t="str">
        <f t="shared" si="22"/>
        <v>Beszámoló előtti ei.mód.</v>
      </c>
      <c r="C70" s="241">
        <f t="shared" si="23"/>
        <v>0</v>
      </c>
      <c r="D70" s="241">
        <f t="shared" si="24"/>
        <v>0</v>
      </c>
      <c r="E70" s="241">
        <f t="shared" si="25"/>
        <v>0</v>
      </c>
      <c r="F70" s="245">
        <f t="shared" si="26"/>
        <v>0</v>
      </c>
      <c r="G70" s="164"/>
      <c r="H70" s="213"/>
    </row>
    <row r="71" spans="2:11" hidden="1" x14ac:dyDescent="0.2">
      <c r="B71" s="212" t="str">
        <f t="shared" si="22"/>
        <v>Teljesítés 2021.12.31.</v>
      </c>
      <c r="C71" s="241">
        <f t="shared" si="23"/>
        <v>1895773</v>
      </c>
      <c r="D71" s="241">
        <f t="shared" si="24"/>
        <v>201398</v>
      </c>
      <c r="E71" s="241">
        <f t="shared" si="25"/>
        <v>201398</v>
      </c>
      <c r="F71" s="245">
        <f t="shared" si="26"/>
        <v>2097171</v>
      </c>
      <c r="G71" s="164"/>
      <c r="H71" s="213"/>
    </row>
    <row r="72" spans="2:11" ht="14.25" customHeight="1" x14ac:dyDescent="0.2">
      <c r="B72" s="296" t="s">
        <v>53</v>
      </c>
      <c r="C72" s="241"/>
      <c r="D72" s="241"/>
      <c r="E72" s="241"/>
      <c r="F72" s="245">
        <f t="shared" ref="F72:F77" si="27">-E42-E50</f>
        <v>-202069</v>
      </c>
      <c r="G72" s="28"/>
    </row>
    <row r="73" spans="2:11" ht="12.75" customHeight="1" x14ac:dyDescent="0.2">
      <c r="B73" s="296" t="str">
        <f>B67</f>
        <v>Módosított előirányzat 2023.06.hó</v>
      </c>
      <c r="C73" s="241"/>
      <c r="D73" s="241"/>
      <c r="E73" s="241"/>
      <c r="F73" s="245">
        <f t="shared" si="27"/>
        <v>-202069</v>
      </c>
      <c r="G73" s="28"/>
    </row>
    <row r="74" spans="2:11" ht="12.75" hidden="1" customHeight="1" x14ac:dyDescent="0.2">
      <c r="B74" s="296" t="str">
        <f>B68</f>
        <v>Módosított előirányzat 2023.07.hó</v>
      </c>
      <c r="C74" s="240"/>
      <c r="D74" s="240"/>
      <c r="E74" s="240"/>
      <c r="F74" s="245">
        <f t="shared" si="27"/>
        <v>-202069</v>
      </c>
      <c r="G74" s="28"/>
    </row>
    <row r="75" spans="2:11" ht="12.75" customHeight="1" thickBot="1" x14ac:dyDescent="0.25">
      <c r="B75" s="296" t="str">
        <f>B69</f>
        <v>Módosított előirányzat 2023.09.hó</v>
      </c>
      <c r="C75" s="240"/>
      <c r="D75" s="240"/>
      <c r="E75" s="240"/>
      <c r="F75" s="245">
        <f t="shared" si="27"/>
        <v>-210196</v>
      </c>
      <c r="G75" s="28"/>
    </row>
    <row r="76" spans="2:11" ht="12.75" hidden="1" customHeight="1" x14ac:dyDescent="0.2">
      <c r="B76" s="296" t="str">
        <f>B70</f>
        <v>Beszámoló előtti ei.mód.</v>
      </c>
      <c r="C76" s="240"/>
      <c r="D76" s="240"/>
      <c r="E76" s="240"/>
      <c r="F76" s="245">
        <f t="shared" si="27"/>
        <v>0</v>
      </c>
      <c r="G76" s="28"/>
    </row>
    <row r="77" spans="2:11" ht="13.5" hidden="1" thickBot="1" x14ac:dyDescent="0.25">
      <c r="B77" s="296" t="str">
        <f>B71</f>
        <v>Teljesítés 2021.12.31.</v>
      </c>
      <c r="C77" s="240"/>
      <c r="D77" s="240"/>
      <c r="E77" s="240"/>
      <c r="F77" s="245">
        <f t="shared" si="27"/>
        <v>-144629</v>
      </c>
      <c r="G77" s="28"/>
    </row>
    <row r="78" spans="2:11" ht="13.5" thickBot="1" x14ac:dyDescent="0.25">
      <c r="B78" s="77" t="s">
        <v>54</v>
      </c>
      <c r="C78" s="242"/>
      <c r="D78" s="242"/>
      <c r="E78" s="242"/>
      <c r="F78" s="246">
        <f>SUM(F67+F73)</f>
        <v>3149527</v>
      </c>
      <c r="G78" s="28"/>
      <c r="I78" s="76"/>
      <c r="K78" s="76"/>
    </row>
    <row r="79" spans="2:11" ht="14.25" customHeight="1" x14ac:dyDescent="0.2">
      <c r="B79" s="286" t="s">
        <v>55</v>
      </c>
      <c r="C79" s="243"/>
      <c r="D79" s="243"/>
      <c r="E79" s="243"/>
      <c r="F79" s="247"/>
      <c r="G79" s="29"/>
      <c r="J79" s="76"/>
    </row>
    <row r="80" spans="2:11" x14ac:dyDescent="0.2">
      <c r="B80" s="212" t="str">
        <f t="shared" ref="B80:B91" si="28">B66</f>
        <v>2023. évi eredeti előirányzat</v>
      </c>
      <c r="C80" s="241">
        <f t="shared" ref="C80:C85" si="29">SUM(C94+C101+C108+C115+C122+C129+C136+C143)</f>
        <v>1951078</v>
      </c>
      <c r="D80" s="241">
        <f t="shared" ref="D80:D85" si="30">SUM(D94+D101+D108+D115+D129)</f>
        <v>272205</v>
      </c>
      <c r="E80" s="241">
        <f t="shared" ref="E80:E85" si="31">SUM(D80:D80)</f>
        <v>272205</v>
      </c>
      <c r="F80" s="245">
        <f t="shared" ref="F80:F85" si="32">SUM(C80+E80)</f>
        <v>2223283</v>
      </c>
      <c r="G80" s="164">
        <f t="shared" ref="G80:G85" si="33">SUM(F94+F101+F108+F115+F122+F129+F136+F143)</f>
        <v>2223283</v>
      </c>
      <c r="H80" s="213">
        <f t="shared" ref="H80:H85" si="34">SUM(E94+E101+E108+E115)</f>
        <v>272205</v>
      </c>
      <c r="I80" s="37">
        <f>SUM(F94+F101+F108+F115+F122+F129+F136+F143)</f>
        <v>2223283</v>
      </c>
    </row>
    <row r="81" spans="2:11" x14ac:dyDescent="0.2">
      <c r="B81" s="212" t="str">
        <f t="shared" si="28"/>
        <v>Módosított előirányzat 2023.06.hó</v>
      </c>
      <c r="C81" s="241">
        <f t="shared" si="29"/>
        <v>3079335</v>
      </c>
      <c r="D81" s="241">
        <f t="shared" si="30"/>
        <v>272261</v>
      </c>
      <c r="E81" s="241">
        <f t="shared" si="31"/>
        <v>272261</v>
      </c>
      <c r="F81" s="245">
        <f t="shared" si="32"/>
        <v>3351596</v>
      </c>
      <c r="G81" s="164">
        <f t="shared" si="33"/>
        <v>3351596</v>
      </c>
      <c r="H81" s="213">
        <f t="shared" si="34"/>
        <v>272261</v>
      </c>
    </row>
    <row r="82" spans="2:11" hidden="1" x14ac:dyDescent="0.2">
      <c r="B82" s="212" t="str">
        <f t="shared" si="28"/>
        <v>Módosított előirányzat 2023.07.hó</v>
      </c>
      <c r="C82" s="241">
        <f t="shared" si="29"/>
        <v>3079335</v>
      </c>
      <c r="D82" s="241">
        <f t="shared" si="30"/>
        <v>272261</v>
      </c>
      <c r="E82" s="241">
        <f t="shared" si="31"/>
        <v>272261</v>
      </c>
      <c r="F82" s="245">
        <f t="shared" si="32"/>
        <v>3351596</v>
      </c>
      <c r="G82" s="164">
        <f t="shared" si="33"/>
        <v>3351596</v>
      </c>
      <c r="H82" s="213">
        <f t="shared" si="34"/>
        <v>272261</v>
      </c>
    </row>
    <row r="83" spans="2:11" x14ac:dyDescent="0.2">
      <c r="B83" s="212" t="str">
        <f t="shared" si="28"/>
        <v>Módosított előirányzat 2023.09.hó</v>
      </c>
      <c r="C83" s="241">
        <f t="shared" si="29"/>
        <v>3640069</v>
      </c>
      <c r="D83" s="241">
        <f t="shared" si="30"/>
        <v>280698</v>
      </c>
      <c r="E83" s="241">
        <f t="shared" si="31"/>
        <v>280698</v>
      </c>
      <c r="F83" s="245">
        <f t="shared" si="32"/>
        <v>3920767</v>
      </c>
      <c r="G83" s="164">
        <f t="shared" si="33"/>
        <v>3920767</v>
      </c>
      <c r="H83" s="213">
        <f t="shared" si="34"/>
        <v>280698</v>
      </c>
    </row>
    <row r="84" spans="2:11" hidden="1" x14ac:dyDescent="0.2">
      <c r="B84" s="212" t="str">
        <f t="shared" si="28"/>
        <v>Beszámoló előtti ei.mód.</v>
      </c>
      <c r="C84" s="241">
        <f t="shared" si="29"/>
        <v>0</v>
      </c>
      <c r="D84" s="241">
        <f t="shared" si="30"/>
        <v>0</v>
      </c>
      <c r="E84" s="241">
        <f t="shared" si="31"/>
        <v>0</v>
      </c>
      <c r="F84" s="245">
        <f t="shared" si="32"/>
        <v>0</v>
      </c>
      <c r="G84" s="164">
        <f t="shared" si="33"/>
        <v>0</v>
      </c>
      <c r="H84" s="213">
        <f t="shared" si="34"/>
        <v>0</v>
      </c>
    </row>
    <row r="85" spans="2:11" hidden="1" x14ac:dyDescent="0.2">
      <c r="B85" s="212" t="str">
        <f t="shared" si="28"/>
        <v>Teljesítés 2021.12.31.</v>
      </c>
      <c r="C85" s="241" t="e">
        <f t="shared" si="29"/>
        <v>#REF!</v>
      </c>
      <c r="D85" s="241">
        <f t="shared" si="30"/>
        <v>201398</v>
      </c>
      <c r="E85" s="241">
        <f t="shared" si="31"/>
        <v>201398</v>
      </c>
      <c r="F85" s="245" t="e">
        <f t="shared" si="32"/>
        <v>#REF!</v>
      </c>
      <c r="G85" s="164" t="e">
        <f t="shared" si="33"/>
        <v>#REF!</v>
      </c>
      <c r="H85" s="213">
        <f t="shared" si="34"/>
        <v>201398</v>
      </c>
    </row>
    <row r="86" spans="2:11" x14ac:dyDescent="0.2">
      <c r="B86" s="212" t="str">
        <f t="shared" si="28"/>
        <v xml:space="preserve">Intézményfinanszírozás </v>
      </c>
      <c r="C86" s="241"/>
      <c r="D86" s="241"/>
      <c r="E86" s="241"/>
      <c r="F86" s="245">
        <f t="shared" ref="F86:F91" si="35">F72</f>
        <v>-202069</v>
      </c>
      <c r="G86" s="28"/>
      <c r="I86" s="76"/>
    </row>
    <row r="87" spans="2:11" x14ac:dyDescent="0.2">
      <c r="B87" s="212" t="str">
        <f t="shared" si="28"/>
        <v>Módosított előirányzat 2023.06.hó</v>
      </c>
      <c r="C87" s="240"/>
      <c r="D87" s="240"/>
      <c r="E87" s="240"/>
      <c r="F87" s="245">
        <f t="shared" si="35"/>
        <v>-202069</v>
      </c>
      <c r="G87" s="28"/>
    </row>
    <row r="88" spans="2:11" hidden="1" x14ac:dyDescent="0.2">
      <c r="B88" s="212" t="str">
        <f t="shared" si="28"/>
        <v>Módosított előirányzat 2023.07.hó</v>
      </c>
      <c r="C88" s="240"/>
      <c r="D88" s="240"/>
      <c r="E88" s="240"/>
      <c r="F88" s="245">
        <f t="shared" si="35"/>
        <v>-202069</v>
      </c>
      <c r="G88" s="28"/>
    </row>
    <row r="89" spans="2:11" ht="13.5" thickBot="1" x14ac:dyDescent="0.25">
      <c r="B89" s="212" t="str">
        <f t="shared" si="28"/>
        <v>Módosított előirányzat 2023.09.hó</v>
      </c>
      <c r="C89" s="240"/>
      <c r="D89" s="240"/>
      <c r="E89" s="240"/>
      <c r="F89" s="245">
        <f t="shared" si="35"/>
        <v>-210196</v>
      </c>
      <c r="G89" s="28"/>
    </row>
    <row r="90" spans="2:11" hidden="1" x14ac:dyDescent="0.2">
      <c r="B90" s="212" t="str">
        <f t="shared" si="28"/>
        <v>Beszámoló előtti ei.mód.</v>
      </c>
      <c r="C90" s="240"/>
      <c r="D90" s="240"/>
      <c r="E90" s="240"/>
      <c r="F90" s="245">
        <f t="shared" si="35"/>
        <v>0</v>
      </c>
      <c r="G90" s="28"/>
    </row>
    <row r="91" spans="2:11" ht="13.5" hidden="1" thickBot="1" x14ac:dyDescent="0.25">
      <c r="B91" s="212" t="str">
        <f t="shared" si="28"/>
        <v>Teljesítés 2021.12.31.</v>
      </c>
      <c r="C91" s="240"/>
      <c r="D91" s="240"/>
      <c r="E91" s="240"/>
      <c r="F91" s="245">
        <f t="shared" si="35"/>
        <v>-144629</v>
      </c>
      <c r="G91" s="28"/>
    </row>
    <row r="92" spans="2:11" ht="14.25" customHeight="1" thickBot="1" x14ac:dyDescent="0.25">
      <c r="B92" s="77" t="s">
        <v>56</v>
      </c>
      <c r="C92" s="242"/>
      <c r="D92" s="242"/>
      <c r="E92" s="242"/>
      <c r="F92" s="246">
        <f>SUM(F81+F87)</f>
        <v>3149527</v>
      </c>
      <c r="G92" s="29"/>
      <c r="H92" s="76"/>
    </row>
    <row r="93" spans="2:11" ht="13.5" customHeight="1" x14ac:dyDescent="0.2">
      <c r="B93" s="275" t="s">
        <v>34</v>
      </c>
      <c r="C93" s="154"/>
      <c r="D93" s="154"/>
      <c r="E93" s="154"/>
      <c r="F93" s="154"/>
      <c r="G93" s="29"/>
      <c r="K93" s="76"/>
    </row>
    <row r="94" spans="2:11" ht="13.5" customHeight="1" x14ac:dyDescent="0.2">
      <c r="B94" s="222" t="str">
        <f>B10</f>
        <v>2023. évi eredeti előirányzat</v>
      </c>
      <c r="C94" s="238">
        <f>SUM('2.működés'!C115)</f>
        <v>52402</v>
      </c>
      <c r="D94" s="238">
        <f>SUM('9.Hivatal'!T23)</f>
        <v>207511</v>
      </c>
      <c r="E94" s="237">
        <f t="shared" ref="E94:E99" si="36">SUM(D94)</f>
        <v>207511</v>
      </c>
      <c r="F94" s="237">
        <f t="shared" ref="F94:F99" si="37">SUM(C94+E94)</f>
        <v>259913</v>
      </c>
      <c r="G94" s="29"/>
      <c r="H94" s="570"/>
      <c r="I94" s="37">
        <f>SUM(E94+E101+E108+E115)</f>
        <v>272205</v>
      </c>
    </row>
    <row r="95" spans="2:11" ht="13.5" customHeight="1" x14ac:dyDescent="0.2">
      <c r="B95" s="222" t="str">
        <f>B67</f>
        <v>Módosított előirányzat 2023.06.hó</v>
      </c>
      <c r="C95" s="238">
        <f>SUM('2.működés'!D115)</f>
        <v>55342</v>
      </c>
      <c r="D95" s="238">
        <f>SUM('9.Hivatal'!U23)</f>
        <v>207511</v>
      </c>
      <c r="E95" s="237">
        <f t="shared" si="36"/>
        <v>207511</v>
      </c>
      <c r="F95" s="237">
        <f t="shared" si="37"/>
        <v>262853</v>
      </c>
      <c r="G95" s="29"/>
    </row>
    <row r="96" spans="2:11" ht="13.5" hidden="1" customHeight="1" x14ac:dyDescent="0.2">
      <c r="B96" s="222" t="str">
        <f>B68</f>
        <v>Módosított előirányzat 2023.07.hó</v>
      </c>
      <c r="C96" s="238">
        <f>SUM('2.működés'!E115)</f>
        <v>55342</v>
      </c>
      <c r="D96" s="238">
        <f>SUM('9.Hivatal'!V23)</f>
        <v>207511</v>
      </c>
      <c r="E96" s="237">
        <f t="shared" si="36"/>
        <v>207511</v>
      </c>
      <c r="F96" s="237">
        <f t="shared" si="37"/>
        <v>262853</v>
      </c>
      <c r="G96" s="29"/>
    </row>
    <row r="97" spans="2:7" ht="13.5" customHeight="1" x14ac:dyDescent="0.2">
      <c r="B97" s="222" t="str">
        <f>B69</f>
        <v>Módosított előirányzat 2023.09.hó</v>
      </c>
      <c r="C97" s="238">
        <f>SUM('2.működés'!F115)</f>
        <v>55342</v>
      </c>
      <c r="D97" s="238">
        <f>SUM('9.Hivatal'!W23)</f>
        <v>207511</v>
      </c>
      <c r="E97" s="237">
        <f t="shared" si="36"/>
        <v>207511</v>
      </c>
      <c r="F97" s="237">
        <f t="shared" si="37"/>
        <v>262853</v>
      </c>
      <c r="G97" s="29"/>
    </row>
    <row r="98" spans="2:7" ht="13.5" hidden="1" customHeight="1" x14ac:dyDescent="0.2">
      <c r="B98" s="222" t="str">
        <f>B70</f>
        <v>Beszámoló előtti ei.mód.</v>
      </c>
      <c r="C98" s="238"/>
      <c r="D98" s="238"/>
      <c r="E98" s="237">
        <f t="shared" si="36"/>
        <v>0</v>
      </c>
      <c r="F98" s="237">
        <f t="shared" si="37"/>
        <v>0</v>
      </c>
      <c r="G98" s="29"/>
    </row>
    <row r="99" spans="2:7" hidden="1" x14ac:dyDescent="0.2">
      <c r="B99" s="222" t="str">
        <f>B71</f>
        <v>Teljesítés 2021.12.31.</v>
      </c>
      <c r="C99" s="238">
        <f>SUM('2.működés'!H115)</f>
        <v>46254</v>
      </c>
      <c r="D99" s="238">
        <f>SUM('9.Hivatal'!Y23)</f>
        <v>154612</v>
      </c>
      <c r="E99" s="237">
        <f t="shared" si="36"/>
        <v>154612</v>
      </c>
      <c r="F99" s="237">
        <f t="shared" si="37"/>
        <v>200866</v>
      </c>
      <c r="G99" s="29"/>
    </row>
    <row r="100" spans="2:7" ht="14.25" customHeight="1" x14ac:dyDescent="0.2">
      <c r="B100" s="275" t="s">
        <v>438</v>
      </c>
      <c r="C100" s="238"/>
      <c r="D100" s="238"/>
      <c r="E100" s="237"/>
      <c r="F100" s="237"/>
      <c r="G100" s="28"/>
    </row>
    <row r="101" spans="2:7" ht="13.5" customHeight="1" x14ac:dyDescent="0.2">
      <c r="B101" s="222" t="str">
        <f t="shared" ref="B101:B106" si="38">B94</f>
        <v>2023. évi eredeti előirányzat</v>
      </c>
      <c r="C101" s="238">
        <f>SUM('2.működés'!C118)</f>
        <v>7120</v>
      </c>
      <c r="D101" s="238">
        <f>SUM('9.Hivatal'!T26)</f>
        <v>26935</v>
      </c>
      <c r="E101" s="237">
        <f t="shared" ref="E101:E106" si="39">SUM(D101)</f>
        <v>26935</v>
      </c>
      <c r="F101" s="237">
        <f t="shared" ref="F101:F106" si="40">SUM(C101+E101)</f>
        <v>34055</v>
      </c>
      <c r="G101" s="28"/>
    </row>
    <row r="102" spans="2:7" ht="13.5" customHeight="1" x14ac:dyDescent="0.2">
      <c r="B102" s="222" t="str">
        <f t="shared" si="38"/>
        <v>Módosított előirányzat 2023.06.hó</v>
      </c>
      <c r="C102" s="238">
        <f>SUM('2.működés'!D118)</f>
        <v>7464</v>
      </c>
      <c r="D102" s="238">
        <f>SUM('9.Hivatal'!U26)</f>
        <v>26935</v>
      </c>
      <c r="E102" s="237">
        <f t="shared" si="39"/>
        <v>26935</v>
      </c>
      <c r="F102" s="237">
        <f t="shared" si="40"/>
        <v>34399</v>
      </c>
      <c r="G102" s="28"/>
    </row>
    <row r="103" spans="2:7" ht="13.5" hidden="1" customHeight="1" x14ac:dyDescent="0.2">
      <c r="B103" s="222" t="str">
        <f t="shared" si="38"/>
        <v>Módosított előirányzat 2023.07.hó</v>
      </c>
      <c r="C103" s="238">
        <f>SUM('2.működés'!E118)</f>
        <v>7464</v>
      </c>
      <c r="D103" s="238">
        <f>SUM('9.Hivatal'!V26)</f>
        <v>26935</v>
      </c>
      <c r="E103" s="237">
        <f t="shared" si="39"/>
        <v>26935</v>
      </c>
      <c r="F103" s="237">
        <f t="shared" si="40"/>
        <v>34399</v>
      </c>
      <c r="G103" s="28"/>
    </row>
    <row r="104" spans="2:7" ht="13.5" customHeight="1" x14ac:dyDescent="0.2">
      <c r="B104" s="222" t="str">
        <f t="shared" si="38"/>
        <v>Módosított előirányzat 2023.09.hó</v>
      </c>
      <c r="C104" s="238">
        <f>SUM('2.működés'!F118)</f>
        <v>7464</v>
      </c>
      <c r="D104" s="238">
        <f>SUM('9.Hivatal'!W26)</f>
        <v>26935</v>
      </c>
      <c r="E104" s="237">
        <f t="shared" si="39"/>
        <v>26935</v>
      </c>
      <c r="F104" s="237">
        <f t="shared" si="40"/>
        <v>34399</v>
      </c>
      <c r="G104" s="28"/>
    </row>
    <row r="105" spans="2:7" ht="13.5" hidden="1" customHeight="1" x14ac:dyDescent="0.2">
      <c r="B105" s="222" t="str">
        <f t="shared" si="38"/>
        <v>Beszámoló előtti ei.mód.</v>
      </c>
      <c r="C105" s="238"/>
      <c r="D105" s="238"/>
      <c r="E105" s="237">
        <f t="shared" si="39"/>
        <v>0</v>
      </c>
      <c r="F105" s="237">
        <f t="shared" si="40"/>
        <v>0</v>
      </c>
      <c r="G105" s="28"/>
    </row>
    <row r="106" spans="2:7" hidden="1" x14ac:dyDescent="0.2">
      <c r="B106" s="222" t="str">
        <f t="shared" si="38"/>
        <v>Teljesítés 2021.12.31.</v>
      </c>
      <c r="C106" s="238">
        <f>SUM('2.működés'!H118)</f>
        <v>6431</v>
      </c>
      <c r="D106" s="238">
        <f>SUM('9.Hivatal'!Y26)</f>
        <v>27450</v>
      </c>
      <c r="E106" s="237">
        <f t="shared" si="39"/>
        <v>27450</v>
      </c>
      <c r="F106" s="237">
        <f t="shared" si="40"/>
        <v>33881</v>
      </c>
      <c r="G106" s="28"/>
    </row>
    <row r="107" spans="2:7" ht="13.5" customHeight="1" x14ac:dyDescent="0.2">
      <c r="B107" s="273" t="s">
        <v>39</v>
      </c>
      <c r="C107" s="238"/>
      <c r="D107" s="238"/>
      <c r="E107" s="237"/>
      <c r="F107" s="237"/>
      <c r="G107" s="28"/>
    </row>
    <row r="108" spans="2:7" ht="13.5" customHeight="1" x14ac:dyDescent="0.2">
      <c r="B108" s="222" t="str">
        <f t="shared" ref="B108:B113" si="41">B101</f>
        <v>2023. évi eredeti előirányzat</v>
      </c>
      <c r="C108" s="238">
        <f>SUM('2.működés'!C121)</f>
        <v>443776</v>
      </c>
      <c r="D108" s="238">
        <f>SUM('9.Hivatal'!T73)</f>
        <v>36759</v>
      </c>
      <c r="E108" s="237">
        <f t="shared" ref="E108:E113" si="42">SUM(D108)</f>
        <v>36759</v>
      </c>
      <c r="F108" s="237">
        <f t="shared" ref="F108:F113" si="43">SUM(C108+E108)</f>
        <v>480535</v>
      </c>
      <c r="G108" s="28"/>
    </row>
    <row r="109" spans="2:7" ht="13.5" customHeight="1" x14ac:dyDescent="0.2">
      <c r="B109" s="222" t="str">
        <f t="shared" si="41"/>
        <v>Módosított előirányzat 2023.06.hó</v>
      </c>
      <c r="C109" s="238">
        <f>SUM('2.működés'!D121)</f>
        <v>504351</v>
      </c>
      <c r="D109" s="238">
        <f>SUM('9.Hivatal'!U73)</f>
        <v>36815</v>
      </c>
      <c r="E109" s="237">
        <f t="shared" si="42"/>
        <v>36815</v>
      </c>
      <c r="F109" s="237">
        <f t="shared" si="43"/>
        <v>541166</v>
      </c>
      <c r="G109" s="28"/>
    </row>
    <row r="110" spans="2:7" ht="13.5" hidden="1" customHeight="1" x14ac:dyDescent="0.2">
      <c r="B110" s="222" t="str">
        <f t="shared" si="41"/>
        <v>Módosított előirányzat 2023.07.hó</v>
      </c>
      <c r="C110" s="238">
        <f>SUM('2.működés'!E121)</f>
        <v>504351</v>
      </c>
      <c r="D110" s="238">
        <f>SUM('9.Hivatal'!V73)</f>
        <v>36815</v>
      </c>
      <c r="E110" s="237">
        <f t="shared" si="42"/>
        <v>36815</v>
      </c>
      <c r="F110" s="237">
        <f t="shared" si="43"/>
        <v>541166</v>
      </c>
      <c r="G110" s="28"/>
    </row>
    <row r="111" spans="2:7" ht="13.5" customHeight="1" x14ac:dyDescent="0.2">
      <c r="B111" s="222" t="str">
        <f t="shared" si="41"/>
        <v>Módosított előirányzat 2023.09.hó</v>
      </c>
      <c r="C111" s="238">
        <f>SUM('2.működés'!F121)</f>
        <v>512670</v>
      </c>
      <c r="D111" s="238">
        <f>SUM('9.Hivatal'!W73)</f>
        <v>43252</v>
      </c>
      <c r="E111" s="237">
        <f t="shared" si="42"/>
        <v>43252</v>
      </c>
      <c r="F111" s="237">
        <f t="shared" si="43"/>
        <v>555922</v>
      </c>
      <c r="G111" s="28"/>
    </row>
    <row r="112" spans="2:7" ht="13.5" hidden="1" customHeight="1" x14ac:dyDescent="0.2">
      <c r="B112" s="222" t="str">
        <f t="shared" si="41"/>
        <v>Beszámoló előtti ei.mód.</v>
      </c>
      <c r="C112" s="238"/>
      <c r="D112" s="238"/>
      <c r="E112" s="237">
        <f t="shared" si="42"/>
        <v>0</v>
      </c>
      <c r="F112" s="237">
        <f t="shared" si="43"/>
        <v>0</v>
      </c>
      <c r="G112" s="28"/>
    </row>
    <row r="113" spans="2:7" hidden="1" x14ac:dyDescent="0.2">
      <c r="B113" s="222" t="str">
        <f t="shared" si="41"/>
        <v>Teljesítés 2021.12.31.</v>
      </c>
      <c r="C113" s="238">
        <f>SUM('2.működés'!H121)</f>
        <v>120942</v>
      </c>
      <c r="D113" s="238">
        <f>SUM('9.Hivatal'!Y73)</f>
        <v>18336</v>
      </c>
      <c r="E113" s="237">
        <f t="shared" si="42"/>
        <v>18336</v>
      </c>
      <c r="F113" s="237">
        <f t="shared" si="43"/>
        <v>139278</v>
      </c>
      <c r="G113" s="28"/>
    </row>
    <row r="114" spans="2:7" ht="25.5" customHeight="1" x14ac:dyDescent="0.2">
      <c r="B114" s="274" t="s">
        <v>356</v>
      </c>
      <c r="C114" s="238"/>
      <c r="D114" s="238"/>
      <c r="E114" s="237"/>
      <c r="F114" s="237"/>
      <c r="G114" s="28"/>
    </row>
    <row r="115" spans="2:7" ht="13.5" customHeight="1" x14ac:dyDescent="0.2">
      <c r="B115" s="222" t="str">
        <f t="shared" ref="B115:B120" si="44">B108</f>
        <v>2023. évi eredeti előirányzat</v>
      </c>
      <c r="C115" s="238">
        <f>SUM('3.felh'!C45+'3.felh'!C66)</f>
        <v>449540</v>
      </c>
      <c r="D115" s="238">
        <f>SUM('9.Hivatal'!T77)</f>
        <v>1000</v>
      </c>
      <c r="E115" s="237">
        <f t="shared" ref="E115:E120" si="45">SUM(D115)</f>
        <v>1000</v>
      </c>
      <c r="F115" s="237">
        <f t="shared" ref="F115:F120" si="46">SUM(C115+E115)</f>
        <v>450540</v>
      </c>
      <c r="G115" s="28"/>
    </row>
    <row r="116" spans="2:7" ht="13.5" customHeight="1" x14ac:dyDescent="0.2">
      <c r="B116" s="222" t="str">
        <f t="shared" si="44"/>
        <v>Módosított előirányzat 2023.06.hó</v>
      </c>
      <c r="C116" s="238">
        <f>SUM('3.felh'!D45+'3.felh'!D66)+'3.felh'!D83</f>
        <v>795778</v>
      </c>
      <c r="D116" s="238">
        <f>SUM('9.Hivatal'!U77)</f>
        <v>1000</v>
      </c>
      <c r="E116" s="237">
        <f t="shared" si="45"/>
        <v>1000</v>
      </c>
      <c r="F116" s="237">
        <f t="shared" si="46"/>
        <v>796778</v>
      </c>
      <c r="G116" s="28"/>
    </row>
    <row r="117" spans="2:7" ht="13.5" hidden="1" customHeight="1" x14ac:dyDescent="0.2">
      <c r="B117" s="222" t="str">
        <f t="shared" si="44"/>
        <v>Módosított előirányzat 2023.07.hó</v>
      </c>
      <c r="C117" s="238">
        <f>SUM('3.felh'!E45+'3.felh'!E66)+'3.felh'!E83</f>
        <v>795778</v>
      </c>
      <c r="D117" s="238">
        <f>SUM('9.Hivatal'!V77)</f>
        <v>1000</v>
      </c>
      <c r="E117" s="237">
        <f t="shared" si="45"/>
        <v>1000</v>
      </c>
      <c r="F117" s="237">
        <f t="shared" si="46"/>
        <v>796778</v>
      </c>
      <c r="G117" s="28"/>
    </row>
    <row r="118" spans="2:7" ht="13.5" customHeight="1" x14ac:dyDescent="0.2">
      <c r="B118" s="222" t="str">
        <f t="shared" si="44"/>
        <v>Módosított előirányzat 2023.09.hó</v>
      </c>
      <c r="C118" s="238">
        <f>SUM('3.felh'!F45+'3.felh'!F66)+'3.felh'!F83</f>
        <v>1019916</v>
      </c>
      <c r="D118" s="238">
        <f>SUM('9.Hivatal'!W77)</f>
        <v>3000</v>
      </c>
      <c r="E118" s="237">
        <f t="shared" si="45"/>
        <v>3000</v>
      </c>
      <c r="F118" s="237">
        <f t="shared" si="46"/>
        <v>1022916</v>
      </c>
      <c r="G118" s="28"/>
    </row>
    <row r="119" spans="2:7" ht="13.5" hidden="1" customHeight="1" x14ac:dyDescent="0.2">
      <c r="B119" s="222" t="str">
        <f t="shared" si="44"/>
        <v>Beszámoló előtti ei.mód.</v>
      </c>
      <c r="C119" s="238"/>
      <c r="D119" s="238"/>
      <c r="E119" s="237">
        <f t="shared" si="45"/>
        <v>0</v>
      </c>
      <c r="F119" s="237">
        <f t="shared" si="46"/>
        <v>0</v>
      </c>
      <c r="G119" s="28"/>
    </row>
    <row r="120" spans="2:7" hidden="1" x14ac:dyDescent="0.2">
      <c r="B120" s="222" t="str">
        <f t="shared" si="44"/>
        <v>Teljesítés 2021.12.31.</v>
      </c>
      <c r="C120" s="238">
        <f>SUM('3.felh'!H45+'3.felh'!H66)</f>
        <v>549540</v>
      </c>
      <c r="D120" s="238">
        <f>SUM('9.Hivatal'!Y77)</f>
        <v>1000</v>
      </c>
      <c r="E120" s="237">
        <f t="shared" si="45"/>
        <v>1000</v>
      </c>
      <c r="F120" s="237">
        <f t="shared" si="46"/>
        <v>550540</v>
      </c>
      <c r="G120" s="28"/>
    </row>
    <row r="121" spans="2:7" ht="13.5" customHeight="1" x14ac:dyDescent="0.2">
      <c r="B121" s="272" t="s">
        <v>440</v>
      </c>
      <c r="C121" s="238"/>
      <c r="D121" s="238"/>
      <c r="E121" s="237"/>
      <c r="F121" s="237"/>
      <c r="G121" s="28"/>
    </row>
    <row r="122" spans="2:7" ht="13.5" customHeight="1" x14ac:dyDescent="0.2">
      <c r="B122" s="222" t="str">
        <f t="shared" ref="B122:B127" si="47">B115</f>
        <v>2023. évi eredeti előirányzat</v>
      </c>
      <c r="C122" s="238">
        <f>SUM('8.Önk.'!BK93)</f>
        <v>11500</v>
      </c>
      <c r="D122" s="238"/>
      <c r="E122" s="237">
        <f t="shared" ref="E122" si="48">SUM(D122)</f>
        <v>0</v>
      </c>
      <c r="F122" s="237">
        <f t="shared" ref="F122:F127" si="49">SUM(C122)</f>
        <v>11500</v>
      </c>
      <c r="G122" s="28"/>
    </row>
    <row r="123" spans="2:7" ht="13.5" customHeight="1" x14ac:dyDescent="0.2">
      <c r="B123" s="222" t="str">
        <f t="shared" si="47"/>
        <v>Módosított előirányzat 2023.06.hó</v>
      </c>
      <c r="C123" s="238">
        <f>SUM('8.Önk.'!BL93)</f>
        <v>11500</v>
      </c>
      <c r="D123" s="238"/>
      <c r="E123" s="237"/>
      <c r="F123" s="237">
        <f t="shared" si="49"/>
        <v>11500</v>
      </c>
      <c r="G123" s="28"/>
    </row>
    <row r="124" spans="2:7" ht="13.5" hidden="1" customHeight="1" x14ac:dyDescent="0.2">
      <c r="B124" s="222" t="str">
        <f t="shared" si="47"/>
        <v>Módosított előirányzat 2023.07.hó</v>
      </c>
      <c r="C124" s="238">
        <f>SUM('8.Önk.'!BM93)</f>
        <v>11500</v>
      </c>
      <c r="D124" s="238"/>
      <c r="E124" s="237"/>
      <c r="F124" s="237">
        <f t="shared" si="49"/>
        <v>11500</v>
      </c>
      <c r="G124" s="28"/>
    </row>
    <row r="125" spans="2:7" ht="13.5" customHeight="1" x14ac:dyDescent="0.2">
      <c r="B125" s="222" t="str">
        <f t="shared" si="47"/>
        <v>Módosított előirányzat 2023.09.hó</v>
      </c>
      <c r="C125" s="238">
        <f>SUM('8.Önk.'!BN93)</f>
        <v>11500</v>
      </c>
      <c r="D125" s="238"/>
      <c r="E125" s="237"/>
      <c r="F125" s="237">
        <f t="shared" si="49"/>
        <v>11500</v>
      </c>
      <c r="G125" s="28"/>
    </row>
    <row r="126" spans="2:7" ht="13.5" hidden="1" customHeight="1" x14ac:dyDescent="0.2">
      <c r="B126" s="222" t="str">
        <f t="shared" si="47"/>
        <v>Beszámoló előtti ei.mód.</v>
      </c>
      <c r="C126" s="238"/>
      <c r="D126" s="238"/>
      <c r="E126" s="237"/>
      <c r="F126" s="237">
        <f t="shared" si="49"/>
        <v>0</v>
      </c>
      <c r="G126" s="28"/>
    </row>
    <row r="127" spans="2:7" hidden="1" x14ac:dyDescent="0.2">
      <c r="B127" s="222" t="str">
        <f t="shared" si="47"/>
        <v>Teljesítés 2021.12.31.</v>
      </c>
      <c r="C127" s="238">
        <f>SUM('8.Önk.'!BP93)</f>
        <v>300</v>
      </c>
      <c r="D127" s="238"/>
      <c r="E127" s="237"/>
      <c r="F127" s="237">
        <f t="shared" si="49"/>
        <v>300</v>
      </c>
      <c r="G127" s="28"/>
    </row>
    <row r="128" spans="2:7" ht="13.5" customHeight="1" x14ac:dyDescent="0.2">
      <c r="B128" s="273" t="s">
        <v>40</v>
      </c>
      <c r="C128" s="238"/>
      <c r="D128" s="238"/>
      <c r="E128" s="237"/>
      <c r="F128" s="237"/>
      <c r="G128" s="28"/>
    </row>
    <row r="129" spans="2:7" ht="13.5" customHeight="1" x14ac:dyDescent="0.2">
      <c r="B129" s="222" t="str">
        <f t="shared" ref="B129:B134" si="50">B122</f>
        <v>2023. évi eredeti előirányzat</v>
      </c>
      <c r="C129" s="238">
        <f>SUM('4. Átadott p.eszk.'!B67)</f>
        <v>496283</v>
      </c>
      <c r="D129" s="238"/>
      <c r="E129" s="237">
        <f t="shared" ref="E129:E136" si="51">SUM(D129)</f>
        <v>0</v>
      </c>
      <c r="F129" s="237">
        <f t="shared" ref="F129:F134" si="52">SUM(C129+E129)</f>
        <v>496283</v>
      </c>
      <c r="G129" s="28"/>
    </row>
    <row r="130" spans="2:7" ht="13.5" customHeight="1" x14ac:dyDescent="0.2">
      <c r="B130" s="222" t="str">
        <f t="shared" si="50"/>
        <v>Módosított előirányzat 2023.06.hó</v>
      </c>
      <c r="C130" s="238">
        <f>SUM('4. Átadott p.eszk.'!C67)</f>
        <v>516269</v>
      </c>
      <c r="D130" s="238">
        <f>'9.Hivatal'!U75</f>
        <v>0</v>
      </c>
      <c r="E130" s="237">
        <f t="shared" si="51"/>
        <v>0</v>
      </c>
      <c r="F130" s="237">
        <f t="shared" si="52"/>
        <v>516269</v>
      </c>
      <c r="G130" s="28"/>
    </row>
    <row r="131" spans="2:7" ht="13.5" hidden="1" customHeight="1" x14ac:dyDescent="0.2">
      <c r="B131" s="222" t="str">
        <f t="shared" si="50"/>
        <v>Módosított előirányzat 2023.07.hó</v>
      </c>
      <c r="C131" s="238">
        <f>SUM('4. Átadott p.eszk.'!D67)</f>
        <v>516269</v>
      </c>
      <c r="D131" s="238">
        <f>'9.Hivatal'!V75</f>
        <v>0</v>
      </c>
      <c r="E131" s="237">
        <f t="shared" si="51"/>
        <v>0</v>
      </c>
      <c r="F131" s="237">
        <f t="shared" si="52"/>
        <v>516269</v>
      </c>
      <c r="G131" s="28"/>
    </row>
    <row r="132" spans="2:7" ht="13.5" customHeight="1" x14ac:dyDescent="0.2">
      <c r="B132" s="222" t="str">
        <f t="shared" si="50"/>
        <v>Módosított előirányzat 2023.09.hó</v>
      </c>
      <c r="C132" s="238">
        <f>SUM('4. Átadott p.eszk.'!E67)</f>
        <v>542862</v>
      </c>
      <c r="D132" s="238">
        <f>'9.Hivatal'!W75</f>
        <v>0</v>
      </c>
      <c r="E132" s="237">
        <f t="shared" si="51"/>
        <v>0</v>
      </c>
      <c r="F132" s="237">
        <f t="shared" si="52"/>
        <v>542862</v>
      </c>
      <c r="G132" s="28"/>
    </row>
    <row r="133" spans="2:7" ht="13.5" hidden="1" customHeight="1" x14ac:dyDescent="0.2">
      <c r="B133" s="222" t="str">
        <f t="shared" si="50"/>
        <v>Beszámoló előtti ei.mód.</v>
      </c>
      <c r="C133" s="238"/>
      <c r="D133" s="238"/>
      <c r="E133" s="237">
        <f t="shared" si="51"/>
        <v>0</v>
      </c>
      <c r="F133" s="237">
        <f t="shared" si="52"/>
        <v>0</v>
      </c>
      <c r="G133" s="28"/>
    </row>
    <row r="134" spans="2:7" hidden="1" x14ac:dyDescent="0.2">
      <c r="B134" s="222" t="str">
        <f t="shared" si="50"/>
        <v>Teljesítés 2021.12.31.</v>
      </c>
      <c r="C134" s="238" t="e">
        <f>SUM('4. Átadott p.eszk.'!G67)</f>
        <v>#REF!</v>
      </c>
      <c r="D134" s="238">
        <f>'9.Hivatal'!Y75</f>
        <v>0</v>
      </c>
      <c r="E134" s="237">
        <f t="shared" si="51"/>
        <v>0</v>
      </c>
      <c r="F134" s="237" t="e">
        <f t="shared" si="52"/>
        <v>#REF!</v>
      </c>
      <c r="G134" s="28"/>
    </row>
    <row r="135" spans="2:7" ht="13.5" customHeight="1" x14ac:dyDescent="0.2">
      <c r="B135" s="273" t="s">
        <v>57</v>
      </c>
      <c r="C135" s="238"/>
      <c r="D135" s="238"/>
      <c r="E135" s="237"/>
      <c r="F135" s="237"/>
      <c r="G135" s="28"/>
    </row>
    <row r="136" spans="2:7" ht="13.5" customHeight="1" x14ac:dyDescent="0.2">
      <c r="B136" s="222" t="str">
        <f t="shared" ref="B136:B141" si="53">B129</f>
        <v>2023. évi eredeti előirányzat</v>
      </c>
      <c r="C136" s="238">
        <f>SUM('1.Bev-kiad.'!C78+-'7.finanszírozás.'!F72)</f>
        <v>280065</v>
      </c>
      <c r="D136" s="238"/>
      <c r="E136" s="237">
        <f t="shared" si="51"/>
        <v>0</v>
      </c>
      <c r="F136" s="237">
        <f t="shared" ref="F136:F141" si="54">SUM(C136)</f>
        <v>280065</v>
      </c>
      <c r="G136" s="28"/>
    </row>
    <row r="137" spans="2:7" ht="13.5" customHeight="1" x14ac:dyDescent="0.2">
      <c r="B137" s="222" t="str">
        <f t="shared" si="53"/>
        <v>Módosított előirányzat 2023.06.hó</v>
      </c>
      <c r="C137" s="238">
        <f>SUM('1.Bev-kiad.'!D78+-'7.finanszírozás.'!F73)</f>
        <v>280065</v>
      </c>
      <c r="D137" s="238"/>
      <c r="E137" s="237"/>
      <c r="F137" s="237">
        <f t="shared" si="54"/>
        <v>280065</v>
      </c>
      <c r="G137" s="28"/>
    </row>
    <row r="138" spans="2:7" ht="13.5" hidden="1" customHeight="1" x14ac:dyDescent="0.2">
      <c r="B138" s="222" t="str">
        <f t="shared" si="53"/>
        <v>Módosított előirányzat 2023.07.hó</v>
      </c>
      <c r="C138" s="238">
        <f>SUM('1.Bev-kiad.'!E78+-'7.finanszírozás.'!F74)</f>
        <v>280065</v>
      </c>
      <c r="D138" s="238"/>
      <c r="E138" s="237"/>
      <c r="F138" s="237">
        <f t="shared" si="54"/>
        <v>280065</v>
      </c>
      <c r="G138" s="28"/>
    </row>
    <row r="139" spans="2:7" ht="13.5" customHeight="1" x14ac:dyDescent="0.2">
      <c r="B139" s="222" t="str">
        <f t="shared" si="53"/>
        <v>Módosított előirányzat 2023.09.hó</v>
      </c>
      <c r="C139" s="238">
        <f>SUM('1.Bev-kiad.'!F78+-'7.finanszírozás.'!F75)</f>
        <v>288192</v>
      </c>
      <c r="D139" s="238"/>
      <c r="E139" s="237"/>
      <c r="F139" s="237">
        <f t="shared" si="54"/>
        <v>288192</v>
      </c>
      <c r="G139" s="28"/>
    </row>
    <row r="140" spans="2:7" ht="13.5" hidden="1" customHeight="1" x14ac:dyDescent="0.2">
      <c r="B140" s="222" t="str">
        <f t="shared" si="53"/>
        <v>Beszámoló előtti ei.mód.</v>
      </c>
      <c r="C140" s="238"/>
      <c r="D140" s="238"/>
      <c r="E140" s="237"/>
      <c r="F140" s="237">
        <f t="shared" si="54"/>
        <v>0</v>
      </c>
      <c r="G140" s="28"/>
    </row>
    <row r="141" spans="2:7" hidden="1" x14ac:dyDescent="0.2">
      <c r="B141" s="222" t="str">
        <f t="shared" si="53"/>
        <v>Teljesítés 2021.12.31.</v>
      </c>
      <c r="C141" s="238">
        <f>SUM('1.Bev-kiad.'!H78+-'7.finanszírozás.'!F77)</f>
        <v>222625</v>
      </c>
      <c r="D141" s="238"/>
      <c r="E141" s="237"/>
      <c r="F141" s="237">
        <f t="shared" si="54"/>
        <v>222625</v>
      </c>
      <c r="G141" s="28"/>
    </row>
    <row r="142" spans="2:7" ht="13.5" customHeight="1" x14ac:dyDescent="0.2">
      <c r="B142" s="272" t="s">
        <v>357</v>
      </c>
      <c r="C142" s="238"/>
      <c r="D142" s="238"/>
      <c r="E142" s="237"/>
      <c r="F142" s="237"/>
      <c r="G142" s="28"/>
    </row>
    <row r="143" spans="2:7" ht="13.5" customHeight="1" x14ac:dyDescent="0.2">
      <c r="B143" s="222" t="str">
        <f t="shared" ref="B143:B148" si="55">B136</f>
        <v>2023. évi eredeti előirányzat</v>
      </c>
      <c r="C143" s="238">
        <f>SUM('1.Bev-kiad.'!C68+'1.Bev-kiad.'!C73)</f>
        <v>210392</v>
      </c>
      <c r="D143" s="238"/>
      <c r="E143" s="237">
        <f t="shared" ref="E143" si="56">SUM(D143)</f>
        <v>0</v>
      </c>
      <c r="F143" s="237">
        <f t="shared" ref="F143:F148" si="57">SUM(C143)</f>
        <v>210392</v>
      </c>
      <c r="G143" s="28"/>
    </row>
    <row r="144" spans="2:7" ht="13.5" customHeight="1" x14ac:dyDescent="0.2">
      <c r="B144" s="222" t="str">
        <f t="shared" si="55"/>
        <v>Módosított előirányzat 2023.06.hó</v>
      </c>
      <c r="C144" s="238">
        <f>SUM('1.Bev-kiad.'!D68+'1.Bev-kiad.'!D76)</f>
        <v>908566</v>
      </c>
      <c r="D144" s="238"/>
      <c r="E144" s="237"/>
      <c r="F144" s="237">
        <f t="shared" si="57"/>
        <v>908566</v>
      </c>
      <c r="G144" s="28"/>
    </row>
    <row r="145" spans="2:7" ht="13.5" hidden="1" customHeight="1" x14ac:dyDescent="0.2">
      <c r="B145" s="222" t="str">
        <f t="shared" si="55"/>
        <v>Módosított előirányzat 2023.07.hó</v>
      </c>
      <c r="C145" s="238">
        <f>SUM('1.Bev-kiad.'!E68+'1.Bev-kiad.'!E76)</f>
        <v>908566</v>
      </c>
      <c r="D145" s="238"/>
      <c r="E145" s="237"/>
      <c r="F145" s="237">
        <f t="shared" si="57"/>
        <v>908566</v>
      </c>
      <c r="G145" s="28"/>
    </row>
    <row r="146" spans="2:7" ht="13.5" customHeight="1" x14ac:dyDescent="0.2">
      <c r="B146" s="222" t="str">
        <f t="shared" si="55"/>
        <v>Módosított előirányzat 2023.09.hó</v>
      </c>
      <c r="C146" s="238">
        <f>SUM('1.Bev-kiad.'!F68+'1.Bev-kiad.'!F73)</f>
        <v>1202123</v>
      </c>
      <c r="D146" s="238"/>
      <c r="E146" s="237"/>
      <c r="F146" s="237">
        <f t="shared" si="57"/>
        <v>1202123</v>
      </c>
      <c r="G146" s="28"/>
    </row>
    <row r="147" spans="2:7" ht="13.5" hidden="1" customHeight="1" x14ac:dyDescent="0.2">
      <c r="B147" s="222" t="str">
        <f t="shared" si="55"/>
        <v>Beszámoló előtti ei.mód.</v>
      </c>
      <c r="C147" s="238"/>
      <c r="D147" s="238"/>
      <c r="E147" s="237"/>
      <c r="F147" s="237">
        <f t="shared" si="57"/>
        <v>0</v>
      </c>
      <c r="G147" s="28"/>
    </row>
    <row r="148" spans="2:7" hidden="1" x14ac:dyDescent="0.2">
      <c r="B148" s="222" t="str">
        <f t="shared" si="55"/>
        <v>Teljesítés 2021.12.31.</v>
      </c>
      <c r="C148" s="238">
        <f>SUM('1.Bev-kiad.'!H68+'1.Bev-kiad.'!H73)</f>
        <v>91565</v>
      </c>
      <c r="D148" s="238"/>
      <c r="E148" s="237"/>
      <c r="F148" s="237">
        <f t="shared" si="57"/>
        <v>91565</v>
      </c>
      <c r="G148" s="28"/>
    </row>
    <row r="149" spans="2:7" x14ac:dyDescent="0.2">
      <c r="C149" s="9"/>
      <c r="D149" s="9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301"/>
  <sheetViews>
    <sheetView zoomScale="80" zoomScaleNormal="80" zoomScaleSheetLayoutView="80" zoomScalePageLayoutView="80" workbookViewId="0">
      <selection activeCell="BN1" sqref="BN1:BN3"/>
    </sheetView>
  </sheetViews>
  <sheetFormatPr defaultRowHeight="12.75" x14ac:dyDescent="0.2"/>
  <cols>
    <col min="1" max="1" width="6" style="170" customWidth="1"/>
    <col min="2" max="2" width="54.85546875" customWidth="1"/>
    <col min="3" max="4" width="11" customWidth="1"/>
    <col min="5" max="5" width="11.5703125" hidden="1" customWidth="1"/>
    <col min="6" max="6" width="11.5703125" customWidth="1"/>
    <col min="7" max="8" width="11.5703125" hidden="1" customWidth="1"/>
    <col min="9" max="10" width="10.28515625" style="9" customWidth="1"/>
    <col min="11" max="11" width="9.140625" style="9" hidden="1" customWidth="1"/>
    <col min="12" max="12" width="10.140625" style="9" customWidth="1"/>
    <col min="13" max="13" width="10.140625" style="9" hidden="1" customWidth="1"/>
    <col min="14" max="14" width="10.140625" hidden="1" customWidth="1"/>
    <col min="15" max="16" width="10.140625" customWidth="1"/>
    <col min="17" max="17" width="8.85546875" hidden="1" customWidth="1"/>
    <col min="18" max="18" width="10.140625" customWidth="1"/>
    <col min="19" max="20" width="10.140625" hidden="1" customWidth="1"/>
    <col min="21" max="22" width="10" customWidth="1"/>
    <col min="23" max="23" width="8.85546875" hidden="1" customWidth="1"/>
    <col min="24" max="24" width="10.140625" customWidth="1"/>
    <col min="25" max="26" width="10.140625" hidden="1" customWidth="1"/>
    <col min="27" max="27" width="11.140625" customWidth="1"/>
    <col min="28" max="28" width="11.140625" hidden="1" customWidth="1"/>
    <col min="29" max="29" width="9.7109375" customWidth="1"/>
    <col min="30" max="30" width="10.140625" customWidth="1"/>
    <col min="31" max="32" width="10.140625" hidden="1" customWidth="1"/>
    <col min="33" max="33" width="9.42578125" customWidth="1"/>
    <col min="34" max="34" width="10.7109375" hidden="1" customWidth="1"/>
    <col min="35" max="35" width="8.28515625" customWidth="1"/>
    <col min="36" max="36" width="10.140625" customWidth="1"/>
    <col min="37" max="38" width="10.140625" hidden="1" customWidth="1"/>
    <col min="39" max="39" width="10" hidden="1" customWidth="1"/>
    <col min="40" max="41" width="8.85546875" hidden="1" customWidth="1"/>
    <col min="42" max="44" width="10.140625" hidden="1" customWidth="1"/>
    <col min="45" max="45" width="9.5703125" hidden="1" customWidth="1"/>
    <col min="46" max="47" width="8.7109375" hidden="1" customWidth="1"/>
    <col min="48" max="50" width="10.140625" hidden="1" customWidth="1"/>
    <col min="51" max="52" width="10.5703125" customWidth="1"/>
    <col min="53" max="53" width="8.7109375" hidden="1" customWidth="1"/>
    <col min="54" max="54" width="10.140625" customWidth="1"/>
    <col min="55" max="56" width="10.140625" hidden="1" customWidth="1"/>
    <col min="57" max="58" width="10.28515625" customWidth="1"/>
    <col min="59" max="59" width="8.7109375" hidden="1" customWidth="1"/>
    <col min="60" max="60" width="10.140625" customWidth="1"/>
    <col min="61" max="62" width="10.140625" hidden="1" customWidth="1"/>
    <col min="63" max="63" width="11.7109375" customWidth="1"/>
    <col min="64" max="64" width="11.7109375" hidden="1" customWidth="1"/>
    <col min="65" max="65" width="11.28515625" customWidth="1"/>
    <col min="66" max="66" width="11.7109375" customWidth="1"/>
    <col min="67" max="68" width="11.7109375" hidden="1" customWidth="1"/>
    <col min="69" max="69" width="7.140625" style="9" customWidth="1"/>
    <col min="70" max="70" width="4.5703125" customWidth="1"/>
    <col min="71" max="71" width="9.140625" customWidth="1"/>
  </cols>
  <sheetData>
    <row r="1" spans="1:70" x14ac:dyDescent="0.2">
      <c r="A1" s="279"/>
      <c r="B1" s="1"/>
      <c r="C1" s="58"/>
      <c r="D1" s="58"/>
      <c r="E1" s="58"/>
      <c r="F1" s="58"/>
      <c r="G1" s="58"/>
      <c r="H1" s="58"/>
      <c r="X1" s="112" t="s">
        <v>1379</v>
      </c>
      <c r="AC1" s="112"/>
      <c r="BN1" s="112"/>
      <c r="BP1" s="55"/>
    </row>
    <row r="2" spans="1:70" x14ac:dyDescent="0.2">
      <c r="A2" s="279"/>
      <c r="B2" s="1"/>
      <c r="C2" s="58"/>
      <c r="D2" s="58"/>
      <c r="E2" s="58"/>
      <c r="F2" s="58"/>
      <c r="G2" s="58"/>
      <c r="H2" s="58"/>
      <c r="X2" s="601" t="str">
        <f>'1.Bev-kiad.'!F2</f>
        <v>a 20/2023.(IX.29.) önkormányzati rendelethez</v>
      </c>
      <c r="AC2" s="601"/>
      <c r="BN2" s="601"/>
      <c r="BP2" s="55"/>
    </row>
    <row r="3" spans="1:70" x14ac:dyDescent="0.2">
      <c r="A3" s="279"/>
      <c r="B3" s="1"/>
      <c r="C3" s="58"/>
      <c r="D3" s="58"/>
      <c r="E3" s="58"/>
      <c r="F3" s="58"/>
      <c r="G3" s="58"/>
      <c r="H3" s="58"/>
      <c r="X3" s="112" t="s">
        <v>1317</v>
      </c>
      <c r="AB3" s="601"/>
      <c r="AC3" s="181"/>
      <c r="BN3" s="112"/>
      <c r="BP3" s="55"/>
    </row>
    <row r="4" spans="1:70" x14ac:dyDescent="0.2">
      <c r="A4" s="279"/>
      <c r="B4" s="1"/>
      <c r="C4" s="58"/>
      <c r="D4" s="58"/>
      <c r="E4" s="58"/>
      <c r="F4" s="58"/>
      <c r="G4" s="58"/>
      <c r="H4" s="58"/>
      <c r="X4" s="601"/>
      <c r="AB4" s="601"/>
      <c r="AC4" s="181"/>
      <c r="AH4" s="181"/>
      <c r="BP4" s="55"/>
    </row>
    <row r="5" spans="1:70" ht="15.75" x14ac:dyDescent="0.25">
      <c r="A5"/>
      <c r="B5" s="663"/>
      <c r="C5" s="810" t="s">
        <v>93</v>
      </c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810"/>
      <c r="AF5" s="810"/>
      <c r="AG5" s="810"/>
      <c r="AH5" s="810"/>
      <c r="AI5" s="810"/>
      <c r="AJ5" s="663"/>
      <c r="AK5" s="663"/>
      <c r="AL5" s="663"/>
      <c r="AM5" s="663"/>
      <c r="AN5" s="663"/>
      <c r="AO5" s="663"/>
      <c r="AP5" s="663"/>
      <c r="AQ5" s="663"/>
      <c r="AR5" s="663"/>
      <c r="AS5" s="663"/>
      <c r="AT5" s="663"/>
      <c r="AU5" s="663"/>
      <c r="AV5" s="663"/>
      <c r="AW5" s="663"/>
      <c r="AX5" s="663"/>
      <c r="AY5" s="663"/>
      <c r="AZ5" s="663"/>
      <c r="BA5" s="663"/>
      <c r="BB5" s="663"/>
      <c r="BC5" s="663"/>
      <c r="BD5" s="663"/>
      <c r="BE5" s="663"/>
      <c r="BF5" s="663"/>
      <c r="BG5" s="663"/>
      <c r="BH5" s="663"/>
      <c r="BI5" s="663"/>
      <c r="BJ5" s="663"/>
      <c r="BK5" s="663"/>
      <c r="BL5" s="663"/>
      <c r="BM5" s="663"/>
    </row>
    <row r="6" spans="1:70" ht="15.75" x14ac:dyDescent="0.25">
      <c r="A6"/>
      <c r="B6" s="663"/>
      <c r="C6" s="810" t="s">
        <v>1211</v>
      </c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810"/>
      <c r="AI6" s="810"/>
      <c r="AJ6" s="663"/>
      <c r="AK6" s="663"/>
      <c r="AL6" s="663"/>
      <c r="AM6" s="663"/>
      <c r="AN6" s="663"/>
      <c r="AO6" s="663"/>
      <c r="AP6" s="663"/>
      <c r="AQ6" s="663"/>
      <c r="AR6" s="663"/>
      <c r="AS6" s="663"/>
      <c r="AT6" s="663"/>
      <c r="AU6" s="663"/>
      <c r="AV6" s="663"/>
      <c r="AW6" s="663"/>
      <c r="AX6" s="663"/>
      <c r="AY6" s="663"/>
      <c r="AZ6" s="663"/>
      <c r="BA6" s="663"/>
      <c r="BB6" s="663"/>
      <c r="BC6" s="663"/>
      <c r="BD6" s="663"/>
      <c r="BE6" s="663"/>
      <c r="BF6" s="663"/>
      <c r="BG6" s="663"/>
      <c r="BH6" s="663"/>
      <c r="BI6" s="663"/>
      <c r="BJ6" s="663"/>
      <c r="BK6" s="663"/>
      <c r="BL6" s="663"/>
      <c r="BM6" s="663"/>
    </row>
    <row r="7" spans="1:70" ht="15.75" x14ac:dyDescent="0.25">
      <c r="A7"/>
      <c r="B7" s="663"/>
      <c r="C7" s="810" t="s">
        <v>314</v>
      </c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810"/>
      <c r="AF7" s="810"/>
      <c r="AG7" s="810"/>
      <c r="AH7" s="810"/>
      <c r="AI7" s="810"/>
      <c r="AJ7" s="663"/>
      <c r="AK7" s="663"/>
      <c r="AL7" s="663"/>
      <c r="AM7" s="663"/>
      <c r="AN7" s="663"/>
      <c r="AO7" s="663"/>
      <c r="AP7" s="663"/>
      <c r="AQ7" s="663"/>
      <c r="AR7" s="663"/>
      <c r="AS7" s="663"/>
      <c r="AT7" s="663"/>
      <c r="AU7" s="663"/>
      <c r="AV7" s="663"/>
      <c r="AW7" s="663"/>
      <c r="AX7" s="663"/>
      <c r="AY7" s="663"/>
      <c r="AZ7" s="663"/>
      <c r="BA7" s="663"/>
      <c r="BB7" s="663"/>
      <c r="BC7" s="663"/>
      <c r="BD7" s="663"/>
      <c r="BE7" s="663"/>
      <c r="BF7" s="663"/>
      <c r="BG7" s="663"/>
      <c r="BH7" s="663"/>
      <c r="BI7" s="663"/>
      <c r="BJ7" s="663"/>
      <c r="BK7" s="663"/>
      <c r="BL7" s="663"/>
      <c r="BM7" s="663"/>
    </row>
    <row r="8" spans="1:70" x14ac:dyDescent="0.2">
      <c r="B8" s="205">
        <v>27790</v>
      </c>
      <c r="C8" s="266"/>
      <c r="D8" s="266"/>
      <c r="E8" s="266"/>
      <c r="F8" s="266"/>
      <c r="G8" s="266"/>
      <c r="H8" s="266"/>
      <c r="I8" s="182"/>
      <c r="J8" s="182"/>
      <c r="K8" s="182"/>
      <c r="L8" s="182"/>
      <c r="M8" s="182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N8" s="10" t="s">
        <v>0</v>
      </c>
      <c r="BO8" s="56"/>
    </row>
    <row r="9" spans="1:70" ht="99.75" customHeight="1" x14ac:dyDescent="0.2">
      <c r="A9" s="804" t="s">
        <v>118</v>
      </c>
      <c r="B9" s="806" t="s">
        <v>29</v>
      </c>
      <c r="C9" s="807" t="s">
        <v>1214</v>
      </c>
      <c r="D9" s="808"/>
      <c r="E9" s="808"/>
      <c r="F9" s="808"/>
      <c r="G9" s="808"/>
      <c r="H9" s="809"/>
      <c r="I9" s="807" t="s">
        <v>970</v>
      </c>
      <c r="J9" s="808"/>
      <c r="K9" s="808"/>
      <c r="L9" s="808"/>
      <c r="M9" s="808"/>
      <c r="N9" s="808"/>
      <c r="O9" s="807" t="s">
        <v>117</v>
      </c>
      <c r="P9" s="808"/>
      <c r="Q9" s="808"/>
      <c r="R9" s="808"/>
      <c r="S9" s="808"/>
      <c r="T9" s="809"/>
      <c r="U9" s="807" t="s">
        <v>1215</v>
      </c>
      <c r="V9" s="808"/>
      <c r="W9" s="808"/>
      <c r="X9" s="808"/>
      <c r="Y9" s="808"/>
      <c r="Z9" s="808"/>
      <c r="AA9" s="807" t="s">
        <v>313</v>
      </c>
      <c r="AB9" s="808"/>
      <c r="AC9" s="808"/>
      <c r="AD9" s="808"/>
      <c r="AE9" s="808"/>
      <c r="AF9" s="809"/>
      <c r="AG9" s="807" t="s">
        <v>1212</v>
      </c>
      <c r="AH9" s="808"/>
      <c r="AI9" s="808"/>
      <c r="AJ9" s="808"/>
      <c r="AK9" s="808"/>
      <c r="AL9" s="809"/>
      <c r="AM9" s="807"/>
      <c r="AN9" s="808"/>
      <c r="AO9" s="808"/>
      <c r="AP9" s="808"/>
      <c r="AQ9" s="808"/>
      <c r="AR9" s="809"/>
      <c r="AS9" s="807"/>
      <c r="AT9" s="808"/>
      <c r="AU9" s="808"/>
      <c r="AV9" s="808"/>
      <c r="AW9" s="808"/>
      <c r="AX9" s="809"/>
      <c r="AY9" s="807" t="s">
        <v>1234</v>
      </c>
      <c r="AZ9" s="808"/>
      <c r="BA9" s="808"/>
      <c r="BB9" s="808"/>
      <c r="BC9" s="808"/>
      <c r="BD9" s="808"/>
      <c r="BE9" s="807" t="s">
        <v>1213</v>
      </c>
      <c r="BF9" s="808"/>
      <c r="BG9" s="808"/>
      <c r="BH9" s="808"/>
      <c r="BI9" s="808"/>
      <c r="BJ9" s="809"/>
      <c r="BK9" s="811" t="s">
        <v>32</v>
      </c>
      <c r="BL9" s="812"/>
      <c r="BM9" s="812"/>
      <c r="BN9" s="812"/>
      <c r="BO9" s="812"/>
      <c r="BP9" s="813"/>
    </row>
    <row r="10" spans="1:70" ht="21" customHeight="1" x14ac:dyDescent="0.2">
      <c r="A10" s="805"/>
      <c r="B10" s="805"/>
      <c r="C10" s="531" t="s">
        <v>1233</v>
      </c>
      <c r="D10" s="531" t="s">
        <v>1316</v>
      </c>
      <c r="E10" s="531" t="s">
        <v>1369</v>
      </c>
      <c r="F10" s="531" t="s">
        <v>1376</v>
      </c>
      <c r="G10" s="531"/>
      <c r="H10" s="531" t="s">
        <v>924</v>
      </c>
      <c r="I10" s="531" t="str">
        <f>C10</f>
        <v>2023. évi eredeti ei.</v>
      </c>
      <c r="J10" s="531" t="str">
        <f>D10</f>
        <v>mód.ei.          2023.06.hó</v>
      </c>
      <c r="K10" s="531" t="str">
        <f>E10</f>
        <v>mód.ei.          2023.07.hó</v>
      </c>
      <c r="L10" s="531" t="str">
        <f>F10</f>
        <v>mód.ei.          2023.09.hó</v>
      </c>
      <c r="M10" s="531"/>
      <c r="N10" s="531" t="str">
        <f>H10</f>
        <v>teljesítés 2021.12.31</v>
      </c>
      <c r="O10" s="531" t="str">
        <f>C10</f>
        <v>2023. évi eredeti ei.</v>
      </c>
      <c r="P10" s="531" t="str">
        <f>D10</f>
        <v>mód.ei.          2023.06.hó</v>
      </c>
      <c r="Q10" s="531" t="str">
        <f>E10</f>
        <v>mód.ei.          2023.07.hó</v>
      </c>
      <c r="R10" s="531" t="str">
        <f>F10</f>
        <v>mód.ei.          2023.09.hó</v>
      </c>
      <c r="S10" s="531"/>
      <c r="T10" s="531" t="str">
        <f>H10</f>
        <v>teljesítés 2021.12.31</v>
      </c>
      <c r="U10" s="531" t="str">
        <f>C10</f>
        <v>2023. évi eredeti ei.</v>
      </c>
      <c r="V10" s="531" t="str">
        <f>D10</f>
        <v>mód.ei.          2023.06.hó</v>
      </c>
      <c r="W10" s="531" t="str">
        <f>E10</f>
        <v>mód.ei.          2023.07.hó</v>
      </c>
      <c r="X10" s="531" t="str">
        <f t="shared" ref="X10:Z10" si="0">F10</f>
        <v>mód.ei.          2023.09.hó</v>
      </c>
      <c r="Y10" s="531">
        <f t="shared" si="0"/>
        <v>0</v>
      </c>
      <c r="Z10" s="531" t="str">
        <f t="shared" si="0"/>
        <v>teljesítés 2021.12.31</v>
      </c>
      <c r="AA10" s="531" t="str">
        <f>C10</f>
        <v>2023. évi eredeti ei.</v>
      </c>
      <c r="AB10" s="531" t="str">
        <f>D10</f>
        <v>mód.ei.          2023.06.hó</v>
      </c>
      <c r="AC10" s="531" t="str">
        <f>E10</f>
        <v>mód.ei.          2023.07.hó</v>
      </c>
      <c r="AD10" s="531" t="str">
        <f>F10</f>
        <v>mód.ei.          2023.09.hó</v>
      </c>
      <c r="AE10" s="531"/>
      <c r="AF10" s="531" t="str">
        <f>H10</f>
        <v>teljesítés 2021.12.31</v>
      </c>
      <c r="AG10" s="531" t="str">
        <f>C10</f>
        <v>2023. évi eredeti ei.</v>
      </c>
      <c r="AH10" s="531" t="str">
        <f>D10</f>
        <v>mód.ei.          2023.06.hó</v>
      </c>
      <c r="AI10" s="531" t="str">
        <f>E10</f>
        <v>mód.ei.          2023.07.hó</v>
      </c>
      <c r="AJ10" s="531" t="str">
        <f>F10</f>
        <v>mód.ei.          2023.09.hó</v>
      </c>
      <c r="AK10" s="531"/>
      <c r="AL10" s="531" t="str">
        <f>H10</f>
        <v>teljesítés 2021.12.31</v>
      </c>
      <c r="AM10" s="531" t="str">
        <f>C10</f>
        <v>2023. évi eredeti ei.</v>
      </c>
      <c r="AN10" s="531" t="str">
        <f>D10</f>
        <v>mód.ei.          2023.06.hó</v>
      </c>
      <c r="AO10" s="531" t="str">
        <f>E10</f>
        <v>mód.ei.          2023.07.hó</v>
      </c>
      <c r="AP10" s="531" t="str">
        <f>F10</f>
        <v>mód.ei.          2023.09.hó</v>
      </c>
      <c r="AQ10" s="531"/>
      <c r="AR10" s="531" t="str">
        <f>H10</f>
        <v>teljesítés 2021.12.31</v>
      </c>
      <c r="AS10" s="531" t="str">
        <f>C10</f>
        <v>2023. évi eredeti ei.</v>
      </c>
      <c r="AT10" s="531" t="str">
        <f>D10</f>
        <v>mód.ei.          2023.06.hó</v>
      </c>
      <c r="AU10" s="531" t="str">
        <f>E10</f>
        <v>mód.ei.          2023.07.hó</v>
      </c>
      <c r="AV10" s="531" t="str">
        <f>F10</f>
        <v>mód.ei.          2023.09.hó</v>
      </c>
      <c r="AW10" s="531"/>
      <c r="AX10" s="531" t="str">
        <f>H10</f>
        <v>teljesítés 2021.12.31</v>
      </c>
      <c r="AY10" s="531" t="str">
        <f>AG10</f>
        <v>2023. évi eredeti ei.</v>
      </c>
      <c r="AZ10" s="531" t="str">
        <f>AH10</f>
        <v>mód.ei.          2023.06.hó</v>
      </c>
      <c r="BA10" s="531" t="str">
        <f>AI10</f>
        <v>mód.ei.          2023.07.hó</v>
      </c>
      <c r="BB10" s="531" t="str">
        <f>AJ10</f>
        <v>mód.ei.          2023.09.hó</v>
      </c>
      <c r="BC10" s="531"/>
      <c r="BD10" s="531" t="str">
        <f>AL10</f>
        <v>teljesítés 2021.12.31</v>
      </c>
      <c r="BE10" s="531" t="str">
        <f>C10</f>
        <v>2023. évi eredeti ei.</v>
      </c>
      <c r="BF10" s="531" t="str">
        <f>D10</f>
        <v>mód.ei.          2023.06.hó</v>
      </c>
      <c r="BG10" s="531" t="str">
        <f>E10</f>
        <v>mód.ei.          2023.07.hó</v>
      </c>
      <c r="BH10" s="531" t="str">
        <f>F10</f>
        <v>mód.ei.          2023.09.hó</v>
      </c>
      <c r="BI10" s="531"/>
      <c r="BJ10" s="531" t="str">
        <f>H10</f>
        <v>teljesítés 2021.12.31</v>
      </c>
      <c r="BK10" s="550" t="str">
        <f>C10</f>
        <v>2023. évi eredeti ei.</v>
      </c>
      <c r="BL10" s="550" t="str">
        <f>D10</f>
        <v>mód.ei.          2023.06.hó</v>
      </c>
      <c r="BM10" s="550" t="str">
        <f>E10</f>
        <v>mód.ei.          2023.07.hó</v>
      </c>
      <c r="BN10" s="550" t="str">
        <f>F10</f>
        <v>mód.ei.          2023.09.hó</v>
      </c>
      <c r="BO10" s="550"/>
      <c r="BP10" s="550" t="str">
        <f>H10</f>
        <v>teljesítés 2021.12.31</v>
      </c>
      <c r="BQ10" s="314"/>
    </row>
    <row r="11" spans="1:70" x14ac:dyDescent="0.2">
      <c r="A11" s="280" t="s">
        <v>294</v>
      </c>
      <c r="B11" s="16" t="s">
        <v>295</v>
      </c>
      <c r="C11" s="259">
        <f t="shared" ref="C11:AN11" si="1">SUM(C12:C18)</f>
        <v>0</v>
      </c>
      <c r="D11" s="259">
        <f t="shared" ref="D11" si="2">SUM(D12:D18)</f>
        <v>0</v>
      </c>
      <c r="E11" s="259">
        <f t="shared" ref="E11:F11" si="3">SUM(E12:E18)</f>
        <v>0</v>
      </c>
      <c r="F11" s="259">
        <f t="shared" si="3"/>
        <v>0</v>
      </c>
      <c r="G11" s="259"/>
      <c r="H11" s="259">
        <f t="shared" si="1"/>
        <v>0</v>
      </c>
      <c r="I11" s="259">
        <f t="shared" si="1"/>
        <v>10912</v>
      </c>
      <c r="J11" s="259">
        <f t="shared" ref="J11" si="4">SUM(J12:J18)</f>
        <v>10912</v>
      </c>
      <c r="K11" s="259">
        <f t="shared" ref="K11:L11" si="5">SUM(K12:K18)</f>
        <v>10912</v>
      </c>
      <c r="L11" s="259">
        <f t="shared" si="5"/>
        <v>10912</v>
      </c>
      <c r="M11" s="259"/>
      <c r="N11" s="259">
        <f t="shared" ref="N11" si="6">SUM(N12:N18)</f>
        <v>9612</v>
      </c>
      <c r="O11" s="259">
        <f t="shared" si="1"/>
        <v>0</v>
      </c>
      <c r="P11" s="259">
        <f t="shared" si="1"/>
        <v>0</v>
      </c>
      <c r="Q11" s="259">
        <f t="shared" ref="Q11:R11" si="7">SUM(Q12:Q18)</f>
        <v>0</v>
      </c>
      <c r="R11" s="259">
        <f t="shared" si="7"/>
        <v>0</v>
      </c>
      <c r="S11" s="259"/>
      <c r="T11" s="259">
        <f t="shared" si="1"/>
        <v>0</v>
      </c>
      <c r="U11" s="259">
        <f t="shared" ref="U11:V11" si="8">SUM(U12:U18)</f>
        <v>0</v>
      </c>
      <c r="V11" s="259">
        <f t="shared" si="8"/>
        <v>0</v>
      </c>
      <c r="W11" s="259">
        <f t="shared" ref="W11:X11" si="9">SUM(W12:W18)</f>
        <v>0</v>
      </c>
      <c r="X11" s="259">
        <f t="shared" si="9"/>
        <v>0</v>
      </c>
      <c r="Y11" s="259"/>
      <c r="Z11" s="259"/>
      <c r="AA11" s="259">
        <f t="shared" si="1"/>
        <v>12663</v>
      </c>
      <c r="AB11" s="259">
        <f t="shared" ref="AB11" si="10">SUM(AB12:AB18)</f>
        <v>12663</v>
      </c>
      <c r="AC11" s="259">
        <f t="shared" ref="AC11:AF11" si="11">SUM(AC12:AC18)</f>
        <v>12663</v>
      </c>
      <c r="AD11" s="259">
        <f t="shared" ref="AD11" si="12">SUM(AD12:AD18)</f>
        <v>12663</v>
      </c>
      <c r="AE11" s="259"/>
      <c r="AF11" s="259">
        <f t="shared" si="11"/>
        <v>11356</v>
      </c>
      <c r="AG11" s="259">
        <f t="shared" si="1"/>
        <v>2372</v>
      </c>
      <c r="AH11" s="259">
        <f t="shared" ref="AH11:AI11" si="13">SUM(AH12:AH18)</f>
        <v>2372</v>
      </c>
      <c r="AI11" s="259">
        <f t="shared" si="13"/>
        <v>2372</v>
      </c>
      <c r="AJ11" s="259">
        <f t="shared" ref="AJ11" si="14">SUM(AJ12:AJ18)</f>
        <v>2372</v>
      </c>
      <c r="AK11" s="259"/>
      <c r="AL11" s="259">
        <f t="shared" ref="AL11" si="15">SUM(AL12:AL18)</f>
        <v>2007</v>
      </c>
      <c r="AM11" s="259">
        <f t="shared" si="1"/>
        <v>0</v>
      </c>
      <c r="AN11" s="259">
        <f t="shared" si="1"/>
        <v>0</v>
      </c>
      <c r="AO11" s="259">
        <f t="shared" ref="AO11:BE11" si="16">SUM(AO12:AO18)</f>
        <v>0</v>
      </c>
      <c r="AP11" s="259">
        <f t="shared" si="16"/>
        <v>0</v>
      </c>
      <c r="AQ11" s="259"/>
      <c r="AR11" s="259">
        <f t="shared" si="16"/>
        <v>0</v>
      </c>
      <c r="AS11" s="259">
        <f t="shared" si="16"/>
        <v>0</v>
      </c>
      <c r="AT11" s="259">
        <f t="shared" si="16"/>
        <v>0</v>
      </c>
      <c r="AU11" s="259">
        <f t="shared" si="16"/>
        <v>0</v>
      </c>
      <c r="AV11" s="259">
        <f t="shared" si="16"/>
        <v>0</v>
      </c>
      <c r="AW11" s="259"/>
      <c r="AX11" s="259">
        <f t="shared" si="16"/>
        <v>0</v>
      </c>
      <c r="AY11" s="259">
        <f t="shared" ref="AY11" si="17">SUM(AY12:AY18)</f>
        <v>0</v>
      </c>
      <c r="AZ11" s="259">
        <f t="shared" ref="AZ11:BD11" si="18">SUM(AZ12:AZ18)</f>
        <v>0</v>
      </c>
      <c r="BA11" s="259">
        <f t="shared" si="18"/>
        <v>0</v>
      </c>
      <c r="BB11" s="259">
        <f t="shared" si="18"/>
        <v>0</v>
      </c>
      <c r="BC11" s="259"/>
      <c r="BD11" s="259">
        <f t="shared" si="18"/>
        <v>0</v>
      </c>
      <c r="BE11" s="259">
        <f t="shared" si="16"/>
        <v>4773</v>
      </c>
      <c r="BF11" s="259">
        <f t="shared" ref="BF11:BG11" si="19">SUM(BF12:BF18)</f>
        <v>4773</v>
      </c>
      <c r="BG11" s="259">
        <f t="shared" si="19"/>
        <v>4773</v>
      </c>
      <c r="BH11" s="259">
        <f t="shared" ref="BH11" si="20">SUM(BH12:BH18)</f>
        <v>4773</v>
      </c>
      <c r="BI11" s="259"/>
      <c r="BJ11" s="259">
        <f t="shared" ref="BJ11" si="21">SUM(BJ12:BJ18)</f>
        <v>4286</v>
      </c>
      <c r="BK11" s="292">
        <f t="shared" ref="BK11:BK29" si="22">C11+I11+O11+U11+AA11+AG11+AM11+AS11+AY11+BE11</f>
        <v>30720</v>
      </c>
      <c r="BL11" s="292">
        <f>D11+J11+P11+V11+AB11+AH11+AN11+AT11+AZ11+BF11</f>
        <v>30720</v>
      </c>
      <c r="BM11" s="292">
        <f t="shared" ref="BM11:BP26" si="23">E11+K11+Q11+W11+AC11+AI11+AO11+AU11+BA11+BG11</f>
        <v>30720</v>
      </c>
      <c r="BN11" s="292">
        <f t="shared" si="23"/>
        <v>30720</v>
      </c>
      <c r="BO11" s="292">
        <f t="shared" si="23"/>
        <v>0</v>
      </c>
      <c r="BP11" s="292">
        <f t="shared" si="23"/>
        <v>27261</v>
      </c>
      <c r="BQ11" s="316"/>
    </row>
    <row r="12" spans="1:70" x14ac:dyDescent="0.2">
      <c r="A12" s="60">
        <v>1101</v>
      </c>
      <c r="B12" s="52" t="s">
        <v>330</v>
      </c>
      <c r="C12" s="231"/>
      <c r="D12" s="231"/>
      <c r="E12" s="231"/>
      <c r="F12" s="231"/>
      <c r="G12" s="231"/>
      <c r="H12" s="231"/>
      <c r="I12" s="82">
        <v>10085</v>
      </c>
      <c r="J12" s="82">
        <v>10085</v>
      </c>
      <c r="K12" s="82">
        <v>10085</v>
      </c>
      <c r="L12" s="82">
        <v>10085</v>
      </c>
      <c r="M12" s="82"/>
      <c r="N12" s="82">
        <v>9120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>
        <v>11945</v>
      </c>
      <c r="AB12" s="82">
        <v>11945</v>
      </c>
      <c r="AC12" s="82">
        <v>11945</v>
      </c>
      <c r="AD12" s="82">
        <v>11945</v>
      </c>
      <c r="AE12" s="82"/>
      <c r="AF12" s="82">
        <v>10668</v>
      </c>
      <c r="AG12" s="82">
        <v>2088</v>
      </c>
      <c r="AH12" s="82">
        <v>2088</v>
      </c>
      <c r="AI12" s="82">
        <v>2088</v>
      </c>
      <c r="AJ12" s="82">
        <v>2088</v>
      </c>
      <c r="AK12" s="82"/>
      <c r="AL12" s="82">
        <v>1935</v>
      </c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>
        <v>4527</v>
      </c>
      <c r="BF12" s="82">
        <v>4527</v>
      </c>
      <c r="BG12" s="82">
        <v>4527</v>
      </c>
      <c r="BH12" s="82">
        <v>4527</v>
      </c>
      <c r="BI12" s="82"/>
      <c r="BJ12" s="82">
        <v>4090</v>
      </c>
      <c r="BK12" s="291">
        <f t="shared" si="22"/>
        <v>28645</v>
      </c>
      <c r="BL12" s="291">
        <f>D12+J12+P12+V12+AB12+AH12+AN12+AT12+AZ12+BF12</f>
        <v>28645</v>
      </c>
      <c r="BM12" s="291">
        <f t="shared" si="23"/>
        <v>28645</v>
      </c>
      <c r="BN12" s="291">
        <f t="shared" si="23"/>
        <v>28645</v>
      </c>
      <c r="BO12" s="291">
        <f t="shared" si="23"/>
        <v>0</v>
      </c>
      <c r="BP12" s="291">
        <f t="shared" si="23"/>
        <v>25813</v>
      </c>
      <c r="BQ12" s="316"/>
    </row>
    <row r="13" spans="1:70" x14ac:dyDescent="0.2">
      <c r="A13" s="60">
        <v>1104</v>
      </c>
      <c r="B13" s="8" t="s">
        <v>478</v>
      </c>
      <c r="C13" s="231"/>
      <c r="D13" s="231"/>
      <c r="E13" s="231"/>
      <c r="F13" s="231"/>
      <c r="G13" s="231"/>
      <c r="H13" s="23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>
        <v>130</v>
      </c>
      <c r="AB13" s="82">
        <v>130</v>
      </c>
      <c r="AC13" s="82">
        <v>130</v>
      </c>
      <c r="AD13" s="82">
        <v>130</v>
      </c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291">
        <f t="shared" ref="BK13:BK18" si="24">C13+I13+O13+U13+AA13+AG13+AM13+AS13+AY13+BE13</f>
        <v>130</v>
      </c>
      <c r="BL13" s="291">
        <f t="shared" ref="BL13:BL18" si="25">D13+J13+P13+V13+AB13+AH13+AN13+AT13+AZ13+BF13</f>
        <v>130</v>
      </c>
      <c r="BM13" s="291">
        <f t="shared" si="23"/>
        <v>130</v>
      </c>
      <c r="BN13" s="291">
        <f t="shared" si="23"/>
        <v>130</v>
      </c>
      <c r="BO13" s="291">
        <f t="shared" si="23"/>
        <v>0</v>
      </c>
      <c r="BP13" s="291">
        <f t="shared" si="23"/>
        <v>0</v>
      </c>
      <c r="BQ13" s="316"/>
    </row>
    <row r="14" spans="1:70" x14ac:dyDescent="0.2">
      <c r="A14" s="60">
        <v>1107</v>
      </c>
      <c r="B14" s="8" t="s">
        <v>33</v>
      </c>
      <c r="C14" s="8"/>
      <c r="D14" s="8"/>
      <c r="E14" s="8"/>
      <c r="F14" s="8"/>
      <c r="G14" s="8"/>
      <c r="H14" s="8"/>
      <c r="I14" s="11">
        <v>192</v>
      </c>
      <c r="J14" s="11">
        <v>192</v>
      </c>
      <c r="K14" s="11">
        <v>192</v>
      </c>
      <c r="L14" s="11">
        <v>192</v>
      </c>
      <c r="M14" s="11"/>
      <c r="N14" s="11">
        <v>192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v>288</v>
      </c>
      <c r="AB14" s="11">
        <v>288</v>
      </c>
      <c r="AC14" s="11">
        <v>288</v>
      </c>
      <c r="AD14" s="11">
        <v>288</v>
      </c>
      <c r="AE14" s="11"/>
      <c r="AF14" s="11">
        <v>288</v>
      </c>
      <c r="AG14" s="11">
        <v>72</v>
      </c>
      <c r="AH14" s="11">
        <v>72</v>
      </c>
      <c r="AI14" s="11">
        <v>72</v>
      </c>
      <c r="AJ14" s="11">
        <v>72</v>
      </c>
      <c r="AK14" s="11"/>
      <c r="AL14" s="11">
        <v>72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v>96</v>
      </c>
      <c r="BF14" s="11">
        <v>96</v>
      </c>
      <c r="BG14" s="11">
        <v>96</v>
      </c>
      <c r="BH14" s="11">
        <v>96</v>
      </c>
      <c r="BI14" s="82"/>
      <c r="BJ14" s="82"/>
      <c r="BK14" s="291">
        <f t="shared" si="24"/>
        <v>648</v>
      </c>
      <c r="BL14" s="291">
        <f t="shared" si="25"/>
        <v>648</v>
      </c>
      <c r="BM14" s="291">
        <f t="shared" si="23"/>
        <v>648</v>
      </c>
      <c r="BN14" s="291">
        <f t="shared" si="23"/>
        <v>648</v>
      </c>
      <c r="BO14" s="291">
        <f t="shared" si="23"/>
        <v>0</v>
      </c>
      <c r="BP14" s="291">
        <f t="shared" si="23"/>
        <v>552</v>
      </c>
      <c r="BQ14" s="316"/>
    </row>
    <row r="15" spans="1:70" x14ac:dyDescent="0.2">
      <c r="A15" s="60">
        <v>1109</v>
      </c>
      <c r="B15" s="52" t="s">
        <v>60</v>
      </c>
      <c r="C15" s="231"/>
      <c r="D15" s="231"/>
      <c r="E15" s="231"/>
      <c r="F15" s="231"/>
      <c r="G15" s="231"/>
      <c r="H15" s="231"/>
      <c r="I15" s="82">
        <v>485</v>
      </c>
      <c r="J15" s="82">
        <v>485</v>
      </c>
      <c r="K15" s="82">
        <v>485</v>
      </c>
      <c r="L15" s="82">
        <v>485</v>
      </c>
      <c r="M15" s="82"/>
      <c r="N15" s="82">
        <v>200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>
        <v>0</v>
      </c>
      <c r="AG15" s="82">
        <v>62</v>
      </c>
      <c r="AH15" s="82">
        <v>62</v>
      </c>
      <c r="AI15" s="82">
        <v>62</v>
      </c>
      <c r="AJ15" s="82">
        <v>62</v>
      </c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291">
        <f t="shared" si="24"/>
        <v>547</v>
      </c>
      <c r="BL15" s="291">
        <f t="shared" si="25"/>
        <v>547</v>
      </c>
      <c r="BM15" s="291">
        <f t="shared" si="23"/>
        <v>547</v>
      </c>
      <c r="BN15" s="291">
        <f t="shared" si="23"/>
        <v>547</v>
      </c>
      <c r="BO15" s="291">
        <f t="shared" si="23"/>
        <v>0</v>
      </c>
      <c r="BP15" s="291">
        <f t="shared" si="23"/>
        <v>200</v>
      </c>
      <c r="BQ15" s="316"/>
    </row>
    <row r="16" spans="1:70" s="9" customFormat="1" x14ac:dyDescent="0.2">
      <c r="A16" s="60">
        <v>1113</v>
      </c>
      <c r="B16" s="8" t="s">
        <v>721</v>
      </c>
      <c r="C16" s="11"/>
      <c r="D16" s="11"/>
      <c r="E16" s="11"/>
      <c r="F16" s="11"/>
      <c r="G16" s="11"/>
      <c r="H16" s="11"/>
      <c r="I16" s="11">
        <v>150</v>
      </c>
      <c r="J16" s="11">
        <v>150</v>
      </c>
      <c r="K16" s="11">
        <v>150</v>
      </c>
      <c r="L16" s="11">
        <v>150</v>
      </c>
      <c r="M16" s="11"/>
      <c r="N16" s="11">
        <v>100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v>300</v>
      </c>
      <c r="AB16" s="11">
        <v>300</v>
      </c>
      <c r="AC16" s="11">
        <v>300</v>
      </c>
      <c r="AD16" s="11">
        <v>300</v>
      </c>
      <c r="AE16" s="11"/>
      <c r="AF16" s="11">
        <v>400</v>
      </c>
      <c r="AG16" s="11">
        <v>150</v>
      </c>
      <c r="AH16" s="11">
        <v>150</v>
      </c>
      <c r="AI16" s="11">
        <v>150</v>
      </c>
      <c r="AJ16" s="11">
        <v>150</v>
      </c>
      <c r="AK16" s="11"/>
      <c r="AL16" s="11"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150</v>
      </c>
      <c r="BF16" s="11">
        <v>150</v>
      </c>
      <c r="BG16" s="11">
        <v>150</v>
      </c>
      <c r="BH16" s="11">
        <v>150</v>
      </c>
      <c r="BI16" s="11"/>
      <c r="BJ16" s="11">
        <v>96</v>
      </c>
      <c r="BK16" s="291">
        <f t="shared" si="24"/>
        <v>750</v>
      </c>
      <c r="BL16" s="291">
        <f t="shared" si="25"/>
        <v>750</v>
      </c>
      <c r="BM16" s="291">
        <f t="shared" si="23"/>
        <v>750</v>
      </c>
      <c r="BN16" s="291">
        <f t="shared" si="23"/>
        <v>750</v>
      </c>
      <c r="BO16" s="291">
        <f t="shared" si="23"/>
        <v>0</v>
      </c>
      <c r="BP16" s="291">
        <f t="shared" si="23"/>
        <v>596</v>
      </c>
      <c r="BQ16" s="316"/>
      <c r="BR16" s="37"/>
    </row>
    <row r="17" spans="1:70" s="9" customFormat="1" ht="12.75" hidden="1" customHeight="1" x14ac:dyDescent="0.2">
      <c r="A17" s="60"/>
      <c r="B17" s="8"/>
      <c r="C17" s="8"/>
      <c r="D17" s="8"/>
      <c r="E17" s="8"/>
      <c r="F17" s="8"/>
      <c r="G17" s="8"/>
      <c r="H17" s="8"/>
      <c r="I17" s="11"/>
      <c r="J17" s="11"/>
      <c r="K17" s="11"/>
      <c r="L17" s="11"/>
      <c r="M17" s="11"/>
      <c r="N17" s="11">
        <v>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>
        <v>0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291">
        <f t="shared" si="24"/>
        <v>0</v>
      </c>
      <c r="BL17" s="291">
        <f t="shared" si="25"/>
        <v>0</v>
      </c>
      <c r="BM17" s="291">
        <f t="shared" si="23"/>
        <v>0</v>
      </c>
      <c r="BN17" s="291">
        <f t="shared" si="23"/>
        <v>0</v>
      </c>
      <c r="BO17" s="291">
        <f t="shared" si="23"/>
        <v>0</v>
      </c>
      <c r="BP17" s="291">
        <f t="shared" si="23"/>
        <v>0</v>
      </c>
      <c r="BQ17" s="316"/>
    </row>
    <row r="18" spans="1:70" s="9" customFormat="1" ht="12.75" hidden="1" customHeight="1" x14ac:dyDescent="0.2">
      <c r="A18" s="60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>
        <v>100</v>
      </c>
      <c r="BK18" s="291">
        <f t="shared" si="24"/>
        <v>0</v>
      </c>
      <c r="BL18" s="291">
        <f t="shared" si="25"/>
        <v>0</v>
      </c>
      <c r="BM18" s="291">
        <f t="shared" si="23"/>
        <v>0</v>
      </c>
      <c r="BN18" s="291">
        <f t="shared" si="23"/>
        <v>0</v>
      </c>
      <c r="BO18" s="291">
        <f t="shared" si="23"/>
        <v>0</v>
      </c>
      <c r="BP18" s="291">
        <f t="shared" si="23"/>
        <v>100</v>
      </c>
      <c r="BQ18" s="316"/>
      <c r="BR18" s="37"/>
    </row>
    <row r="19" spans="1:70" s="9" customFormat="1" x14ac:dyDescent="0.2">
      <c r="A19" s="281" t="s">
        <v>296</v>
      </c>
      <c r="B19" s="14" t="s">
        <v>328</v>
      </c>
      <c r="C19" s="6">
        <f t="shared" ref="C19:U19" si="26">SUM(C20:C27)</f>
        <v>19032</v>
      </c>
      <c r="D19" s="6">
        <f t="shared" ref="D19" si="27">SUM(D20:D27)</f>
        <v>21972</v>
      </c>
      <c r="E19" s="6">
        <f t="shared" ref="E19:F19" si="28">SUM(E20:E27)</f>
        <v>21972</v>
      </c>
      <c r="F19" s="6">
        <f t="shared" si="28"/>
        <v>21972</v>
      </c>
      <c r="G19" s="6"/>
      <c r="H19" s="6">
        <f t="shared" si="26"/>
        <v>18993</v>
      </c>
      <c r="I19" s="6">
        <f t="shared" si="26"/>
        <v>200</v>
      </c>
      <c r="J19" s="6">
        <f t="shared" ref="J19" si="29">SUM(J20:J27)</f>
        <v>200</v>
      </c>
      <c r="K19" s="6">
        <f t="shared" ref="K19:L19" si="30">SUM(K20:K27)</f>
        <v>200</v>
      </c>
      <c r="L19" s="6">
        <f t="shared" si="30"/>
        <v>200</v>
      </c>
      <c r="M19" s="6"/>
      <c r="N19" s="6">
        <f t="shared" si="26"/>
        <v>0</v>
      </c>
      <c r="O19" s="6">
        <f t="shared" si="26"/>
        <v>0</v>
      </c>
      <c r="P19" s="6">
        <f t="shared" si="26"/>
        <v>0</v>
      </c>
      <c r="Q19" s="6">
        <f t="shared" ref="Q19:R19" si="31">SUM(Q20:Q27)</f>
        <v>0</v>
      </c>
      <c r="R19" s="6">
        <f t="shared" si="31"/>
        <v>0</v>
      </c>
      <c r="S19" s="6"/>
      <c r="T19" s="6">
        <f t="shared" si="26"/>
        <v>0</v>
      </c>
      <c r="U19" s="6">
        <f t="shared" si="26"/>
        <v>1300</v>
      </c>
      <c r="V19" s="6">
        <f t="shared" ref="V19:W19" si="32">SUM(V20:V27)</f>
        <v>1300</v>
      </c>
      <c r="W19" s="6">
        <f t="shared" si="32"/>
        <v>1300</v>
      </c>
      <c r="X19" s="6">
        <f t="shared" ref="X19" si="33">SUM(X20:X27)</f>
        <v>1300</v>
      </c>
      <c r="Y19" s="6"/>
      <c r="Z19" s="6"/>
      <c r="AA19" s="6">
        <f t="shared" ref="AA19:BJ19" si="34">SUM(AA20:AA27)</f>
        <v>0</v>
      </c>
      <c r="AB19" s="6">
        <f t="shared" ref="AB19:AC19" si="35">SUM(AB20:AB27)</f>
        <v>0</v>
      </c>
      <c r="AC19" s="6">
        <f t="shared" si="35"/>
        <v>0</v>
      </c>
      <c r="AD19" s="6">
        <f t="shared" ref="AD19" si="36">SUM(AD20:AD27)</f>
        <v>0</v>
      </c>
      <c r="AE19" s="6"/>
      <c r="AF19" s="6">
        <f t="shared" si="34"/>
        <v>0</v>
      </c>
      <c r="AG19" s="6">
        <f t="shared" si="34"/>
        <v>150</v>
      </c>
      <c r="AH19" s="6">
        <f t="shared" ref="AH19:AI19" si="37">SUM(AH20:AH27)</f>
        <v>150</v>
      </c>
      <c r="AI19" s="6">
        <f t="shared" si="37"/>
        <v>150</v>
      </c>
      <c r="AJ19" s="6">
        <f t="shared" ref="AJ19" si="38">SUM(AJ20:AJ27)</f>
        <v>150</v>
      </c>
      <c r="AK19" s="6"/>
      <c r="AL19" s="6">
        <f t="shared" si="34"/>
        <v>0</v>
      </c>
      <c r="AM19" s="6">
        <f t="shared" si="34"/>
        <v>0</v>
      </c>
      <c r="AN19" s="6">
        <f t="shared" si="34"/>
        <v>0</v>
      </c>
      <c r="AO19" s="6">
        <f t="shared" si="34"/>
        <v>0</v>
      </c>
      <c r="AP19" s="6">
        <f t="shared" si="34"/>
        <v>0</v>
      </c>
      <c r="AQ19" s="6"/>
      <c r="AR19" s="6">
        <f t="shared" si="34"/>
        <v>0</v>
      </c>
      <c r="AS19" s="6">
        <f t="shared" si="34"/>
        <v>0</v>
      </c>
      <c r="AT19" s="6">
        <f t="shared" si="34"/>
        <v>0</v>
      </c>
      <c r="AU19" s="6">
        <f t="shared" si="34"/>
        <v>0</v>
      </c>
      <c r="AV19" s="6">
        <f t="shared" si="34"/>
        <v>0</v>
      </c>
      <c r="AW19" s="6"/>
      <c r="AX19" s="6">
        <f t="shared" si="34"/>
        <v>0</v>
      </c>
      <c r="AY19" s="6">
        <f t="shared" si="34"/>
        <v>0</v>
      </c>
      <c r="AZ19" s="6">
        <f t="shared" si="34"/>
        <v>0</v>
      </c>
      <c r="BA19" s="6">
        <f t="shared" si="34"/>
        <v>0</v>
      </c>
      <c r="BB19" s="6">
        <f t="shared" si="34"/>
        <v>0</v>
      </c>
      <c r="BC19" s="6"/>
      <c r="BD19" s="6">
        <f t="shared" si="34"/>
        <v>0</v>
      </c>
      <c r="BE19" s="6">
        <f t="shared" si="34"/>
        <v>1000</v>
      </c>
      <c r="BF19" s="6">
        <f t="shared" ref="BF19" si="39">SUM(BF20:BF27)</f>
        <v>1000</v>
      </c>
      <c r="BG19" s="6">
        <f t="shared" ref="BG19:BH19" si="40">SUM(BG20:BG27)</f>
        <v>1000</v>
      </c>
      <c r="BH19" s="6">
        <f t="shared" si="40"/>
        <v>1000</v>
      </c>
      <c r="BI19" s="6"/>
      <c r="BJ19" s="6">
        <f t="shared" si="34"/>
        <v>0</v>
      </c>
      <c r="BK19" s="292">
        <f t="shared" si="22"/>
        <v>21682</v>
      </c>
      <c r="BL19" s="292">
        <f>D19+J19+P19+V19+AB19+AH19+AN19+AT19+AZ19+BF19</f>
        <v>24622</v>
      </c>
      <c r="BM19" s="292">
        <f t="shared" si="23"/>
        <v>24622</v>
      </c>
      <c r="BN19" s="292">
        <f t="shared" si="23"/>
        <v>24622</v>
      </c>
      <c r="BO19" s="292">
        <f t="shared" si="23"/>
        <v>0</v>
      </c>
      <c r="BP19" s="292">
        <f t="shared" si="23"/>
        <v>18993</v>
      </c>
      <c r="BQ19" s="316"/>
    </row>
    <row r="20" spans="1:70" s="9" customFormat="1" x14ac:dyDescent="0.2">
      <c r="A20" s="60">
        <v>121</v>
      </c>
      <c r="B20" s="8" t="s">
        <v>1114</v>
      </c>
      <c r="C20" s="231">
        <v>9360</v>
      </c>
      <c r="D20" s="231">
        <v>9360</v>
      </c>
      <c r="E20" s="231">
        <v>9360</v>
      </c>
      <c r="F20" s="231">
        <v>9360</v>
      </c>
      <c r="G20" s="231"/>
      <c r="H20" s="231">
        <v>9360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31">
        <f t="shared" si="22"/>
        <v>9360</v>
      </c>
      <c r="BL20" s="631">
        <f>D20+J20+P20+V20+AB20+AH20+AN20+AT20+AZ20+BF20</f>
        <v>9360</v>
      </c>
      <c r="BM20" s="631">
        <f t="shared" si="23"/>
        <v>9360</v>
      </c>
      <c r="BN20" s="631">
        <f t="shared" si="23"/>
        <v>9360</v>
      </c>
      <c r="BO20" s="631">
        <f t="shared" si="23"/>
        <v>0</v>
      </c>
      <c r="BP20" s="631">
        <f t="shared" si="23"/>
        <v>9360</v>
      </c>
      <c r="BQ20" s="316"/>
    </row>
    <row r="21" spans="1:70" s="9" customFormat="1" x14ac:dyDescent="0.2">
      <c r="A21" s="60">
        <v>121</v>
      </c>
      <c r="B21" s="163" t="s">
        <v>460</v>
      </c>
      <c r="C21" s="231">
        <f>(117*12)+(15*2)*12</f>
        <v>1764</v>
      </c>
      <c r="D21" s="231">
        <f>(117*12)+(15*2)*12</f>
        <v>1764</v>
      </c>
      <c r="E21" s="231">
        <f>(117*12)+(15*2)*12</f>
        <v>1764</v>
      </c>
      <c r="F21" s="231">
        <f>(117*12)+(15*2)*12</f>
        <v>1764</v>
      </c>
      <c r="G21" s="231"/>
      <c r="H21" s="231">
        <f>(117*12)+(15*2)*12</f>
        <v>1764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31">
        <f t="shared" ref="BK21:BK26" si="41">C21+I21+O21+U21+AA21+AG21+AM21+AS21+AY21+BE21</f>
        <v>1764</v>
      </c>
      <c r="BL21" s="631">
        <f t="shared" ref="BL21:BL26" si="42">D21+J21+P21+V21+AB21+AH21+AN21+AT21+AZ21+BF21</f>
        <v>1764</v>
      </c>
      <c r="BM21" s="631">
        <f t="shared" si="23"/>
        <v>1764</v>
      </c>
      <c r="BN21" s="631">
        <f t="shared" si="23"/>
        <v>1764</v>
      </c>
      <c r="BO21" s="631">
        <f t="shared" si="23"/>
        <v>0</v>
      </c>
      <c r="BP21" s="631">
        <f t="shared" si="23"/>
        <v>1764</v>
      </c>
      <c r="BQ21" s="316"/>
    </row>
    <row r="22" spans="1:70" s="9" customFormat="1" x14ac:dyDescent="0.2">
      <c r="A22" s="60">
        <v>121</v>
      </c>
      <c r="B22" s="8" t="s">
        <v>33</v>
      </c>
      <c r="C22" s="11">
        <v>188</v>
      </c>
      <c r="D22" s="11">
        <v>188</v>
      </c>
      <c r="E22" s="11">
        <v>188</v>
      </c>
      <c r="F22" s="11">
        <v>188</v>
      </c>
      <c r="G22" s="11"/>
      <c r="H22" s="11">
        <v>209</v>
      </c>
      <c r="I22" s="11"/>
      <c r="J22" s="11"/>
      <c r="K22" s="11"/>
      <c r="L22" s="11"/>
      <c r="M22" s="11"/>
      <c r="N22" s="1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31">
        <f t="shared" si="41"/>
        <v>188</v>
      </c>
      <c r="BL22" s="631">
        <f t="shared" si="42"/>
        <v>188</v>
      </c>
      <c r="BM22" s="631">
        <f t="shared" si="23"/>
        <v>188</v>
      </c>
      <c r="BN22" s="631">
        <f t="shared" si="23"/>
        <v>188</v>
      </c>
      <c r="BO22" s="631">
        <f t="shared" si="23"/>
        <v>0</v>
      </c>
      <c r="BP22" s="631">
        <f t="shared" si="23"/>
        <v>209</v>
      </c>
      <c r="BQ22" s="316"/>
    </row>
    <row r="23" spans="1:70" s="9" customFormat="1" x14ac:dyDescent="0.2">
      <c r="A23" s="60">
        <v>121</v>
      </c>
      <c r="B23" s="8" t="s">
        <v>461</v>
      </c>
      <c r="C23" s="11">
        <v>6720</v>
      </c>
      <c r="D23" s="11">
        <v>6720</v>
      </c>
      <c r="E23" s="11">
        <v>6720</v>
      </c>
      <c r="F23" s="11">
        <v>6720</v>
      </c>
      <c r="G23" s="11"/>
      <c r="H23" s="11">
        <f>(12*((100*2)+(50*5)+(15*2)+(25)))</f>
        <v>6060</v>
      </c>
      <c r="I23" s="11"/>
      <c r="J23" s="11"/>
      <c r="K23" s="11"/>
      <c r="L23" s="11"/>
      <c r="M23" s="11"/>
      <c r="N23" s="1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31">
        <f t="shared" si="41"/>
        <v>6720</v>
      </c>
      <c r="BL23" s="631">
        <f t="shared" si="42"/>
        <v>6720</v>
      </c>
      <c r="BM23" s="631">
        <f t="shared" si="23"/>
        <v>6720</v>
      </c>
      <c r="BN23" s="631">
        <f t="shared" si="23"/>
        <v>6720</v>
      </c>
      <c r="BO23" s="631">
        <f t="shared" si="23"/>
        <v>0</v>
      </c>
      <c r="BP23" s="631">
        <f t="shared" si="23"/>
        <v>6060</v>
      </c>
      <c r="BQ23" s="316"/>
    </row>
    <row r="24" spans="1:70" s="9" customFormat="1" x14ac:dyDescent="0.2">
      <c r="A24" s="60">
        <v>122</v>
      </c>
      <c r="B24" s="8" t="s">
        <v>1350</v>
      </c>
      <c r="C24" s="11">
        <v>0</v>
      </c>
      <c r="D24" s="11">
        <v>2940</v>
      </c>
      <c r="E24" s="11">
        <v>2940</v>
      </c>
      <c r="F24" s="11">
        <v>2940</v>
      </c>
      <c r="G24" s="11"/>
      <c r="H24" s="11">
        <v>500</v>
      </c>
      <c r="I24" s="11">
        <v>200</v>
      </c>
      <c r="J24" s="11">
        <v>200</v>
      </c>
      <c r="K24" s="11">
        <v>200</v>
      </c>
      <c r="L24" s="11">
        <v>200</v>
      </c>
      <c r="M24" s="11"/>
      <c r="N24" s="11">
        <v>0</v>
      </c>
      <c r="O24" s="6"/>
      <c r="P24" s="6"/>
      <c r="Q24" s="6"/>
      <c r="R24" s="6"/>
      <c r="S24" s="6"/>
      <c r="T24" s="6"/>
      <c r="U24" s="11">
        <v>1200</v>
      </c>
      <c r="V24" s="11">
        <v>1200</v>
      </c>
      <c r="W24" s="11">
        <v>1200</v>
      </c>
      <c r="X24" s="11">
        <v>1200</v>
      </c>
      <c r="Y24" s="6"/>
      <c r="Z24" s="6"/>
      <c r="AA24" s="11"/>
      <c r="AB24" s="11"/>
      <c r="AC24" s="11"/>
      <c r="AD24" s="11"/>
      <c r="AE24" s="11"/>
      <c r="AF24" s="11"/>
      <c r="AG24" s="11">
        <v>150</v>
      </c>
      <c r="AH24" s="11">
        <v>150</v>
      </c>
      <c r="AI24" s="11">
        <v>150</v>
      </c>
      <c r="AJ24" s="11">
        <v>150</v>
      </c>
      <c r="AK24" s="11"/>
      <c r="AL24" s="11">
        <v>0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11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31">
        <f t="shared" si="41"/>
        <v>1550</v>
      </c>
      <c r="BL24" s="631">
        <f t="shared" si="42"/>
        <v>4490</v>
      </c>
      <c r="BM24" s="631">
        <f t="shared" si="23"/>
        <v>4490</v>
      </c>
      <c r="BN24" s="631">
        <f t="shared" si="23"/>
        <v>4490</v>
      </c>
      <c r="BO24" s="631">
        <f t="shared" si="23"/>
        <v>0</v>
      </c>
      <c r="BP24" s="631">
        <f t="shared" si="23"/>
        <v>500</v>
      </c>
      <c r="BQ24" s="316"/>
    </row>
    <row r="25" spans="1:70" s="9" customFormat="1" x14ac:dyDescent="0.2">
      <c r="A25" s="60">
        <v>122</v>
      </c>
      <c r="B25" s="8" t="s">
        <v>1278</v>
      </c>
      <c r="C25" s="82">
        <v>600</v>
      </c>
      <c r="D25" s="82">
        <v>600</v>
      </c>
      <c r="E25" s="82">
        <v>600</v>
      </c>
      <c r="F25" s="82">
        <v>600</v>
      </c>
      <c r="G25" s="82"/>
      <c r="H25" s="82">
        <v>600</v>
      </c>
      <c r="I25" s="11"/>
      <c r="J25" s="11"/>
      <c r="K25" s="11"/>
      <c r="L25" s="11"/>
      <c r="M25" s="11"/>
      <c r="N25" s="1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31">
        <f t="shared" si="41"/>
        <v>600</v>
      </c>
      <c r="BL25" s="631">
        <f t="shared" si="42"/>
        <v>600</v>
      </c>
      <c r="BM25" s="631">
        <f t="shared" si="23"/>
        <v>600</v>
      </c>
      <c r="BN25" s="631">
        <f t="shared" si="23"/>
        <v>600</v>
      </c>
      <c r="BO25" s="631">
        <f t="shared" si="23"/>
        <v>0</v>
      </c>
      <c r="BP25" s="631">
        <f t="shared" si="23"/>
        <v>600</v>
      </c>
      <c r="BQ25" s="316"/>
    </row>
    <row r="26" spans="1:70" x14ac:dyDescent="0.2">
      <c r="A26" s="60">
        <v>123</v>
      </c>
      <c r="B26" s="8" t="s">
        <v>1243</v>
      </c>
      <c r="C26" s="82">
        <v>400</v>
      </c>
      <c r="D26" s="82">
        <v>400</v>
      </c>
      <c r="E26" s="82">
        <v>400</v>
      </c>
      <c r="F26" s="82">
        <v>400</v>
      </c>
      <c r="G26" s="11"/>
      <c r="H26" s="11">
        <v>500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v>100</v>
      </c>
      <c r="V26" s="11">
        <v>100</v>
      </c>
      <c r="W26" s="11">
        <v>100</v>
      </c>
      <c r="X26" s="11">
        <v>100</v>
      </c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v>1000</v>
      </c>
      <c r="BF26" s="11">
        <v>1000</v>
      </c>
      <c r="BG26" s="11">
        <v>1000</v>
      </c>
      <c r="BH26" s="11">
        <v>1000</v>
      </c>
      <c r="BI26" s="11"/>
      <c r="BJ26" s="11"/>
      <c r="BK26" s="631">
        <f t="shared" si="41"/>
        <v>1500</v>
      </c>
      <c r="BL26" s="631">
        <f t="shared" si="42"/>
        <v>1500</v>
      </c>
      <c r="BM26" s="631">
        <f t="shared" si="23"/>
        <v>1500</v>
      </c>
      <c r="BN26" s="631">
        <f t="shared" si="23"/>
        <v>1500</v>
      </c>
      <c r="BO26" s="631">
        <f t="shared" si="23"/>
        <v>0</v>
      </c>
      <c r="BP26" s="631">
        <f t="shared" si="23"/>
        <v>500</v>
      </c>
      <c r="BQ26" s="316"/>
    </row>
    <row r="27" spans="1:70" ht="12.75" hidden="1" customHeight="1" x14ac:dyDescent="0.2">
      <c r="A27" s="60"/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631">
        <f t="shared" si="22"/>
        <v>0</v>
      </c>
      <c r="BL27" s="631">
        <f>D27+J27+P27+V27+AB27+AH27+AN27+AT27+AZ27+BF27</f>
        <v>0</v>
      </c>
      <c r="BM27" s="631">
        <f t="shared" ref="BM27:BP29" si="43">E27+K27+Q27+W27+AC27+AI27+AO27+AU27+BA27+BG27</f>
        <v>0</v>
      </c>
      <c r="BN27" s="631">
        <f t="shared" si="43"/>
        <v>0</v>
      </c>
      <c r="BO27" s="631">
        <f t="shared" si="43"/>
        <v>0</v>
      </c>
      <c r="BP27" s="631">
        <f t="shared" si="43"/>
        <v>0</v>
      </c>
      <c r="BQ27" s="316"/>
    </row>
    <row r="28" spans="1:70" x14ac:dyDescent="0.2">
      <c r="A28" s="281" t="s">
        <v>216</v>
      </c>
      <c r="B28" s="115" t="s">
        <v>293</v>
      </c>
      <c r="C28" s="149">
        <f t="shared" ref="C28:U28" si="44">SUM(C11+C19)</f>
        <v>19032</v>
      </c>
      <c r="D28" s="149">
        <f t="shared" ref="D28" si="45">SUM(D11+D19)</f>
        <v>21972</v>
      </c>
      <c r="E28" s="149">
        <f t="shared" ref="E28:F28" si="46">SUM(E11+E19)</f>
        <v>21972</v>
      </c>
      <c r="F28" s="149">
        <f t="shared" si="46"/>
        <v>21972</v>
      </c>
      <c r="G28" s="149"/>
      <c r="H28" s="149">
        <f t="shared" si="44"/>
        <v>18993</v>
      </c>
      <c r="I28" s="149">
        <f t="shared" si="44"/>
        <v>11112</v>
      </c>
      <c r="J28" s="149">
        <f t="shared" ref="J28" si="47">SUM(J11+J19)</f>
        <v>11112</v>
      </c>
      <c r="K28" s="149">
        <f t="shared" ref="K28:L28" si="48">SUM(K11+K19)</f>
        <v>11112</v>
      </c>
      <c r="L28" s="149">
        <f t="shared" si="48"/>
        <v>11112</v>
      </c>
      <c r="M28" s="149"/>
      <c r="N28" s="149">
        <f t="shared" si="44"/>
        <v>9612</v>
      </c>
      <c r="O28" s="149">
        <f t="shared" si="44"/>
        <v>0</v>
      </c>
      <c r="P28" s="149">
        <f t="shared" si="44"/>
        <v>0</v>
      </c>
      <c r="Q28" s="149">
        <f t="shared" ref="Q28:R28" si="49">SUM(Q11+Q19)</f>
        <v>0</v>
      </c>
      <c r="R28" s="149">
        <f t="shared" si="49"/>
        <v>0</v>
      </c>
      <c r="S28" s="149"/>
      <c r="T28" s="149">
        <f t="shared" si="44"/>
        <v>0</v>
      </c>
      <c r="U28" s="149">
        <f t="shared" si="44"/>
        <v>1300</v>
      </c>
      <c r="V28" s="149">
        <f t="shared" ref="V28" si="50">SUM(V11+V19)</f>
        <v>1300</v>
      </c>
      <c r="W28" s="149">
        <f t="shared" ref="W28:X28" si="51">SUM(W11+W19)</f>
        <v>1300</v>
      </c>
      <c r="X28" s="149">
        <f t="shared" si="51"/>
        <v>1300</v>
      </c>
      <c r="Y28" s="149"/>
      <c r="Z28" s="149"/>
      <c r="AA28" s="149">
        <f t="shared" ref="AA28:BJ28" si="52">SUM(AA11+AA19)</f>
        <v>12663</v>
      </c>
      <c r="AB28" s="149">
        <f t="shared" ref="AB28:AC28" si="53">SUM(AB11+AB19)</f>
        <v>12663</v>
      </c>
      <c r="AC28" s="149">
        <f t="shared" si="53"/>
        <v>12663</v>
      </c>
      <c r="AD28" s="149">
        <f t="shared" ref="AD28" si="54">SUM(AD11+AD19)</f>
        <v>12663</v>
      </c>
      <c r="AE28" s="149"/>
      <c r="AF28" s="149">
        <f t="shared" si="52"/>
        <v>11356</v>
      </c>
      <c r="AG28" s="149">
        <f t="shared" si="52"/>
        <v>2522</v>
      </c>
      <c r="AH28" s="149">
        <f t="shared" ref="AH28:AI28" si="55">SUM(AH11+AH19)</f>
        <v>2522</v>
      </c>
      <c r="AI28" s="149">
        <f t="shared" si="55"/>
        <v>2522</v>
      </c>
      <c r="AJ28" s="149">
        <f t="shared" ref="AJ28" si="56">SUM(AJ11+AJ19)</f>
        <v>2522</v>
      </c>
      <c r="AK28" s="149"/>
      <c r="AL28" s="149">
        <f t="shared" si="52"/>
        <v>2007</v>
      </c>
      <c r="AM28" s="149">
        <f t="shared" si="52"/>
        <v>0</v>
      </c>
      <c r="AN28" s="149">
        <f t="shared" si="52"/>
        <v>0</v>
      </c>
      <c r="AO28" s="149">
        <f t="shared" si="52"/>
        <v>0</v>
      </c>
      <c r="AP28" s="149">
        <f t="shared" si="52"/>
        <v>0</v>
      </c>
      <c r="AQ28" s="149"/>
      <c r="AR28" s="149">
        <f t="shared" si="52"/>
        <v>0</v>
      </c>
      <c r="AS28" s="149">
        <f t="shared" si="52"/>
        <v>0</v>
      </c>
      <c r="AT28" s="149">
        <f t="shared" si="52"/>
        <v>0</v>
      </c>
      <c r="AU28" s="149">
        <f t="shared" si="52"/>
        <v>0</v>
      </c>
      <c r="AV28" s="149">
        <f t="shared" si="52"/>
        <v>0</v>
      </c>
      <c r="AW28" s="149"/>
      <c r="AX28" s="149">
        <f t="shared" si="52"/>
        <v>0</v>
      </c>
      <c r="AY28" s="149">
        <f t="shared" si="52"/>
        <v>0</v>
      </c>
      <c r="AZ28" s="149">
        <f t="shared" si="52"/>
        <v>0</v>
      </c>
      <c r="BA28" s="149">
        <f t="shared" si="52"/>
        <v>0</v>
      </c>
      <c r="BB28" s="149">
        <f t="shared" si="52"/>
        <v>0</v>
      </c>
      <c r="BC28" s="149"/>
      <c r="BD28" s="149">
        <f t="shared" si="52"/>
        <v>0</v>
      </c>
      <c r="BE28" s="149">
        <f t="shared" si="52"/>
        <v>5773</v>
      </c>
      <c r="BF28" s="149">
        <f t="shared" ref="BF28" si="57">SUM(BF11+BF19)</f>
        <v>5773</v>
      </c>
      <c r="BG28" s="149">
        <f t="shared" ref="BG28:BH28" si="58">SUM(BG11+BG19)</f>
        <v>5773</v>
      </c>
      <c r="BH28" s="149">
        <f t="shared" si="58"/>
        <v>5773</v>
      </c>
      <c r="BI28" s="149"/>
      <c r="BJ28" s="149">
        <f t="shared" si="52"/>
        <v>4286</v>
      </c>
      <c r="BK28" s="149">
        <f t="shared" si="22"/>
        <v>52402</v>
      </c>
      <c r="BL28" s="149">
        <f>D28+J28+P28+V28+AB28+AH28+AN28+AT28+AZ28+BF28</f>
        <v>55342</v>
      </c>
      <c r="BM28" s="149">
        <f t="shared" si="43"/>
        <v>55342</v>
      </c>
      <c r="BN28" s="149">
        <f t="shared" si="43"/>
        <v>55342</v>
      </c>
      <c r="BO28" s="149">
        <f t="shared" si="43"/>
        <v>0</v>
      </c>
      <c r="BP28" s="149">
        <f t="shared" si="43"/>
        <v>46254</v>
      </c>
      <c r="BQ28" s="316"/>
      <c r="BR28" s="76"/>
    </row>
    <row r="29" spans="1:70" x14ac:dyDescent="0.2">
      <c r="A29" s="60"/>
      <c r="B29" s="8" t="s">
        <v>30</v>
      </c>
      <c r="C29" s="11">
        <v>2645</v>
      </c>
      <c r="D29" s="11">
        <f>2645+344</f>
        <v>2989</v>
      </c>
      <c r="E29" s="11">
        <f>2645+344</f>
        <v>2989</v>
      </c>
      <c r="F29" s="11">
        <f>2645+344</f>
        <v>2989</v>
      </c>
      <c r="G29" s="11"/>
      <c r="H29" s="11">
        <v>2400</v>
      </c>
      <c r="I29" s="11">
        <v>1380</v>
      </c>
      <c r="J29" s="11">
        <v>1380</v>
      </c>
      <c r="K29" s="11">
        <v>1380</v>
      </c>
      <c r="L29" s="11">
        <v>1380</v>
      </c>
      <c r="M29" s="11"/>
      <c r="N29" s="11">
        <v>1190</v>
      </c>
      <c r="O29" s="11"/>
      <c r="P29" s="11"/>
      <c r="Q29" s="11"/>
      <c r="R29" s="11"/>
      <c r="S29" s="11"/>
      <c r="T29" s="11"/>
      <c r="U29" s="11">
        <v>141</v>
      </c>
      <c r="V29" s="11">
        <v>141</v>
      </c>
      <c r="W29" s="11">
        <v>141</v>
      </c>
      <c r="X29" s="11">
        <v>141</v>
      </c>
      <c r="Y29" s="11"/>
      <c r="Z29" s="11"/>
      <c r="AA29" s="11">
        <v>1646</v>
      </c>
      <c r="AB29" s="11">
        <v>1646</v>
      </c>
      <c r="AC29" s="11">
        <v>1646</v>
      </c>
      <c r="AD29" s="11">
        <v>1646</v>
      </c>
      <c r="AE29" s="11"/>
      <c r="AF29" s="11">
        <v>1450</v>
      </c>
      <c r="AG29" s="11">
        <v>320</v>
      </c>
      <c r="AH29" s="11">
        <v>320</v>
      </c>
      <c r="AI29" s="11">
        <v>320</v>
      </c>
      <c r="AJ29" s="11">
        <v>320</v>
      </c>
      <c r="AK29" s="11"/>
      <c r="AL29" s="11">
        <v>255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v>621</v>
      </c>
      <c r="BF29" s="11">
        <v>621</v>
      </c>
      <c r="BG29" s="11">
        <v>621</v>
      </c>
      <c r="BH29" s="11">
        <v>621</v>
      </c>
      <c r="BI29" s="11"/>
      <c r="BJ29" s="11">
        <v>535</v>
      </c>
      <c r="BK29" s="291">
        <f t="shared" si="22"/>
        <v>6753</v>
      </c>
      <c r="BL29" s="291">
        <f>D29+J29+P29+V29+AB29+AH29+AN29+AT29+AZ29+BF29</f>
        <v>7097</v>
      </c>
      <c r="BM29" s="291">
        <f t="shared" si="43"/>
        <v>7097</v>
      </c>
      <c r="BN29" s="291">
        <f t="shared" si="43"/>
        <v>7097</v>
      </c>
      <c r="BO29" s="291">
        <f t="shared" si="43"/>
        <v>0</v>
      </c>
      <c r="BP29" s="291">
        <f t="shared" si="43"/>
        <v>5830</v>
      </c>
      <c r="BQ29" s="316"/>
    </row>
    <row r="30" spans="1:70" ht="12.75" hidden="1" customHeight="1" x14ac:dyDescent="0.2">
      <c r="A30" s="60"/>
      <c r="B30" s="8" t="s">
        <v>392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291" t="e">
        <f>C30+I30+O30+U30+AA30+AG30+AM30+AS30+AY30+BE30+#REF!</f>
        <v>#REF!</v>
      </c>
      <c r="BL30" s="291" t="e">
        <f>D30+J30+P30+V30+AB30+AH30+AN30+AT30+AZ30+BF30+#REF!</f>
        <v>#REF!</v>
      </c>
      <c r="BM30" s="291" t="e">
        <f>E30+K30+Q30+W30+AC30+AI30+AO30+AU30+BA30+BG30+#REF!</f>
        <v>#REF!</v>
      </c>
      <c r="BN30" s="291" t="e">
        <f>F30+L30+R30+X30+AD30+AJ30+AP30+AV30+BB30+BH30+#REF!</f>
        <v>#REF!</v>
      </c>
      <c r="BO30" s="291" t="e">
        <f>G30+M30+S30+Y30+AE30+AK30+AQ30+AW30+BC30+BI30+#REF!</f>
        <v>#REF!</v>
      </c>
      <c r="BP30" s="291" t="e">
        <f>H30+N30+T30+Z30+AF30+AL30+AR30+AX30+BD30+BJ30+#REF!</f>
        <v>#REF!</v>
      </c>
      <c r="BQ30" s="316"/>
    </row>
    <row r="31" spans="1:70" x14ac:dyDescent="0.2">
      <c r="A31" s="60"/>
      <c r="B31" s="8" t="s">
        <v>116</v>
      </c>
      <c r="C31" s="11">
        <v>266</v>
      </c>
      <c r="D31" s="11">
        <v>266</v>
      </c>
      <c r="E31" s="11">
        <v>266</v>
      </c>
      <c r="F31" s="11">
        <v>266</v>
      </c>
      <c r="G31" s="11"/>
      <c r="H31" s="11">
        <v>500</v>
      </c>
      <c r="I31" s="11">
        <v>30</v>
      </c>
      <c r="J31" s="11">
        <v>30</v>
      </c>
      <c r="K31" s="11">
        <v>30</v>
      </c>
      <c r="L31" s="11">
        <v>30</v>
      </c>
      <c r="M31" s="11"/>
      <c r="N31" s="11">
        <v>30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v>45</v>
      </c>
      <c r="AB31" s="11">
        <v>45</v>
      </c>
      <c r="AC31" s="11">
        <v>45</v>
      </c>
      <c r="AD31" s="11">
        <v>45</v>
      </c>
      <c r="AE31" s="11"/>
      <c r="AF31" s="11">
        <v>45</v>
      </c>
      <c r="AG31" s="11">
        <v>11</v>
      </c>
      <c r="AH31" s="11">
        <v>11</v>
      </c>
      <c r="AI31" s="11">
        <v>11</v>
      </c>
      <c r="AJ31" s="11">
        <v>11</v>
      </c>
      <c r="AK31" s="11"/>
      <c r="AL31" s="11">
        <v>11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v>15</v>
      </c>
      <c r="BF31" s="11">
        <v>15</v>
      </c>
      <c r="BG31" s="11">
        <v>15</v>
      </c>
      <c r="BH31" s="11">
        <v>15</v>
      </c>
      <c r="BI31" s="11"/>
      <c r="BJ31" s="11">
        <v>15</v>
      </c>
      <c r="BK31" s="291">
        <f t="shared" ref="BK31:BK53" si="59">C31+I31+O31+U31+AA31+AG31+AM31+AS31+AY31+BE31</f>
        <v>367</v>
      </c>
      <c r="BL31" s="291">
        <f>D31+J31+P31+V31+AB31+AH31+AN31+AT31+AZ31+BF31</f>
        <v>367</v>
      </c>
      <c r="BM31" s="291">
        <f t="shared" ref="BM31:BP46" si="60">E31+K31+Q31+W31+AC31+AI31+AO31+AU31+BA31+BG31</f>
        <v>367</v>
      </c>
      <c r="BN31" s="291">
        <f t="shared" si="60"/>
        <v>367</v>
      </c>
      <c r="BO31" s="291">
        <f t="shared" si="60"/>
        <v>0</v>
      </c>
      <c r="BP31" s="291">
        <f t="shared" si="60"/>
        <v>601</v>
      </c>
      <c r="BQ31" s="316"/>
      <c r="BR31" s="76"/>
    </row>
    <row r="32" spans="1:70" x14ac:dyDescent="0.2">
      <c r="A32" s="281" t="s">
        <v>217</v>
      </c>
      <c r="B32" s="115" t="s">
        <v>102</v>
      </c>
      <c r="C32" s="149">
        <f t="shared" ref="C32:AA32" si="61">SUM(C29:C31)</f>
        <v>2911</v>
      </c>
      <c r="D32" s="149">
        <f t="shared" ref="D32" si="62">SUM(D29:D31)</f>
        <v>3255</v>
      </c>
      <c r="E32" s="149">
        <f t="shared" ref="E32:F32" si="63">SUM(E29:E31)</f>
        <v>3255</v>
      </c>
      <c r="F32" s="149">
        <f t="shared" si="63"/>
        <v>3255</v>
      </c>
      <c r="G32" s="149"/>
      <c r="H32" s="149">
        <f t="shared" ref="H32" si="64">SUM(H29:H31)</f>
        <v>2900</v>
      </c>
      <c r="I32" s="149">
        <f t="shared" ref="I32:J32" si="65">SUM(I29:I31)</f>
        <v>1410</v>
      </c>
      <c r="J32" s="149">
        <f t="shared" si="65"/>
        <v>1410</v>
      </c>
      <c r="K32" s="149">
        <f t="shared" ref="K32:L32" si="66">SUM(K29:K31)</f>
        <v>1410</v>
      </c>
      <c r="L32" s="149">
        <f t="shared" si="66"/>
        <v>1410</v>
      </c>
      <c r="M32" s="149"/>
      <c r="N32" s="149">
        <f t="shared" ref="N32" si="67">SUM(N29:N31)</f>
        <v>1220</v>
      </c>
      <c r="O32" s="149">
        <f t="shared" si="61"/>
        <v>0</v>
      </c>
      <c r="P32" s="149">
        <f t="shared" si="61"/>
        <v>0</v>
      </c>
      <c r="Q32" s="149">
        <f t="shared" ref="Q32:R32" si="68">SUM(Q29:Q31)</f>
        <v>0</v>
      </c>
      <c r="R32" s="149">
        <f t="shared" si="68"/>
        <v>0</v>
      </c>
      <c r="S32" s="149"/>
      <c r="T32" s="149">
        <f t="shared" si="61"/>
        <v>0</v>
      </c>
      <c r="U32" s="149">
        <f t="shared" ref="U32" si="69">SUM(U29:U31)</f>
        <v>141</v>
      </c>
      <c r="V32" s="149">
        <f t="shared" ref="V32" si="70">SUM(V29:V31)</f>
        <v>141</v>
      </c>
      <c r="W32" s="149">
        <f t="shared" ref="W32:X32" si="71">SUM(W29:W31)</f>
        <v>141</v>
      </c>
      <c r="X32" s="149">
        <f t="shared" si="71"/>
        <v>141</v>
      </c>
      <c r="Y32" s="149"/>
      <c r="Z32" s="149"/>
      <c r="AA32" s="149">
        <f t="shared" si="61"/>
        <v>1691</v>
      </c>
      <c r="AB32" s="149">
        <f t="shared" ref="AB32:AC32" si="72">SUM(AB29:AB31)</f>
        <v>1691</v>
      </c>
      <c r="AC32" s="149">
        <f t="shared" si="72"/>
        <v>1691</v>
      </c>
      <c r="AD32" s="149">
        <f t="shared" ref="AD32" si="73">SUM(AD29:AD31)</f>
        <v>1691</v>
      </c>
      <c r="AE32" s="149"/>
      <c r="AF32" s="149">
        <f t="shared" ref="AF32" si="74">SUM(AF29:AF31)</f>
        <v>1495</v>
      </c>
      <c r="AG32" s="149">
        <f t="shared" ref="AG32:BD32" si="75">SUM(AG29:AG31)</f>
        <v>331</v>
      </c>
      <c r="AH32" s="149">
        <f t="shared" ref="AH32:AI32" si="76">SUM(AH29:AH31)</f>
        <v>331</v>
      </c>
      <c r="AI32" s="149">
        <f t="shared" si="76"/>
        <v>331</v>
      </c>
      <c r="AJ32" s="149">
        <f t="shared" ref="AJ32" si="77">SUM(AJ29:AJ31)</f>
        <v>331</v>
      </c>
      <c r="AK32" s="149"/>
      <c r="AL32" s="149">
        <f t="shared" ref="AL32" si="78">SUM(AL29:AL31)</f>
        <v>266</v>
      </c>
      <c r="AM32" s="149">
        <f t="shared" si="75"/>
        <v>0</v>
      </c>
      <c r="AN32" s="149">
        <f t="shared" si="75"/>
        <v>0</v>
      </c>
      <c r="AO32" s="149">
        <f>SUM(AO29:AO31)</f>
        <v>0</v>
      </c>
      <c r="AP32" s="149">
        <f t="shared" si="75"/>
        <v>0</v>
      </c>
      <c r="AQ32" s="149"/>
      <c r="AR32" s="149">
        <f t="shared" si="75"/>
        <v>0</v>
      </c>
      <c r="AS32" s="149">
        <f t="shared" si="75"/>
        <v>0</v>
      </c>
      <c r="AT32" s="149">
        <f>SUM(AT29:AT31)</f>
        <v>0</v>
      </c>
      <c r="AU32" s="149">
        <f>SUM(AU29:AU31)</f>
        <v>0</v>
      </c>
      <c r="AV32" s="149">
        <f>SUM(AV29:AV31)</f>
        <v>0</v>
      </c>
      <c r="AW32" s="149"/>
      <c r="AX32" s="149">
        <f t="shared" si="75"/>
        <v>0</v>
      </c>
      <c r="AY32" s="149">
        <f t="shared" si="75"/>
        <v>0</v>
      </c>
      <c r="AZ32" s="149">
        <f t="shared" si="75"/>
        <v>0</v>
      </c>
      <c r="BA32" s="149">
        <f t="shared" si="75"/>
        <v>0</v>
      </c>
      <c r="BB32" s="149">
        <f t="shared" si="75"/>
        <v>0</v>
      </c>
      <c r="BC32" s="149"/>
      <c r="BD32" s="149">
        <f t="shared" si="75"/>
        <v>0</v>
      </c>
      <c r="BE32" s="149">
        <f>SUM(BE29:BE31)</f>
        <v>636</v>
      </c>
      <c r="BF32" s="149">
        <f>SUM(BF29:BF31)</f>
        <v>636</v>
      </c>
      <c r="BG32" s="149">
        <f>SUM(BG29:BG31)</f>
        <v>636</v>
      </c>
      <c r="BH32" s="149">
        <f>SUM(BH29:BH31)</f>
        <v>636</v>
      </c>
      <c r="BI32" s="149"/>
      <c r="BJ32" s="149">
        <f>SUM(BJ29:BJ31)</f>
        <v>550</v>
      </c>
      <c r="BK32" s="149">
        <f t="shared" si="59"/>
        <v>7120</v>
      </c>
      <c r="BL32" s="149">
        <f>D32+J32+P32+V32+AB32+AH32+AN32+AT32+AZ32+BF32</f>
        <v>7464</v>
      </c>
      <c r="BM32" s="149">
        <f t="shared" si="60"/>
        <v>7464</v>
      </c>
      <c r="BN32" s="149">
        <f t="shared" si="60"/>
        <v>7464</v>
      </c>
      <c r="BO32" s="149">
        <f t="shared" si="60"/>
        <v>0</v>
      </c>
      <c r="BP32" s="149">
        <f t="shared" si="60"/>
        <v>6431</v>
      </c>
      <c r="BQ32" s="316"/>
    </row>
    <row r="33" spans="1:69" x14ac:dyDescent="0.2">
      <c r="A33" s="281" t="s">
        <v>260</v>
      </c>
      <c r="B33" s="14" t="s">
        <v>282</v>
      </c>
      <c r="C33" s="6">
        <f t="shared" ref="C33:AG33" si="79">SUM(C34:C41)</f>
        <v>1000</v>
      </c>
      <c r="D33" s="6">
        <f t="shared" ref="D33" si="80">SUM(D34:D41)</f>
        <v>2181</v>
      </c>
      <c r="E33" s="6">
        <f t="shared" ref="E33:F33" si="81">SUM(E34:E41)</f>
        <v>2181</v>
      </c>
      <c r="F33" s="6">
        <f t="shared" si="81"/>
        <v>2181</v>
      </c>
      <c r="G33" s="6"/>
      <c r="H33" s="6">
        <f t="shared" ref="H33" si="82">SUM(H34:H41)</f>
        <v>2830</v>
      </c>
      <c r="I33" s="6">
        <f t="shared" ref="I33:J33" si="83">SUM(I34:I41)</f>
        <v>165</v>
      </c>
      <c r="J33" s="6">
        <f t="shared" si="83"/>
        <v>165</v>
      </c>
      <c r="K33" s="6">
        <f t="shared" ref="K33:L33" si="84">SUM(K34:K41)</f>
        <v>165</v>
      </c>
      <c r="L33" s="6">
        <f t="shared" si="84"/>
        <v>165</v>
      </c>
      <c r="M33" s="6"/>
      <c r="N33" s="6">
        <f t="shared" ref="N33" si="85">SUM(N34:N41)</f>
        <v>105</v>
      </c>
      <c r="O33" s="6">
        <f t="shared" si="79"/>
        <v>0</v>
      </c>
      <c r="P33" s="6">
        <f t="shared" si="79"/>
        <v>0</v>
      </c>
      <c r="Q33" s="6">
        <f t="shared" ref="Q33:R33" si="86">SUM(Q34:Q41)</f>
        <v>0</v>
      </c>
      <c r="R33" s="6">
        <f t="shared" si="86"/>
        <v>0</v>
      </c>
      <c r="S33" s="6"/>
      <c r="T33" s="6">
        <f t="shared" si="79"/>
        <v>0</v>
      </c>
      <c r="U33" s="6">
        <f t="shared" ref="U33" si="87">SUM(U34:U41)</f>
        <v>3300</v>
      </c>
      <c r="V33" s="6">
        <f t="shared" ref="V33" si="88">SUM(V34:V41)</f>
        <v>3300</v>
      </c>
      <c r="W33" s="6">
        <f t="shared" ref="W33:X33" si="89">SUM(W34:W41)</f>
        <v>3300</v>
      </c>
      <c r="X33" s="6">
        <f t="shared" si="89"/>
        <v>3300</v>
      </c>
      <c r="Y33" s="6"/>
      <c r="Z33" s="6"/>
      <c r="AA33" s="6">
        <f>SUM(AA34:AA41)</f>
        <v>600</v>
      </c>
      <c r="AB33" s="6">
        <f>SUM(AB34:AB41)</f>
        <v>600</v>
      </c>
      <c r="AC33" s="6">
        <f>SUM(AC34:AC41)</f>
        <v>600</v>
      </c>
      <c r="AD33" s="6">
        <f>SUM(AD34:AD41)</f>
        <v>600</v>
      </c>
      <c r="AE33" s="6"/>
      <c r="AF33" s="6">
        <f t="shared" ref="AF33" si="90">SUM(AF34:AF41)</f>
        <v>100</v>
      </c>
      <c r="AG33" s="6">
        <f t="shared" si="79"/>
        <v>50</v>
      </c>
      <c r="AH33" s="6">
        <f t="shared" ref="AH33:AI33" si="91">SUM(AH34:AH41)</f>
        <v>1867</v>
      </c>
      <c r="AI33" s="6">
        <f t="shared" si="91"/>
        <v>1867</v>
      </c>
      <c r="AJ33" s="6">
        <f t="shared" ref="AJ33" si="92">SUM(AJ34:AJ41)</f>
        <v>1867</v>
      </c>
      <c r="AK33" s="6"/>
      <c r="AL33" s="6">
        <f t="shared" ref="AL33" si="93">SUM(AL34:AL41)</f>
        <v>0</v>
      </c>
      <c r="AM33" s="6">
        <f t="shared" ref="AM33:AX33" si="94">SUM(AM34:AM41)</f>
        <v>0</v>
      </c>
      <c r="AN33" s="6">
        <f t="shared" si="94"/>
        <v>0</v>
      </c>
      <c r="AO33" s="6">
        <f>SUM(AO34:AO41)</f>
        <v>0</v>
      </c>
      <c r="AP33" s="6">
        <f t="shared" si="94"/>
        <v>0</v>
      </c>
      <c r="AQ33" s="6"/>
      <c r="AR33" s="6">
        <f t="shared" si="94"/>
        <v>0</v>
      </c>
      <c r="AS33" s="6">
        <f t="shared" si="94"/>
        <v>0</v>
      </c>
      <c r="AT33" s="6">
        <f>SUM(AT34:AT41)</f>
        <v>0</v>
      </c>
      <c r="AU33" s="6">
        <f>SUM(AU34:AU41)</f>
        <v>0</v>
      </c>
      <c r="AV33" s="6">
        <f>SUM(AV34:AV41)</f>
        <v>0</v>
      </c>
      <c r="AW33" s="6"/>
      <c r="AX33" s="6">
        <f t="shared" si="94"/>
        <v>0</v>
      </c>
      <c r="AY33" s="6">
        <f t="shared" ref="AY33" si="95">SUM(AY34:AY41)</f>
        <v>725</v>
      </c>
      <c r="AZ33" s="6">
        <f t="shared" ref="AZ33:BD33" si="96">SUM(AZ34:AZ41)</f>
        <v>725</v>
      </c>
      <c r="BA33" s="6">
        <f t="shared" ref="BA33:BB33" si="97">SUM(BA34:BA41)</f>
        <v>725</v>
      </c>
      <c r="BB33" s="6">
        <f t="shared" si="97"/>
        <v>725</v>
      </c>
      <c r="BC33" s="6"/>
      <c r="BD33" s="6">
        <f t="shared" si="96"/>
        <v>130</v>
      </c>
      <c r="BE33" s="6">
        <f>SUM(BE34:BE41)</f>
        <v>1070</v>
      </c>
      <c r="BF33" s="6">
        <f>SUM(BF34:BF41)</f>
        <v>1070</v>
      </c>
      <c r="BG33" s="6">
        <f>SUM(BG34:BG41)</f>
        <v>1070</v>
      </c>
      <c r="BH33" s="6">
        <f>SUM(BH34:BH41)</f>
        <v>1070</v>
      </c>
      <c r="BI33" s="6"/>
      <c r="BJ33" s="6">
        <f>SUM(BJ34:BJ41)</f>
        <v>820</v>
      </c>
      <c r="BK33" s="292">
        <f t="shared" si="59"/>
        <v>6910</v>
      </c>
      <c r="BL33" s="292">
        <f>D33+J33+P33+V33+AB33+AH33+AN33+AT33+AZ33+BF33</f>
        <v>9908</v>
      </c>
      <c r="BM33" s="292">
        <f t="shared" si="60"/>
        <v>9908</v>
      </c>
      <c r="BN33" s="292">
        <f t="shared" si="60"/>
        <v>9908</v>
      </c>
      <c r="BO33" s="292">
        <f t="shared" si="60"/>
        <v>0</v>
      </c>
      <c r="BP33" s="292">
        <f t="shared" si="60"/>
        <v>3985</v>
      </c>
      <c r="BQ33" s="316"/>
    </row>
    <row r="34" spans="1:69" x14ac:dyDescent="0.2">
      <c r="A34" s="60" t="s">
        <v>1027</v>
      </c>
      <c r="B34" s="8" t="s">
        <v>324</v>
      </c>
      <c r="C34" s="11">
        <v>150</v>
      </c>
      <c r="D34" s="11">
        <v>150</v>
      </c>
      <c r="E34" s="11">
        <v>150</v>
      </c>
      <c r="F34" s="11">
        <v>150</v>
      </c>
      <c r="G34" s="11"/>
      <c r="H34" s="11">
        <v>300</v>
      </c>
      <c r="I34" s="11">
        <v>25</v>
      </c>
      <c r="J34" s="11">
        <v>25</v>
      </c>
      <c r="K34" s="11">
        <v>25</v>
      </c>
      <c r="L34" s="11">
        <v>25</v>
      </c>
      <c r="M34" s="11"/>
      <c r="N34" s="11">
        <v>50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>
        <v>80</v>
      </c>
      <c r="AB34" s="11">
        <v>80</v>
      </c>
      <c r="AC34" s="11">
        <v>80</v>
      </c>
      <c r="AD34" s="11">
        <v>80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>
        <v>200</v>
      </c>
      <c r="AZ34" s="11">
        <v>200</v>
      </c>
      <c r="BA34" s="11">
        <v>200</v>
      </c>
      <c r="BB34" s="11">
        <v>200</v>
      </c>
      <c r="BC34" s="11"/>
      <c r="BD34" s="11">
        <f>20+30</f>
        <v>50</v>
      </c>
      <c r="BE34" s="11">
        <v>900</v>
      </c>
      <c r="BF34" s="11">
        <v>900</v>
      </c>
      <c r="BG34" s="11">
        <v>900</v>
      </c>
      <c r="BH34" s="11">
        <v>900</v>
      </c>
      <c r="BI34" s="11"/>
      <c r="BJ34" s="11">
        <v>700</v>
      </c>
      <c r="BK34" s="291">
        <f t="shared" ref="BK34" si="98">C34+I34+O34+U34+AA34+AG34+AM34+AS34+AY34+BE34</f>
        <v>1355</v>
      </c>
      <c r="BL34" s="291">
        <f t="shared" ref="BL34" si="99">D34+J34+P34+V34+AB34+AH34+AN34+AT34+AZ34+BF34</f>
        <v>1355</v>
      </c>
      <c r="BM34" s="291">
        <f t="shared" si="60"/>
        <v>1355</v>
      </c>
      <c r="BN34" s="291">
        <f t="shared" si="60"/>
        <v>1355</v>
      </c>
      <c r="BO34" s="291">
        <f t="shared" si="60"/>
        <v>0</v>
      </c>
      <c r="BP34" s="291">
        <f t="shared" si="60"/>
        <v>1100</v>
      </c>
      <c r="BQ34" s="316"/>
    </row>
    <row r="35" spans="1:69" x14ac:dyDescent="0.2">
      <c r="A35" s="60" t="s">
        <v>905</v>
      </c>
      <c r="B35" s="8" t="s">
        <v>283</v>
      </c>
      <c r="C35" s="11">
        <v>600</v>
      </c>
      <c r="D35" s="11">
        <f>600+1181</f>
        <v>1781</v>
      </c>
      <c r="E35" s="11">
        <f>600+1181</f>
        <v>1781</v>
      </c>
      <c r="F35" s="11">
        <f>600+1181</f>
        <v>1781</v>
      </c>
      <c r="G35" s="11"/>
      <c r="H35" s="11">
        <v>250</v>
      </c>
      <c r="I35" s="11">
        <v>60</v>
      </c>
      <c r="J35" s="11">
        <v>60</v>
      </c>
      <c r="K35" s="11">
        <v>60</v>
      </c>
      <c r="L35" s="11">
        <v>60</v>
      </c>
      <c r="M35" s="11"/>
      <c r="N35" s="11"/>
      <c r="O35" s="11"/>
      <c r="P35" s="11"/>
      <c r="Q35" s="11"/>
      <c r="R35" s="11"/>
      <c r="S35" s="11"/>
      <c r="T35" s="11"/>
      <c r="U35" s="11">
        <v>1300</v>
      </c>
      <c r="V35" s="11">
        <v>1300</v>
      </c>
      <c r="W35" s="11">
        <v>1300</v>
      </c>
      <c r="X35" s="11">
        <v>1300</v>
      </c>
      <c r="Y35" s="11"/>
      <c r="Z35" s="11"/>
      <c r="AA35" s="11">
        <v>200</v>
      </c>
      <c r="AB35" s="11">
        <v>200</v>
      </c>
      <c r="AC35" s="11">
        <v>200</v>
      </c>
      <c r="AD35" s="11">
        <v>200</v>
      </c>
      <c r="AE35" s="11"/>
      <c r="AF35" s="11">
        <v>50</v>
      </c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>
        <v>150</v>
      </c>
      <c r="AZ35" s="11">
        <v>150</v>
      </c>
      <c r="BA35" s="11">
        <v>150</v>
      </c>
      <c r="BB35" s="11">
        <v>150</v>
      </c>
      <c r="BC35" s="11"/>
      <c r="BD35" s="11"/>
      <c r="BE35" s="11">
        <v>50</v>
      </c>
      <c r="BF35" s="11">
        <v>50</v>
      </c>
      <c r="BG35" s="11">
        <v>50</v>
      </c>
      <c r="BH35" s="11">
        <v>50</v>
      </c>
      <c r="BI35" s="11"/>
      <c r="BJ35" s="11"/>
      <c r="BK35" s="291">
        <f t="shared" si="59"/>
        <v>2360</v>
      </c>
      <c r="BL35" s="291">
        <f t="shared" ref="BL35:BL66" si="100">D35+J35+P35+V35+AB35+AH35+AN35+AT35+AZ35+BF35</f>
        <v>3541</v>
      </c>
      <c r="BM35" s="291">
        <f t="shared" si="60"/>
        <v>3541</v>
      </c>
      <c r="BN35" s="291">
        <f t="shared" si="60"/>
        <v>3541</v>
      </c>
      <c r="BO35" s="291">
        <f t="shared" si="60"/>
        <v>0</v>
      </c>
      <c r="BP35" s="291">
        <f t="shared" si="60"/>
        <v>300</v>
      </c>
      <c r="BQ35" s="316"/>
    </row>
    <row r="36" spans="1:69" x14ac:dyDescent="0.2">
      <c r="A36" s="60"/>
      <c r="B36" s="8" t="s">
        <v>435</v>
      </c>
      <c r="C36" s="11">
        <v>150</v>
      </c>
      <c r="D36" s="11">
        <v>150</v>
      </c>
      <c r="E36" s="11">
        <v>150</v>
      </c>
      <c r="F36" s="11">
        <v>150</v>
      </c>
      <c r="G36" s="11"/>
      <c r="H36" s="11">
        <f>500-250</f>
        <v>250</v>
      </c>
      <c r="I36" s="11">
        <v>50</v>
      </c>
      <c r="J36" s="11">
        <v>50</v>
      </c>
      <c r="K36" s="11">
        <v>50</v>
      </c>
      <c r="L36" s="11">
        <v>50</v>
      </c>
      <c r="M36" s="11"/>
      <c r="N36" s="11">
        <v>15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>
        <v>20</v>
      </c>
      <c r="AB36" s="11">
        <v>20</v>
      </c>
      <c r="AC36" s="11">
        <v>20</v>
      </c>
      <c r="AD36" s="11">
        <v>20</v>
      </c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>
        <v>50</v>
      </c>
      <c r="BF36" s="11">
        <v>50</v>
      </c>
      <c r="BG36" s="11">
        <v>50</v>
      </c>
      <c r="BH36" s="11">
        <v>50</v>
      </c>
      <c r="BI36" s="11"/>
      <c r="BJ36" s="11">
        <v>50</v>
      </c>
      <c r="BK36" s="291">
        <f t="shared" si="59"/>
        <v>270</v>
      </c>
      <c r="BL36" s="291">
        <f t="shared" si="100"/>
        <v>270</v>
      </c>
      <c r="BM36" s="291">
        <f t="shared" si="60"/>
        <v>270</v>
      </c>
      <c r="BN36" s="291">
        <f t="shared" si="60"/>
        <v>270</v>
      </c>
      <c r="BO36" s="291">
        <f t="shared" si="60"/>
        <v>0</v>
      </c>
      <c r="BP36" s="291">
        <f t="shared" si="60"/>
        <v>315</v>
      </c>
      <c r="BQ36" s="316"/>
    </row>
    <row r="37" spans="1:69" x14ac:dyDescent="0.2">
      <c r="A37" s="60"/>
      <c r="B37" s="8" t="s">
        <v>304</v>
      </c>
      <c r="C37" s="11">
        <v>100</v>
      </c>
      <c r="D37" s="11">
        <v>100</v>
      </c>
      <c r="E37" s="11">
        <v>100</v>
      </c>
      <c r="F37" s="11">
        <v>100</v>
      </c>
      <c r="G37" s="11"/>
      <c r="H37" s="11">
        <f>100+500</f>
        <v>600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>
        <v>70</v>
      </c>
      <c r="BF37" s="11">
        <v>70</v>
      </c>
      <c r="BG37" s="11">
        <v>70</v>
      </c>
      <c r="BH37" s="11">
        <v>70</v>
      </c>
      <c r="BI37" s="11"/>
      <c r="BJ37" s="11">
        <v>70</v>
      </c>
      <c r="BK37" s="291">
        <f t="shared" si="59"/>
        <v>170</v>
      </c>
      <c r="BL37" s="291">
        <f t="shared" si="100"/>
        <v>170</v>
      </c>
      <c r="BM37" s="291">
        <f t="shared" si="60"/>
        <v>170</v>
      </c>
      <c r="BN37" s="291">
        <f t="shared" si="60"/>
        <v>170</v>
      </c>
      <c r="BO37" s="291">
        <f t="shared" si="60"/>
        <v>0</v>
      </c>
      <c r="BP37" s="291">
        <f t="shared" si="60"/>
        <v>670</v>
      </c>
      <c r="BQ37" s="316"/>
    </row>
    <row r="38" spans="1:69" x14ac:dyDescent="0.2">
      <c r="A38" s="60"/>
      <c r="B38" s="8" t="s">
        <v>305</v>
      </c>
      <c r="C38" s="11"/>
      <c r="D38" s="11"/>
      <c r="E38" s="11"/>
      <c r="F38" s="11"/>
      <c r="G38" s="11"/>
      <c r="H38" s="11">
        <v>1200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>
        <v>2000</v>
      </c>
      <c r="V38" s="11">
        <v>2000</v>
      </c>
      <c r="W38" s="11">
        <v>2000</v>
      </c>
      <c r="X38" s="11">
        <v>2000</v>
      </c>
      <c r="Y38" s="11"/>
      <c r="Z38" s="11"/>
      <c r="AA38" s="11"/>
      <c r="AB38" s="11"/>
      <c r="AC38" s="11"/>
      <c r="AD38" s="11"/>
      <c r="AE38" s="11"/>
      <c r="AF38" s="11">
        <v>25</v>
      </c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91">
        <f t="shared" si="59"/>
        <v>2000</v>
      </c>
      <c r="BL38" s="291">
        <f t="shared" si="100"/>
        <v>2000</v>
      </c>
      <c r="BM38" s="291">
        <f t="shared" si="60"/>
        <v>2000</v>
      </c>
      <c r="BN38" s="291">
        <f t="shared" si="60"/>
        <v>2000</v>
      </c>
      <c r="BO38" s="291">
        <f t="shared" si="60"/>
        <v>0</v>
      </c>
      <c r="BP38" s="291">
        <f t="shared" si="60"/>
        <v>1225</v>
      </c>
      <c r="BQ38" s="316"/>
    </row>
    <row r="39" spans="1:69" x14ac:dyDescent="0.2">
      <c r="A39" s="60"/>
      <c r="B39" s="8" t="s">
        <v>434</v>
      </c>
      <c r="C39" s="11"/>
      <c r="D39" s="11"/>
      <c r="E39" s="11"/>
      <c r="F39" s="11"/>
      <c r="G39" s="11"/>
      <c r="H39" s="11">
        <f>300-100</f>
        <v>200</v>
      </c>
      <c r="I39" s="11"/>
      <c r="J39" s="11"/>
      <c r="K39" s="11"/>
      <c r="L39" s="11"/>
      <c r="M39" s="11"/>
      <c r="N39" s="11">
        <v>10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>
        <v>300</v>
      </c>
      <c r="AB39" s="11">
        <v>300</v>
      </c>
      <c r="AC39" s="11">
        <v>300</v>
      </c>
      <c r="AD39" s="11">
        <v>300</v>
      </c>
      <c r="AE39" s="11"/>
      <c r="AF39" s="11">
        <v>25</v>
      </c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>
        <v>375</v>
      </c>
      <c r="AZ39" s="11">
        <v>375</v>
      </c>
      <c r="BA39" s="11">
        <v>375</v>
      </c>
      <c r="BB39" s="11">
        <v>375</v>
      </c>
      <c r="BC39" s="11"/>
      <c r="BD39" s="11">
        <v>80</v>
      </c>
      <c r="BE39" s="11"/>
      <c r="BF39" s="11"/>
      <c r="BG39" s="11"/>
      <c r="BH39" s="11"/>
      <c r="BI39" s="11"/>
      <c r="BJ39" s="11"/>
      <c r="BK39" s="291">
        <f t="shared" si="59"/>
        <v>675</v>
      </c>
      <c r="BL39" s="291">
        <f t="shared" si="100"/>
        <v>675</v>
      </c>
      <c r="BM39" s="291">
        <f t="shared" si="60"/>
        <v>675</v>
      </c>
      <c r="BN39" s="291">
        <f t="shared" si="60"/>
        <v>675</v>
      </c>
      <c r="BO39" s="291">
        <f t="shared" si="60"/>
        <v>0</v>
      </c>
      <c r="BP39" s="291">
        <f t="shared" si="60"/>
        <v>315</v>
      </c>
      <c r="BQ39" s="316"/>
    </row>
    <row r="40" spans="1:69" x14ac:dyDescent="0.2">
      <c r="A40" s="60"/>
      <c r="B40" s="8" t="s">
        <v>316</v>
      </c>
      <c r="C40" s="11"/>
      <c r="D40" s="11"/>
      <c r="E40" s="11"/>
      <c r="F40" s="11"/>
      <c r="G40" s="11"/>
      <c r="H40" s="11">
        <v>30</v>
      </c>
      <c r="I40" s="11">
        <v>30</v>
      </c>
      <c r="J40" s="11">
        <v>30</v>
      </c>
      <c r="K40" s="11">
        <v>30</v>
      </c>
      <c r="L40" s="11">
        <v>30</v>
      </c>
      <c r="M40" s="11"/>
      <c r="N40" s="11">
        <v>30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50</v>
      </c>
      <c r="AH40" s="11">
        <v>50</v>
      </c>
      <c r="AI40" s="11">
        <v>50</v>
      </c>
      <c r="AJ40" s="11">
        <v>50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91">
        <f t="shared" si="59"/>
        <v>80</v>
      </c>
      <c r="BL40" s="291">
        <f t="shared" si="100"/>
        <v>80</v>
      </c>
      <c r="BM40" s="291">
        <f t="shared" si="60"/>
        <v>80</v>
      </c>
      <c r="BN40" s="291">
        <f t="shared" si="60"/>
        <v>80</v>
      </c>
      <c r="BO40" s="291">
        <f t="shared" si="60"/>
        <v>0</v>
      </c>
      <c r="BP40" s="291">
        <f t="shared" si="60"/>
        <v>60</v>
      </c>
      <c r="BQ40" s="316"/>
    </row>
    <row r="41" spans="1:69" x14ac:dyDescent="0.2">
      <c r="A41" s="60"/>
      <c r="B41" s="8" t="s">
        <v>969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0</v>
      </c>
      <c r="AH41" s="11">
        <v>1817</v>
      </c>
      <c r="AI41" s="11">
        <v>1817</v>
      </c>
      <c r="AJ41" s="11">
        <v>1817</v>
      </c>
      <c r="AK41" s="11"/>
      <c r="AL41" s="11"/>
      <c r="AM41" s="11"/>
      <c r="AN41" s="11"/>
      <c r="AO41" s="11"/>
      <c r="AP41" s="11">
        <v>0</v>
      </c>
      <c r="AQ41" s="11"/>
      <c r="AR41" s="11">
        <v>0</v>
      </c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91">
        <f t="shared" si="59"/>
        <v>0</v>
      </c>
      <c r="BL41" s="291">
        <f t="shared" si="100"/>
        <v>1817</v>
      </c>
      <c r="BM41" s="291">
        <f t="shared" si="60"/>
        <v>1817</v>
      </c>
      <c r="BN41" s="291">
        <f t="shared" si="60"/>
        <v>1817</v>
      </c>
      <c r="BO41" s="291">
        <f t="shared" si="60"/>
        <v>0</v>
      </c>
      <c r="BP41" s="291">
        <f t="shared" si="60"/>
        <v>0</v>
      </c>
      <c r="BQ41" s="553"/>
    </row>
    <row r="42" spans="1:69" x14ac:dyDescent="0.2">
      <c r="A42" s="281" t="s">
        <v>263</v>
      </c>
      <c r="B42" s="14" t="s">
        <v>284</v>
      </c>
      <c r="C42" s="6">
        <f t="shared" ref="C42:AG42" si="101">SUM(C43:C44)</f>
        <v>900</v>
      </c>
      <c r="D42" s="6">
        <f t="shared" ref="D42" si="102">SUM(D43:D44)</f>
        <v>900</v>
      </c>
      <c r="E42" s="6">
        <f t="shared" ref="E42:F42" si="103">SUM(E43:E44)</f>
        <v>900</v>
      </c>
      <c r="F42" s="6">
        <f t="shared" si="103"/>
        <v>900</v>
      </c>
      <c r="G42" s="6"/>
      <c r="H42" s="6">
        <f t="shared" ref="H42" si="104">SUM(H43:H44)</f>
        <v>1440</v>
      </c>
      <c r="I42" s="6">
        <f t="shared" ref="I42:J42" si="105">SUM(I43:I44)</f>
        <v>110</v>
      </c>
      <c r="J42" s="6">
        <f t="shared" si="105"/>
        <v>110</v>
      </c>
      <c r="K42" s="6">
        <f t="shared" ref="K42:L42" si="106">SUM(K43:K44)</f>
        <v>110</v>
      </c>
      <c r="L42" s="6">
        <f t="shared" si="106"/>
        <v>110</v>
      </c>
      <c r="M42" s="6"/>
      <c r="N42" s="6">
        <f t="shared" ref="N42" si="107">SUM(N43:N44)</f>
        <v>110</v>
      </c>
      <c r="O42" s="6">
        <f t="shared" si="101"/>
        <v>0</v>
      </c>
      <c r="P42" s="6">
        <f t="shared" si="101"/>
        <v>0</v>
      </c>
      <c r="Q42" s="6">
        <f t="shared" ref="Q42:R42" si="108">SUM(Q43:Q44)</f>
        <v>0</v>
      </c>
      <c r="R42" s="6">
        <f t="shared" si="108"/>
        <v>0</v>
      </c>
      <c r="S42" s="6"/>
      <c r="T42" s="6">
        <f t="shared" si="101"/>
        <v>0</v>
      </c>
      <c r="U42" s="6">
        <f t="shared" ref="U42" si="109">SUM(U43:U44)</f>
        <v>700</v>
      </c>
      <c r="V42" s="6">
        <f t="shared" ref="V42" si="110">SUM(V43:V44)</f>
        <v>700</v>
      </c>
      <c r="W42" s="6">
        <f t="shared" ref="W42:X42" si="111">SUM(W43:W44)</f>
        <v>700</v>
      </c>
      <c r="X42" s="6">
        <f t="shared" si="111"/>
        <v>700</v>
      </c>
      <c r="Y42" s="6"/>
      <c r="Z42" s="6"/>
      <c r="AA42" s="6">
        <f t="shared" si="101"/>
        <v>120</v>
      </c>
      <c r="AB42" s="6">
        <f t="shared" ref="AB42:AC42" si="112">SUM(AB43:AB44)</f>
        <v>120</v>
      </c>
      <c r="AC42" s="6">
        <f t="shared" si="112"/>
        <v>120</v>
      </c>
      <c r="AD42" s="6">
        <f t="shared" ref="AD42" si="113">SUM(AD43:AD44)</f>
        <v>120</v>
      </c>
      <c r="AE42" s="6"/>
      <c r="AF42" s="6">
        <f t="shared" ref="AF42" si="114">SUM(AF43:AF44)</f>
        <v>145</v>
      </c>
      <c r="AG42" s="6">
        <f t="shared" si="101"/>
        <v>0</v>
      </c>
      <c r="AH42" s="6">
        <f t="shared" ref="AH42:AI42" si="115">SUM(AH43:AH44)</f>
        <v>0</v>
      </c>
      <c r="AI42" s="6">
        <f t="shared" si="115"/>
        <v>0</v>
      </c>
      <c r="AJ42" s="6">
        <f t="shared" ref="AJ42" si="116">SUM(AJ43:AJ44)</f>
        <v>0</v>
      </c>
      <c r="AK42" s="6"/>
      <c r="AL42" s="6">
        <f t="shared" ref="AL42:BE42" si="117">SUM(AL43:AL44)</f>
        <v>0</v>
      </c>
      <c r="AM42" s="6">
        <f t="shared" si="117"/>
        <v>0</v>
      </c>
      <c r="AN42" s="6">
        <f t="shared" si="117"/>
        <v>0</v>
      </c>
      <c r="AO42" s="6">
        <f>SUM(AO43:AO44)</f>
        <v>0</v>
      </c>
      <c r="AP42" s="6">
        <f t="shared" si="117"/>
        <v>0</v>
      </c>
      <c r="AQ42" s="6"/>
      <c r="AR42" s="6">
        <f t="shared" si="117"/>
        <v>0</v>
      </c>
      <c r="AS42" s="6">
        <f t="shared" si="117"/>
        <v>0</v>
      </c>
      <c r="AT42" s="6">
        <f t="shared" si="117"/>
        <v>0</v>
      </c>
      <c r="AU42" s="6">
        <f t="shared" si="117"/>
        <v>0</v>
      </c>
      <c r="AV42" s="6">
        <f t="shared" si="117"/>
        <v>0</v>
      </c>
      <c r="AW42" s="6"/>
      <c r="AX42" s="6">
        <f t="shared" si="117"/>
        <v>0</v>
      </c>
      <c r="AY42" s="6">
        <f t="shared" ref="AY42" si="118">SUM(AY43:AY44)</f>
        <v>140</v>
      </c>
      <c r="AZ42" s="6">
        <f t="shared" ref="AZ42:BD42" si="119">SUM(AZ43:AZ44)</f>
        <v>140</v>
      </c>
      <c r="BA42" s="6">
        <f t="shared" ref="BA42:BB42" si="120">SUM(BA43:BA44)</f>
        <v>140</v>
      </c>
      <c r="BB42" s="6">
        <f t="shared" si="120"/>
        <v>140</v>
      </c>
      <c r="BC42" s="6"/>
      <c r="BD42" s="6">
        <f t="shared" si="119"/>
        <v>15</v>
      </c>
      <c r="BE42" s="6">
        <f t="shared" si="117"/>
        <v>250</v>
      </c>
      <c r="BF42" s="6">
        <f t="shared" ref="BF42" si="121">SUM(BF43:BF44)</f>
        <v>250</v>
      </c>
      <c r="BG42" s="6">
        <f t="shared" ref="BG42:BH42" si="122">SUM(BG43:BG44)</f>
        <v>250</v>
      </c>
      <c r="BH42" s="6">
        <f t="shared" si="122"/>
        <v>250</v>
      </c>
      <c r="BI42" s="6"/>
      <c r="BJ42" s="6">
        <f>SUM(BJ43:BJ44)</f>
        <v>70</v>
      </c>
      <c r="BK42" s="630">
        <f t="shared" si="59"/>
        <v>2220</v>
      </c>
      <c r="BL42" s="630">
        <f t="shared" si="100"/>
        <v>2220</v>
      </c>
      <c r="BM42" s="630">
        <f t="shared" si="60"/>
        <v>2220</v>
      </c>
      <c r="BN42" s="630">
        <f t="shared" si="60"/>
        <v>2220</v>
      </c>
      <c r="BO42" s="630">
        <f t="shared" si="60"/>
        <v>0</v>
      </c>
      <c r="BP42" s="630">
        <f t="shared" si="60"/>
        <v>1780</v>
      </c>
      <c r="BQ42" s="316"/>
    </row>
    <row r="43" spans="1:69" ht="15" customHeight="1" x14ac:dyDescent="0.2">
      <c r="A43" s="60" t="s">
        <v>1132</v>
      </c>
      <c r="B43" s="8" t="s">
        <v>1252</v>
      </c>
      <c r="C43" s="11">
        <v>350</v>
      </c>
      <c r="D43" s="11">
        <v>350</v>
      </c>
      <c r="E43" s="11">
        <v>350</v>
      </c>
      <c r="F43" s="11">
        <v>350</v>
      </c>
      <c r="G43" s="11"/>
      <c r="H43" s="11">
        <f>(150+90+500)</f>
        <v>740</v>
      </c>
      <c r="I43" s="11">
        <v>110</v>
      </c>
      <c r="J43" s="11">
        <v>110</v>
      </c>
      <c r="K43" s="11">
        <v>110</v>
      </c>
      <c r="L43" s="11">
        <v>110</v>
      </c>
      <c r="M43" s="11"/>
      <c r="N43" s="11">
        <v>110</v>
      </c>
      <c r="O43" s="11"/>
      <c r="P43" s="11"/>
      <c r="Q43" s="11"/>
      <c r="R43" s="11"/>
      <c r="S43" s="11"/>
      <c r="T43" s="11"/>
      <c r="U43" s="11">
        <v>700</v>
      </c>
      <c r="V43" s="11">
        <v>700</v>
      </c>
      <c r="W43" s="11">
        <v>700</v>
      </c>
      <c r="X43" s="11">
        <v>700</v>
      </c>
      <c r="Y43" s="11"/>
      <c r="Z43" s="11"/>
      <c r="AA43" s="11">
        <v>120</v>
      </c>
      <c r="AB43" s="11">
        <v>120</v>
      </c>
      <c r="AC43" s="11">
        <v>120</v>
      </c>
      <c r="AD43" s="11">
        <v>120</v>
      </c>
      <c r="AE43" s="11"/>
      <c r="AF43" s="11">
        <f>115-70</f>
        <v>45</v>
      </c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>
        <v>200</v>
      </c>
      <c r="BF43" s="11">
        <v>200</v>
      </c>
      <c r="BG43" s="11">
        <v>200</v>
      </c>
      <c r="BH43" s="11">
        <v>200</v>
      </c>
      <c r="BI43" s="11"/>
      <c r="BJ43" s="11">
        <v>70</v>
      </c>
      <c r="BK43" s="291">
        <f t="shared" si="59"/>
        <v>1480</v>
      </c>
      <c r="BL43" s="291">
        <f t="shared" si="100"/>
        <v>1480</v>
      </c>
      <c r="BM43" s="291">
        <f t="shared" si="60"/>
        <v>1480</v>
      </c>
      <c r="BN43" s="291">
        <f t="shared" si="60"/>
        <v>1480</v>
      </c>
      <c r="BO43" s="291">
        <f t="shared" si="60"/>
        <v>0</v>
      </c>
      <c r="BP43" s="291">
        <f t="shared" si="60"/>
        <v>965</v>
      </c>
      <c r="BQ43" s="316"/>
    </row>
    <row r="44" spans="1:69" x14ac:dyDescent="0.2">
      <c r="A44" s="60" t="s">
        <v>1028</v>
      </c>
      <c r="B44" s="8" t="s">
        <v>1253</v>
      </c>
      <c r="C44" s="11">
        <v>550</v>
      </c>
      <c r="D44" s="11">
        <v>550</v>
      </c>
      <c r="E44" s="11">
        <v>550</v>
      </c>
      <c r="F44" s="11">
        <v>550</v>
      </c>
      <c r="G44" s="11"/>
      <c r="H44" s="11">
        <v>700</v>
      </c>
      <c r="I44" s="196"/>
      <c r="J44" s="196"/>
      <c r="K44" s="196"/>
      <c r="L44" s="196"/>
      <c r="M44" s="196"/>
      <c r="N44" s="196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>
        <v>100</v>
      </c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>
        <v>140</v>
      </c>
      <c r="AZ44" s="11">
        <v>140</v>
      </c>
      <c r="BA44" s="11">
        <v>140</v>
      </c>
      <c r="BB44" s="11">
        <v>140</v>
      </c>
      <c r="BC44" s="11"/>
      <c r="BD44" s="11">
        <v>15</v>
      </c>
      <c r="BE44" s="11">
        <v>50</v>
      </c>
      <c r="BF44" s="11">
        <v>50</v>
      </c>
      <c r="BG44" s="11">
        <v>50</v>
      </c>
      <c r="BH44" s="11">
        <v>50</v>
      </c>
      <c r="BI44" s="11"/>
      <c r="BJ44" s="11"/>
      <c r="BK44" s="291">
        <f t="shared" si="59"/>
        <v>740</v>
      </c>
      <c r="BL44" s="291">
        <f t="shared" si="100"/>
        <v>740</v>
      </c>
      <c r="BM44" s="291">
        <f t="shared" si="60"/>
        <v>740</v>
      </c>
      <c r="BN44" s="291">
        <f t="shared" si="60"/>
        <v>740</v>
      </c>
      <c r="BO44" s="291">
        <f t="shared" si="60"/>
        <v>0</v>
      </c>
      <c r="BP44" s="291">
        <f t="shared" si="60"/>
        <v>815</v>
      </c>
      <c r="BQ44" s="316"/>
    </row>
    <row r="45" spans="1:69" x14ac:dyDescent="0.2">
      <c r="A45" s="281" t="s">
        <v>1235</v>
      </c>
      <c r="B45" s="14" t="s">
        <v>286</v>
      </c>
      <c r="C45" s="6">
        <f t="shared" ref="C45:U45" si="123">SUM(C46:C79)</f>
        <v>31345</v>
      </c>
      <c r="D45" s="6">
        <f t="shared" ref="D45" si="124">SUM(D46:D79)</f>
        <v>32017</v>
      </c>
      <c r="E45" s="6">
        <f t="shared" ref="E45:F45" si="125">SUM(E46:E79)</f>
        <v>32017</v>
      </c>
      <c r="F45" s="6">
        <f t="shared" si="125"/>
        <v>32017</v>
      </c>
      <c r="G45" s="6"/>
      <c r="H45" s="6">
        <f t="shared" si="123"/>
        <v>32479</v>
      </c>
      <c r="I45" s="6">
        <f t="shared" si="123"/>
        <v>200</v>
      </c>
      <c r="J45" s="6">
        <f t="shared" ref="J45" si="126">SUM(J46:J79)</f>
        <v>200</v>
      </c>
      <c r="K45" s="6">
        <f t="shared" ref="K45:L45" si="127">SUM(K46:K79)</f>
        <v>200</v>
      </c>
      <c r="L45" s="6">
        <f t="shared" si="127"/>
        <v>200</v>
      </c>
      <c r="M45" s="6"/>
      <c r="N45" s="6">
        <f t="shared" si="123"/>
        <v>110</v>
      </c>
      <c r="O45" s="6">
        <f t="shared" si="123"/>
        <v>62009</v>
      </c>
      <c r="P45" s="6">
        <f t="shared" ref="P45:Q45" si="128">SUM(P46:P79)</f>
        <v>62009</v>
      </c>
      <c r="Q45" s="6">
        <f t="shared" si="128"/>
        <v>62009</v>
      </c>
      <c r="R45" s="6">
        <f t="shared" ref="R45" si="129">SUM(R46:R79)</f>
        <v>62009</v>
      </c>
      <c r="S45" s="6"/>
      <c r="T45" s="6">
        <f t="shared" si="123"/>
        <v>24720</v>
      </c>
      <c r="U45" s="6">
        <f t="shared" si="123"/>
        <v>5700</v>
      </c>
      <c r="V45" s="6">
        <f t="shared" ref="V45" si="130">SUM(V46:V79)</f>
        <v>5879</v>
      </c>
      <c r="W45" s="6">
        <f t="shared" ref="W45:X45" si="131">SUM(W46:W79)</f>
        <v>5879</v>
      </c>
      <c r="X45" s="6">
        <f t="shared" si="131"/>
        <v>5879</v>
      </c>
      <c r="Y45" s="6"/>
      <c r="Z45" s="6"/>
      <c r="AA45" s="6">
        <f t="shared" ref="AA45:BJ45" si="132">SUM(AA46:AA79)</f>
        <v>108412</v>
      </c>
      <c r="AB45" s="6">
        <f t="shared" ref="AB45:AC45" si="133">SUM(AB46:AB79)</f>
        <v>121833</v>
      </c>
      <c r="AC45" s="6">
        <f t="shared" si="133"/>
        <v>121833</v>
      </c>
      <c r="AD45" s="6">
        <f t="shared" ref="AD45" si="134">SUM(AD46:AD79)</f>
        <v>126991</v>
      </c>
      <c r="AE45" s="6"/>
      <c r="AF45" s="6">
        <f t="shared" si="132"/>
        <v>6386</v>
      </c>
      <c r="AG45" s="6">
        <f t="shared" si="132"/>
        <v>27607</v>
      </c>
      <c r="AH45" s="6">
        <f t="shared" ref="AH45:AI45" si="135">SUM(AH46:AH79)</f>
        <v>26064</v>
      </c>
      <c r="AI45" s="6">
        <f t="shared" si="135"/>
        <v>26064</v>
      </c>
      <c r="AJ45" s="6">
        <f t="shared" ref="AJ45" si="136">SUM(AJ46:AJ79)</f>
        <v>26708</v>
      </c>
      <c r="AK45" s="6"/>
      <c r="AL45" s="6">
        <f t="shared" si="132"/>
        <v>8800</v>
      </c>
      <c r="AM45" s="6">
        <f t="shared" si="132"/>
        <v>0</v>
      </c>
      <c r="AN45" s="6">
        <f t="shared" si="132"/>
        <v>0</v>
      </c>
      <c r="AO45" s="6">
        <f t="shared" si="132"/>
        <v>0</v>
      </c>
      <c r="AP45" s="6">
        <f t="shared" si="132"/>
        <v>0</v>
      </c>
      <c r="AQ45" s="6"/>
      <c r="AR45" s="6">
        <f t="shared" si="132"/>
        <v>0</v>
      </c>
      <c r="AS45" s="6">
        <f t="shared" si="132"/>
        <v>0</v>
      </c>
      <c r="AT45" s="6">
        <f t="shared" si="132"/>
        <v>0</v>
      </c>
      <c r="AU45" s="6">
        <f t="shared" si="132"/>
        <v>0</v>
      </c>
      <c r="AV45" s="6">
        <f t="shared" si="132"/>
        <v>0</v>
      </c>
      <c r="AW45" s="6"/>
      <c r="AX45" s="6">
        <f t="shared" si="132"/>
        <v>0</v>
      </c>
      <c r="AY45" s="6">
        <f t="shared" si="132"/>
        <v>24116</v>
      </c>
      <c r="AZ45" s="6">
        <f t="shared" si="132"/>
        <v>24116</v>
      </c>
      <c r="BA45" s="6">
        <f t="shared" ref="BA45:BB45" si="137">SUM(BA46:BA79)</f>
        <v>24116</v>
      </c>
      <c r="BB45" s="6">
        <f t="shared" si="137"/>
        <v>24986</v>
      </c>
      <c r="BC45" s="6"/>
      <c r="BD45" s="6">
        <f t="shared" si="132"/>
        <v>18572</v>
      </c>
      <c r="BE45" s="6">
        <f t="shared" si="132"/>
        <v>5720</v>
      </c>
      <c r="BF45" s="6">
        <f t="shared" ref="BF45" si="138">SUM(BF46:BF79)</f>
        <v>5720</v>
      </c>
      <c r="BG45" s="6">
        <f t="shared" ref="BG45:BH45" si="139">SUM(BG46:BG79)</f>
        <v>5720</v>
      </c>
      <c r="BH45" s="6">
        <f t="shared" si="139"/>
        <v>6220</v>
      </c>
      <c r="BI45" s="6"/>
      <c r="BJ45" s="6">
        <f t="shared" si="132"/>
        <v>150</v>
      </c>
      <c r="BK45" s="630">
        <f t="shared" si="59"/>
        <v>265109</v>
      </c>
      <c r="BL45" s="630">
        <f t="shared" si="100"/>
        <v>277838</v>
      </c>
      <c r="BM45" s="630">
        <f t="shared" si="60"/>
        <v>277838</v>
      </c>
      <c r="BN45" s="630">
        <f t="shared" si="60"/>
        <v>285010</v>
      </c>
      <c r="BO45" s="630">
        <f t="shared" si="60"/>
        <v>0</v>
      </c>
      <c r="BP45" s="630">
        <f t="shared" si="60"/>
        <v>91217</v>
      </c>
      <c r="BQ45" s="316"/>
    </row>
    <row r="46" spans="1:69" s="9" customFormat="1" x14ac:dyDescent="0.2">
      <c r="A46" s="60" t="s">
        <v>783</v>
      </c>
      <c r="B46" s="8" t="s">
        <v>303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1">
        <v>43300</v>
      </c>
      <c r="P46" s="11">
        <v>43300</v>
      </c>
      <c r="Q46" s="11">
        <v>43300</v>
      </c>
      <c r="R46" s="11">
        <v>43300</v>
      </c>
      <c r="S46" s="11"/>
      <c r="T46" s="11">
        <f>8000+3000+1000</f>
        <v>12000</v>
      </c>
      <c r="U46" s="11">
        <v>1700</v>
      </c>
      <c r="V46" s="11">
        <v>1700</v>
      </c>
      <c r="W46" s="11">
        <v>1700</v>
      </c>
      <c r="X46" s="11">
        <v>1700</v>
      </c>
      <c r="Y46" s="11"/>
      <c r="Z46" s="11"/>
      <c r="AA46" s="11">
        <v>25000</v>
      </c>
      <c r="AB46" s="11">
        <v>25000</v>
      </c>
      <c r="AC46" s="11">
        <v>25000</v>
      </c>
      <c r="AD46" s="11">
        <v>25000</v>
      </c>
      <c r="AE46" s="11"/>
      <c r="AF46" s="11">
        <v>3000</v>
      </c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>
        <v>10000</v>
      </c>
      <c r="AZ46" s="11">
        <v>10000</v>
      </c>
      <c r="BA46" s="11">
        <v>10000</v>
      </c>
      <c r="BB46" s="11">
        <v>10000</v>
      </c>
      <c r="BC46" s="11"/>
      <c r="BD46" s="11">
        <v>2500</v>
      </c>
      <c r="BE46" s="11"/>
      <c r="BF46" s="11"/>
      <c r="BG46" s="11"/>
      <c r="BH46" s="11"/>
      <c r="BI46" s="11"/>
      <c r="BJ46" s="11"/>
      <c r="BK46" s="291">
        <f t="shared" si="59"/>
        <v>80000</v>
      </c>
      <c r="BL46" s="291">
        <f t="shared" si="100"/>
        <v>80000</v>
      </c>
      <c r="BM46" s="291">
        <f t="shared" si="60"/>
        <v>80000</v>
      </c>
      <c r="BN46" s="291">
        <f t="shared" si="60"/>
        <v>80000</v>
      </c>
      <c r="BO46" s="291">
        <f t="shared" si="60"/>
        <v>0</v>
      </c>
      <c r="BP46" s="291">
        <f t="shared" si="60"/>
        <v>17500</v>
      </c>
      <c r="BQ46" s="316"/>
    </row>
    <row r="47" spans="1:69" s="9" customFormat="1" x14ac:dyDescent="0.2">
      <c r="A47" s="60" t="s">
        <v>1025</v>
      </c>
      <c r="B47" s="8" t="s">
        <v>315</v>
      </c>
      <c r="C47" s="11"/>
      <c r="D47" s="11"/>
      <c r="E47" s="11"/>
      <c r="F47" s="11"/>
      <c r="G47" s="11"/>
      <c r="H47" s="11"/>
      <c r="I47" s="196"/>
      <c r="J47" s="196"/>
      <c r="K47" s="196"/>
      <c r="L47" s="196"/>
      <c r="M47" s="196"/>
      <c r="N47" s="196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>
        <v>27457</v>
      </c>
      <c r="AH47" s="11">
        <f>27457-2057</f>
        <v>25400</v>
      </c>
      <c r="AI47" s="11">
        <f>27457-2057</f>
        <v>25400</v>
      </c>
      <c r="AJ47" s="11">
        <f>27457-2057+644</f>
        <v>26044</v>
      </c>
      <c r="AK47" s="11"/>
      <c r="AL47" s="11">
        <f>6600+2000+200</f>
        <v>8800</v>
      </c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91">
        <f t="shared" si="59"/>
        <v>27457</v>
      </c>
      <c r="BL47" s="291">
        <f t="shared" si="100"/>
        <v>25400</v>
      </c>
      <c r="BM47" s="291">
        <f t="shared" ref="BM47:BP62" si="140">E47+K47+Q47+W47+AC47+AI47+AO47+AU47+BA47+BG47</f>
        <v>25400</v>
      </c>
      <c r="BN47" s="291">
        <f t="shared" si="140"/>
        <v>26044</v>
      </c>
      <c r="BO47" s="291">
        <f t="shared" si="140"/>
        <v>0</v>
      </c>
      <c r="BP47" s="291">
        <f t="shared" si="140"/>
        <v>8800</v>
      </c>
      <c r="BQ47" s="316"/>
    </row>
    <row r="48" spans="1:69" s="9" customFormat="1" x14ac:dyDescent="0.2">
      <c r="A48" s="60" t="s">
        <v>1115</v>
      </c>
      <c r="B48" s="8" t="s">
        <v>302</v>
      </c>
      <c r="C48" s="11">
        <v>120</v>
      </c>
      <c r="D48" s="11">
        <v>120</v>
      </c>
      <c r="E48" s="11">
        <v>120</v>
      </c>
      <c r="F48" s="11">
        <v>120</v>
      </c>
      <c r="G48" s="11"/>
      <c r="H48" s="11">
        <v>850</v>
      </c>
      <c r="I48" s="196"/>
      <c r="J48" s="196"/>
      <c r="K48" s="196"/>
      <c r="L48" s="196"/>
      <c r="M48" s="196"/>
      <c r="N48" s="196"/>
      <c r="O48" s="11">
        <v>16357</v>
      </c>
      <c r="P48" s="11">
        <v>16357</v>
      </c>
      <c r="Q48" s="11">
        <v>16357</v>
      </c>
      <c r="R48" s="11">
        <v>16357</v>
      </c>
      <c r="S48" s="11"/>
      <c r="T48" s="11">
        <v>12720</v>
      </c>
      <c r="U48" s="11"/>
      <c r="V48" s="11"/>
      <c r="W48" s="11"/>
      <c r="X48" s="11"/>
      <c r="Y48" s="11"/>
      <c r="Z48" s="11"/>
      <c r="AA48" s="11">
        <v>0</v>
      </c>
      <c r="AB48" s="11">
        <v>488</v>
      </c>
      <c r="AC48" s="11">
        <v>488</v>
      </c>
      <c r="AD48" s="11">
        <v>488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91">
        <f t="shared" si="59"/>
        <v>16477</v>
      </c>
      <c r="BL48" s="291">
        <f t="shared" si="100"/>
        <v>16965</v>
      </c>
      <c r="BM48" s="291">
        <f t="shared" si="140"/>
        <v>16965</v>
      </c>
      <c r="BN48" s="291">
        <f t="shared" si="140"/>
        <v>16965</v>
      </c>
      <c r="BO48" s="291">
        <f t="shared" si="140"/>
        <v>0</v>
      </c>
      <c r="BP48" s="291">
        <f t="shared" si="140"/>
        <v>13570</v>
      </c>
      <c r="BQ48" s="316"/>
    </row>
    <row r="49" spans="1:71" s="9" customFormat="1" x14ac:dyDescent="0.2">
      <c r="A49" s="60" t="s">
        <v>1029</v>
      </c>
      <c r="B49" s="8" t="s">
        <v>301</v>
      </c>
      <c r="C49" s="11">
        <v>400</v>
      </c>
      <c r="D49" s="11">
        <v>400</v>
      </c>
      <c r="E49" s="11">
        <v>400</v>
      </c>
      <c r="F49" s="11">
        <v>400</v>
      </c>
      <c r="G49" s="11"/>
      <c r="H49" s="11">
        <v>3100</v>
      </c>
      <c r="I49" s="11">
        <v>50</v>
      </c>
      <c r="J49" s="11">
        <v>50</v>
      </c>
      <c r="K49" s="11">
        <v>50</v>
      </c>
      <c r="L49" s="11">
        <v>50</v>
      </c>
      <c r="M49" s="196"/>
      <c r="N49" s="196"/>
      <c r="O49" s="11"/>
      <c r="P49" s="11"/>
      <c r="Q49" s="11"/>
      <c r="R49" s="11"/>
      <c r="S49" s="11"/>
      <c r="T49" s="11"/>
      <c r="U49" s="11">
        <v>600</v>
      </c>
      <c r="V49" s="11">
        <v>600</v>
      </c>
      <c r="W49" s="11">
        <v>600</v>
      </c>
      <c r="X49" s="11">
        <v>600</v>
      </c>
      <c r="Y49" s="11"/>
      <c r="Z49" s="11"/>
      <c r="AA49" s="11">
        <v>2100</v>
      </c>
      <c r="AB49" s="11">
        <v>2100</v>
      </c>
      <c r="AC49" s="11">
        <v>2100</v>
      </c>
      <c r="AD49" s="11">
        <f>2100+2018</f>
        <v>4118</v>
      </c>
      <c r="AE49" s="11"/>
      <c r="AF49" s="11">
        <v>50</v>
      </c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>
        <v>200</v>
      </c>
      <c r="AZ49" s="11">
        <v>200</v>
      </c>
      <c r="BA49" s="11">
        <v>200</v>
      </c>
      <c r="BB49" s="11">
        <v>200</v>
      </c>
      <c r="BC49" s="11"/>
      <c r="BD49" s="11">
        <v>100</v>
      </c>
      <c r="BE49" s="11">
        <v>100</v>
      </c>
      <c r="BF49" s="11">
        <v>100</v>
      </c>
      <c r="BG49" s="11">
        <v>100</v>
      </c>
      <c r="BH49" s="11">
        <v>100</v>
      </c>
      <c r="BI49" s="11"/>
      <c r="BJ49" s="11">
        <v>150</v>
      </c>
      <c r="BK49" s="291">
        <f t="shared" si="59"/>
        <v>3450</v>
      </c>
      <c r="BL49" s="291">
        <f t="shared" si="100"/>
        <v>3450</v>
      </c>
      <c r="BM49" s="291">
        <f t="shared" si="140"/>
        <v>3450</v>
      </c>
      <c r="BN49" s="291">
        <f t="shared" si="140"/>
        <v>5468</v>
      </c>
      <c r="BO49" s="291">
        <f t="shared" si="140"/>
        <v>0</v>
      </c>
      <c r="BP49" s="291">
        <f t="shared" si="140"/>
        <v>3400</v>
      </c>
      <c r="BQ49" s="316"/>
    </row>
    <row r="50" spans="1:71" s="9" customFormat="1" x14ac:dyDescent="0.2">
      <c r="A50" s="60"/>
      <c r="B50" s="8" t="s">
        <v>398</v>
      </c>
      <c r="C50" s="11"/>
      <c r="D50" s="11"/>
      <c r="E50" s="11"/>
      <c r="F50" s="11"/>
      <c r="G50" s="11"/>
      <c r="H50" s="11"/>
      <c r="I50" s="196"/>
      <c r="J50" s="196"/>
      <c r="K50" s="196"/>
      <c r="L50" s="196"/>
      <c r="M50" s="196"/>
      <c r="N50" s="196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>
        <v>796</v>
      </c>
      <c r="AB50" s="11">
        <v>796</v>
      </c>
      <c r="AC50" s="11">
        <v>796</v>
      </c>
      <c r="AD50" s="11">
        <v>796</v>
      </c>
      <c r="AE50" s="11"/>
      <c r="AF50" s="11">
        <v>796</v>
      </c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91">
        <f t="shared" si="59"/>
        <v>796</v>
      </c>
      <c r="BL50" s="291">
        <f t="shared" si="100"/>
        <v>796</v>
      </c>
      <c r="BM50" s="291">
        <f t="shared" si="140"/>
        <v>796</v>
      </c>
      <c r="BN50" s="291">
        <f t="shared" si="140"/>
        <v>796</v>
      </c>
      <c r="BO50" s="291">
        <f t="shared" si="140"/>
        <v>0</v>
      </c>
      <c r="BP50" s="291">
        <f t="shared" si="140"/>
        <v>796</v>
      </c>
      <c r="BQ50" s="316"/>
    </row>
    <row r="51" spans="1:71" s="9" customFormat="1" ht="12.75" customHeight="1" x14ac:dyDescent="0.2">
      <c r="A51" s="60" t="s">
        <v>1044</v>
      </c>
      <c r="B51" s="8" t="s">
        <v>300</v>
      </c>
      <c r="C51" s="11">
        <v>2000</v>
      </c>
      <c r="D51" s="11">
        <v>2000</v>
      </c>
      <c r="E51" s="11">
        <v>2000</v>
      </c>
      <c r="F51" s="11">
        <v>2000</v>
      </c>
      <c r="G51" s="11"/>
      <c r="H51" s="11">
        <v>170</v>
      </c>
      <c r="I51" s="196"/>
      <c r="J51" s="196"/>
      <c r="K51" s="196"/>
      <c r="L51" s="196"/>
      <c r="M51" s="196"/>
      <c r="N51" s="196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>
        <v>13000</v>
      </c>
      <c r="AB51" s="11">
        <v>13000</v>
      </c>
      <c r="AC51" s="11">
        <v>13000</v>
      </c>
      <c r="AD51" s="11">
        <v>13000</v>
      </c>
      <c r="AE51" s="11"/>
      <c r="AF51" s="11">
        <f t="shared" ref="AF51" si="141">850+520+1000+170</f>
        <v>2540</v>
      </c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91">
        <f t="shared" si="59"/>
        <v>15000</v>
      </c>
      <c r="BL51" s="291">
        <f t="shared" si="100"/>
        <v>15000</v>
      </c>
      <c r="BM51" s="291">
        <f t="shared" si="140"/>
        <v>15000</v>
      </c>
      <c r="BN51" s="291">
        <f t="shared" si="140"/>
        <v>15000</v>
      </c>
      <c r="BO51" s="291">
        <f t="shared" si="140"/>
        <v>0</v>
      </c>
      <c r="BP51" s="291">
        <f t="shared" si="140"/>
        <v>2710</v>
      </c>
      <c r="BQ51" s="316"/>
    </row>
    <row r="52" spans="1:71" s="9" customFormat="1" x14ac:dyDescent="0.2">
      <c r="A52" s="60" t="s">
        <v>784</v>
      </c>
      <c r="B52" s="8" t="s">
        <v>299</v>
      </c>
      <c r="C52" s="11"/>
      <c r="D52" s="11"/>
      <c r="E52" s="11"/>
      <c r="F52" s="11"/>
      <c r="G52" s="11"/>
      <c r="H52" s="11"/>
      <c r="I52" s="196"/>
      <c r="J52" s="196"/>
      <c r="K52" s="196"/>
      <c r="L52" s="196"/>
      <c r="M52" s="196"/>
      <c r="N52" s="196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>
        <v>30</v>
      </c>
      <c r="BE52" s="11"/>
      <c r="BF52" s="11"/>
      <c r="BG52" s="11"/>
      <c r="BH52" s="11"/>
      <c r="BI52" s="11"/>
      <c r="BJ52" s="11"/>
      <c r="BK52" s="291">
        <f t="shared" si="59"/>
        <v>0</v>
      </c>
      <c r="BL52" s="291">
        <f t="shared" si="100"/>
        <v>0</v>
      </c>
      <c r="BM52" s="291">
        <f t="shared" si="140"/>
        <v>0</v>
      </c>
      <c r="BN52" s="291">
        <f t="shared" si="140"/>
        <v>0</v>
      </c>
      <c r="BO52" s="291">
        <f t="shared" si="140"/>
        <v>0</v>
      </c>
      <c r="BP52" s="291">
        <f t="shared" si="140"/>
        <v>30</v>
      </c>
      <c r="BQ52" s="316"/>
    </row>
    <row r="53" spans="1:71" s="9" customFormat="1" x14ac:dyDescent="0.2">
      <c r="A53" s="60"/>
      <c r="B53" s="8" t="s">
        <v>307</v>
      </c>
      <c r="C53" s="11">
        <v>1620</v>
      </c>
      <c r="D53" s="11">
        <v>1620</v>
      </c>
      <c r="E53" s="11">
        <v>1620</v>
      </c>
      <c r="F53" s="11">
        <v>1620</v>
      </c>
      <c r="G53" s="11"/>
      <c r="H53" s="11">
        <v>1254</v>
      </c>
      <c r="I53" s="196"/>
      <c r="J53" s="196"/>
      <c r="K53" s="196"/>
      <c r="L53" s="196"/>
      <c r="M53" s="196"/>
      <c r="N53" s="196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91">
        <f t="shared" si="59"/>
        <v>1620</v>
      </c>
      <c r="BL53" s="291">
        <f t="shared" si="100"/>
        <v>1620</v>
      </c>
      <c r="BM53" s="291">
        <f t="shared" si="140"/>
        <v>1620</v>
      </c>
      <c r="BN53" s="291">
        <f t="shared" si="140"/>
        <v>1620</v>
      </c>
      <c r="BO53" s="291">
        <f t="shared" si="140"/>
        <v>0</v>
      </c>
      <c r="BP53" s="291">
        <f t="shared" si="140"/>
        <v>1254</v>
      </c>
      <c r="BQ53" s="316"/>
    </row>
    <row r="54" spans="1:71" s="9" customFormat="1" x14ac:dyDescent="0.2">
      <c r="A54" s="60"/>
      <c r="B54" s="8" t="s">
        <v>308</v>
      </c>
      <c r="C54" s="11">
        <v>1920</v>
      </c>
      <c r="D54" s="11">
        <v>1920</v>
      </c>
      <c r="E54" s="11">
        <v>1920</v>
      </c>
      <c r="F54" s="11">
        <v>1920</v>
      </c>
      <c r="G54" s="11"/>
      <c r="H54" s="11">
        <v>1600</v>
      </c>
      <c r="I54" s="196"/>
      <c r="J54" s="196"/>
      <c r="K54" s="196"/>
      <c r="L54" s="196"/>
      <c r="M54" s="196"/>
      <c r="N54" s="196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91">
        <f t="shared" ref="BK54:BK66" si="142">C54+I54+O54+U54+AA54+AG54+AM54+AS54+AY54+BE54</f>
        <v>1920</v>
      </c>
      <c r="BL54" s="291">
        <f t="shared" si="100"/>
        <v>1920</v>
      </c>
      <c r="BM54" s="291">
        <f t="shared" si="140"/>
        <v>1920</v>
      </c>
      <c r="BN54" s="291">
        <f t="shared" si="140"/>
        <v>1920</v>
      </c>
      <c r="BO54" s="291">
        <f t="shared" si="140"/>
        <v>0</v>
      </c>
      <c r="BP54" s="291">
        <f t="shared" si="140"/>
        <v>1600</v>
      </c>
      <c r="BQ54" s="316"/>
    </row>
    <row r="55" spans="1:71" s="9" customFormat="1" x14ac:dyDescent="0.2">
      <c r="A55" s="60"/>
      <c r="B55" s="8" t="s">
        <v>321</v>
      </c>
      <c r="C55" s="11">
        <f>(2100+2520+1950)+7000+430</f>
        <v>14000</v>
      </c>
      <c r="D55" s="11">
        <f>(2100+2520+1950)+(7000-1328)+430+2000</f>
        <v>14672</v>
      </c>
      <c r="E55" s="11">
        <f>(2100+2520+1950)+(7000-1328)+430+2000</f>
        <v>14672</v>
      </c>
      <c r="F55" s="11">
        <f>(2100+2520+1950)+(7000-1328)+430+2000</f>
        <v>14672</v>
      </c>
      <c r="G55" s="11"/>
      <c r="H55" s="11">
        <f>(1000+3000)</f>
        <v>4000</v>
      </c>
      <c r="I55" s="196"/>
      <c r="J55" s="196"/>
      <c r="K55" s="196"/>
      <c r="L55" s="196"/>
      <c r="M55" s="196"/>
      <c r="N55" s="196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91">
        <f t="shared" si="142"/>
        <v>14000</v>
      </c>
      <c r="BL55" s="291">
        <f t="shared" si="100"/>
        <v>14672</v>
      </c>
      <c r="BM55" s="291">
        <f t="shared" si="140"/>
        <v>14672</v>
      </c>
      <c r="BN55" s="291">
        <f t="shared" si="140"/>
        <v>14672</v>
      </c>
      <c r="BO55" s="291">
        <f t="shared" si="140"/>
        <v>0</v>
      </c>
      <c r="BP55" s="291">
        <f t="shared" si="140"/>
        <v>4000</v>
      </c>
      <c r="BQ55" s="316"/>
    </row>
    <row r="56" spans="1:71" s="9" customFormat="1" x14ac:dyDescent="0.2">
      <c r="A56" s="60"/>
      <c r="B56" s="8" t="s">
        <v>826</v>
      </c>
      <c r="C56" s="11">
        <f>2000+680</f>
        <v>2680</v>
      </c>
      <c r="D56" s="11">
        <f>2000+680</f>
        <v>2680</v>
      </c>
      <c r="E56" s="11">
        <f>2000+680</f>
        <v>2680</v>
      </c>
      <c r="F56" s="11">
        <f>2000+680</f>
        <v>2680</v>
      </c>
      <c r="G56" s="11"/>
      <c r="H56" s="11">
        <v>3000</v>
      </c>
      <c r="I56" s="196"/>
      <c r="J56" s="196"/>
      <c r="K56" s="196"/>
      <c r="L56" s="196"/>
      <c r="M56" s="196"/>
      <c r="N56" s="196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91">
        <f t="shared" si="142"/>
        <v>2680</v>
      </c>
      <c r="BL56" s="291">
        <f t="shared" si="100"/>
        <v>2680</v>
      </c>
      <c r="BM56" s="291">
        <f t="shared" si="140"/>
        <v>2680</v>
      </c>
      <c r="BN56" s="291">
        <f t="shared" si="140"/>
        <v>2680</v>
      </c>
      <c r="BO56" s="291">
        <f t="shared" si="140"/>
        <v>0</v>
      </c>
      <c r="BP56" s="291">
        <f t="shared" si="140"/>
        <v>3000</v>
      </c>
      <c r="BQ56" s="316"/>
    </row>
    <row r="57" spans="1:71" s="9" customFormat="1" x14ac:dyDescent="0.2">
      <c r="A57" s="60"/>
      <c r="B57" s="8" t="s">
        <v>319</v>
      </c>
      <c r="C57" s="8"/>
      <c r="D57" s="8"/>
      <c r="E57" s="8"/>
      <c r="F57" s="8"/>
      <c r="G57" s="8"/>
      <c r="H57" s="8"/>
      <c r="I57" s="11"/>
      <c r="J57" s="11"/>
      <c r="K57" s="11"/>
      <c r="L57" s="11"/>
      <c r="M57" s="196"/>
      <c r="N57" s="196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>
        <v>128</v>
      </c>
      <c r="AZ57" s="11">
        <v>128</v>
      </c>
      <c r="BA57" s="11">
        <v>128</v>
      </c>
      <c r="BB57" s="11">
        <v>128</v>
      </c>
      <c r="BC57" s="11"/>
      <c r="BD57" s="11">
        <v>90</v>
      </c>
      <c r="BE57" s="11"/>
      <c r="BF57" s="11"/>
      <c r="BG57" s="11"/>
      <c r="BH57" s="11"/>
      <c r="BI57" s="11"/>
      <c r="BJ57" s="11"/>
      <c r="BK57" s="291">
        <f t="shared" si="142"/>
        <v>128</v>
      </c>
      <c r="BL57" s="291">
        <f t="shared" si="100"/>
        <v>128</v>
      </c>
      <c r="BM57" s="291">
        <f t="shared" si="140"/>
        <v>128</v>
      </c>
      <c r="BN57" s="291">
        <f t="shared" si="140"/>
        <v>128</v>
      </c>
      <c r="BO57" s="291">
        <f t="shared" si="140"/>
        <v>0</v>
      </c>
      <c r="BP57" s="291">
        <f t="shared" si="140"/>
        <v>90</v>
      </c>
      <c r="BQ57" s="316"/>
    </row>
    <row r="58" spans="1:71" s="9" customFormat="1" x14ac:dyDescent="0.2">
      <c r="A58" s="60"/>
      <c r="B58" s="8" t="s">
        <v>92</v>
      </c>
      <c r="C58" s="8"/>
      <c r="D58" s="8"/>
      <c r="E58" s="8"/>
      <c r="F58" s="8"/>
      <c r="G58" s="8"/>
      <c r="H58" s="8"/>
      <c r="I58" s="196"/>
      <c r="J58" s="196"/>
      <c r="K58" s="196"/>
      <c r="L58" s="196"/>
      <c r="M58" s="196"/>
      <c r="N58" s="196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>
        <v>1022</v>
      </c>
      <c r="AZ58" s="11">
        <v>1022</v>
      </c>
      <c r="BA58" s="11">
        <v>1022</v>
      </c>
      <c r="BB58" s="11">
        <v>1022</v>
      </c>
      <c r="BC58" s="11"/>
      <c r="BD58" s="11">
        <v>1022</v>
      </c>
      <c r="BE58" s="11"/>
      <c r="BF58" s="11"/>
      <c r="BG58" s="11"/>
      <c r="BH58" s="11"/>
      <c r="BI58" s="11"/>
      <c r="BJ58" s="11"/>
      <c r="BK58" s="291">
        <f t="shared" si="142"/>
        <v>1022</v>
      </c>
      <c r="BL58" s="291">
        <f t="shared" si="100"/>
        <v>1022</v>
      </c>
      <c r="BM58" s="291">
        <f t="shared" si="140"/>
        <v>1022</v>
      </c>
      <c r="BN58" s="291">
        <f t="shared" si="140"/>
        <v>1022</v>
      </c>
      <c r="BO58" s="291">
        <f t="shared" si="140"/>
        <v>0</v>
      </c>
      <c r="BP58" s="291">
        <f t="shared" si="140"/>
        <v>1022</v>
      </c>
      <c r="BQ58" s="316"/>
    </row>
    <row r="59" spans="1:71" s="9" customFormat="1" x14ac:dyDescent="0.2">
      <c r="A59" s="60"/>
      <c r="B59" s="8" t="s">
        <v>827</v>
      </c>
      <c r="C59" s="8"/>
      <c r="D59" s="8"/>
      <c r="E59" s="8"/>
      <c r="F59" s="8"/>
      <c r="G59" s="8"/>
      <c r="H59" s="8"/>
      <c r="I59" s="196"/>
      <c r="J59" s="196"/>
      <c r="K59" s="196"/>
      <c r="L59" s="196"/>
      <c r="M59" s="196"/>
      <c r="N59" s="196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>
        <v>2815</v>
      </c>
      <c r="AZ59" s="11">
        <v>2815</v>
      </c>
      <c r="BA59" s="11">
        <v>2815</v>
      </c>
      <c r="BB59" s="11">
        <v>2815</v>
      </c>
      <c r="BC59" s="11"/>
      <c r="BD59" s="11">
        <v>2458</v>
      </c>
      <c r="BE59" s="11"/>
      <c r="BF59" s="11"/>
      <c r="BG59" s="11"/>
      <c r="BH59" s="11"/>
      <c r="BI59" s="11"/>
      <c r="BJ59" s="11"/>
      <c r="BK59" s="291">
        <f t="shared" si="142"/>
        <v>2815</v>
      </c>
      <c r="BL59" s="291">
        <f t="shared" si="100"/>
        <v>2815</v>
      </c>
      <c r="BM59" s="291">
        <f t="shared" si="140"/>
        <v>2815</v>
      </c>
      <c r="BN59" s="291">
        <f t="shared" si="140"/>
        <v>2815</v>
      </c>
      <c r="BO59" s="291">
        <f t="shared" si="140"/>
        <v>0</v>
      </c>
      <c r="BP59" s="291">
        <f t="shared" si="140"/>
        <v>2458</v>
      </c>
      <c r="BQ59" s="316"/>
    </row>
    <row r="60" spans="1:71" s="9" customFormat="1" x14ac:dyDescent="0.2">
      <c r="A60" s="60"/>
      <c r="B60" s="8" t="s">
        <v>401</v>
      </c>
      <c r="C60" s="8"/>
      <c r="D60" s="8"/>
      <c r="E60" s="8"/>
      <c r="F60" s="8"/>
      <c r="G60" s="8"/>
      <c r="H60" s="8"/>
      <c r="I60" s="196"/>
      <c r="J60" s="196"/>
      <c r="K60" s="196"/>
      <c r="L60" s="196"/>
      <c r="M60" s="196"/>
      <c r="N60" s="196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>
        <v>8683</v>
      </c>
      <c r="AZ60" s="11">
        <v>8683</v>
      </c>
      <c r="BA60" s="11">
        <v>8683</v>
      </c>
      <c r="BB60" s="11">
        <v>8683</v>
      </c>
      <c r="BC60" s="11"/>
      <c r="BD60" s="11">
        <v>11417</v>
      </c>
      <c r="BE60" s="11"/>
      <c r="BF60" s="11"/>
      <c r="BG60" s="11"/>
      <c r="BH60" s="11"/>
      <c r="BI60" s="11"/>
      <c r="BJ60" s="11"/>
      <c r="BK60" s="291">
        <f t="shared" si="142"/>
        <v>8683</v>
      </c>
      <c r="BL60" s="291">
        <f t="shared" si="100"/>
        <v>8683</v>
      </c>
      <c r="BM60" s="291">
        <f t="shared" si="140"/>
        <v>8683</v>
      </c>
      <c r="BN60" s="291">
        <f t="shared" si="140"/>
        <v>8683</v>
      </c>
      <c r="BO60" s="291">
        <f t="shared" si="140"/>
        <v>0</v>
      </c>
      <c r="BP60" s="291">
        <f t="shared" si="140"/>
        <v>11417</v>
      </c>
      <c r="BQ60" s="316"/>
    </row>
    <row r="61" spans="1:71" s="9" customFormat="1" x14ac:dyDescent="0.2">
      <c r="A61" s="60"/>
      <c r="B61" s="8" t="s">
        <v>310</v>
      </c>
      <c r="C61" s="8"/>
      <c r="D61" s="8"/>
      <c r="E61" s="8"/>
      <c r="F61" s="8"/>
      <c r="G61" s="8"/>
      <c r="H61" s="8"/>
      <c r="I61" s="196"/>
      <c r="J61" s="196"/>
      <c r="K61" s="196"/>
      <c r="L61" s="196"/>
      <c r="M61" s="196"/>
      <c r="N61" s="196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>
        <v>728</v>
      </c>
      <c r="AZ61" s="11">
        <v>728</v>
      </c>
      <c r="BA61" s="11">
        <v>728</v>
      </c>
      <c r="BB61" s="11">
        <v>728</v>
      </c>
      <c r="BC61" s="11"/>
      <c r="BD61" s="11">
        <v>630</v>
      </c>
      <c r="BE61" s="11"/>
      <c r="BF61" s="11"/>
      <c r="BG61" s="11"/>
      <c r="BH61" s="11"/>
      <c r="BI61" s="11"/>
      <c r="BJ61" s="11"/>
      <c r="BK61" s="291">
        <f t="shared" si="142"/>
        <v>728</v>
      </c>
      <c r="BL61" s="291">
        <f t="shared" si="100"/>
        <v>728</v>
      </c>
      <c r="BM61" s="291">
        <f t="shared" si="140"/>
        <v>728</v>
      </c>
      <c r="BN61" s="291">
        <f t="shared" si="140"/>
        <v>728</v>
      </c>
      <c r="BO61" s="291">
        <f t="shared" si="140"/>
        <v>0</v>
      </c>
      <c r="BP61" s="291">
        <f t="shared" si="140"/>
        <v>630</v>
      </c>
      <c r="BQ61" s="316"/>
    </row>
    <row r="62" spans="1:71" s="9" customFormat="1" x14ac:dyDescent="0.2">
      <c r="A62" s="60"/>
      <c r="B62" s="8" t="s">
        <v>985</v>
      </c>
      <c r="C62" s="8"/>
      <c r="D62" s="8"/>
      <c r="E62" s="8"/>
      <c r="F62" s="8"/>
      <c r="G62" s="8"/>
      <c r="H62" s="8"/>
      <c r="I62" s="196"/>
      <c r="J62" s="196"/>
      <c r="K62" s="196"/>
      <c r="L62" s="196"/>
      <c r="M62" s="196"/>
      <c r="N62" s="196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>
        <f>(260*12)</f>
        <v>3120</v>
      </c>
      <c r="BF62" s="11">
        <f>(260*12)</f>
        <v>3120</v>
      </c>
      <c r="BG62" s="11">
        <f>(260*12)</f>
        <v>3120</v>
      </c>
      <c r="BH62" s="11">
        <f>(260*12)</f>
        <v>3120</v>
      </c>
      <c r="BI62" s="11"/>
      <c r="BJ62" s="11"/>
      <c r="BK62" s="291">
        <f t="shared" si="142"/>
        <v>3120</v>
      </c>
      <c r="BL62" s="291">
        <f t="shared" si="100"/>
        <v>3120</v>
      </c>
      <c r="BM62" s="291">
        <f t="shared" si="140"/>
        <v>3120</v>
      </c>
      <c r="BN62" s="291">
        <f t="shared" si="140"/>
        <v>3120</v>
      </c>
      <c r="BO62" s="291">
        <f t="shared" si="140"/>
        <v>0</v>
      </c>
      <c r="BP62" s="291">
        <f t="shared" si="140"/>
        <v>0</v>
      </c>
      <c r="BQ62" s="316"/>
      <c r="BS62" s="37"/>
    </row>
    <row r="63" spans="1:71" s="9" customFormat="1" ht="12.75" customHeight="1" x14ac:dyDescent="0.2">
      <c r="A63" s="60"/>
      <c r="B63" s="8" t="s">
        <v>1287</v>
      </c>
      <c r="C63" s="11">
        <v>605</v>
      </c>
      <c r="D63" s="11">
        <v>605</v>
      </c>
      <c r="E63" s="11">
        <v>605</v>
      </c>
      <c r="F63" s="11">
        <v>605</v>
      </c>
      <c r="G63" s="11"/>
      <c r="H63" s="11">
        <v>605</v>
      </c>
      <c r="I63" s="196"/>
      <c r="J63" s="196"/>
      <c r="K63" s="196"/>
      <c r="L63" s="196"/>
      <c r="M63" s="196"/>
      <c r="N63" s="196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291">
        <f t="shared" si="142"/>
        <v>605</v>
      </c>
      <c r="BL63" s="291">
        <f t="shared" si="100"/>
        <v>605</v>
      </c>
      <c r="BM63" s="291">
        <f t="shared" ref="BM63:BP78" si="143">E63+K63+Q63+W63+AC63+AI63+AO63+AU63+BA63+BG63</f>
        <v>605</v>
      </c>
      <c r="BN63" s="291">
        <f t="shared" si="143"/>
        <v>605</v>
      </c>
      <c r="BO63" s="291">
        <f t="shared" si="143"/>
        <v>0</v>
      </c>
      <c r="BP63" s="291">
        <f t="shared" si="143"/>
        <v>605</v>
      </c>
      <c r="BQ63" s="316"/>
    </row>
    <row r="64" spans="1:71" s="9" customFormat="1" ht="12.75" hidden="1" customHeight="1" x14ac:dyDescent="0.2">
      <c r="A64" s="60"/>
      <c r="B64" s="8"/>
      <c r="C64" s="11"/>
      <c r="D64" s="11"/>
      <c r="E64" s="11"/>
      <c r="F64" s="11"/>
      <c r="G64" s="11"/>
      <c r="H64" s="11">
        <v>2000</v>
      </c>
      <c r="I64" s="196"/>
      <c r="J64" s="196"/>
      <c r="K64" s="196"/>
      <c r="L64" s="196"/>
      <c r="M64" s="196"/>
      <c r="N64" s="196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291">
        <f t="shared" si="142"/>
        <v>0</v>
      </c>
      <c r="BL64" s="291">
        <f t="shared" si="100"/>
        <v>0</v>
      </c>
      <c r="BM64" s="291">
        <f t="shared" si="143"/>
        <v>0</v>
      </c>
      <c r="BN64" s="291">
        <f t="shared" si="143"/>
        <v>0</v>
      </c>
      <c r="BO64" s="291">
        <f t="shared" si="143"/>
        <v>0</v>
      </c>
      <c r="BP64" s="291">
        <f t="shared" si="143"/>
        <v>2000</v>
      </c>
      <c r="BQ64" s="316"/>
    </row>
    <row r="65" spans="1:69" s="9" customFormat="1" ht="15" x14ac:dyDescent="0.25">
      <c r="A65" s="60"/>
      <c r="B65" s="20" t="s">
        <v>830</v>
      </c>
      <c r="C65" s="11">
        <v>2000</v>
      </c>
      <c r="D65" s="11">
        <v>2000</v>
      </c>
      <c r="E65" s="11">
        <v>2000</v>
      </c>
      <c r="F65" s="11">
        <v>2000</v>
      </c>
      <c r="G65" s="11"/>
      <c r="H65" s="11">
        <v>2000</v>
      </c>
      <c r="I65" s="196"/>
      <c r="J65" s="196"/>
      <c r="K65" s="196"/>
      <c r="L65" s="196"/>
      <c r="M65" s="196"/>
      <c r="N65" s="196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>
        <f>3500+224+3960+1500</f>
        <v>9184</v>
      </c>
      <c r="AB65" s="11">
        <f>3500+224+3960+1500+7500+900</f>
        <v>17584</v>
      </c>
      <c r="AC65" s="11">
        <f>3500+224+3960+1500+7500+900-909+1000+390</f>
        <v>18065</v>
      </c>
      <c r="AD65" s="11">
        <f>(3500+224+3960+1500+7500+900-909+1000+390)+950</f>
        <v>19015</v>
      </c>
      <c r="AE65" s="11"/>
      <c r="AF65" s="11"/>
      <c r="AG65" s="11">
        <v>0</v>
      </c>
      <c r="AH65" s="11">
        <v>514</v>
      </c>
      <c r="AI65" s="11">
        <v>0</v>
      </c>
      <c r="AJ65" s="11"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291">
        <f t="shared" si="142"/>
        <v>11184</v>
      </c>
      <c r="BL65" s="291">
        <f t="shared" si="100"/>
        <v>20098</v>
      </c>
      <c r="BM65" s="291">
        <f t="shared" si="143"/>
        <v>20065</v>
      </c>
      <c r="BN65" s="291">
        <f t="shared" si="143"/>
        <v>21015</v>
      </c>
      <c r="BO65" s="291">
        <f t="shared" si="143"/>
        <v>0</v>
      </c>
      <c r="BP65" s="291">
        <f t="shared" si="143"/>
        <v>2000</v>
      </c>
      <c r="BQ65" s="665"/>
    </row>
    <row r="66" spans="1:69" s="9" customFormat="1" ht="15" customHeight="1" thickBot="1" x14ac:dyDescent="0.3">
      <c r="A66" s="60"/>
      <c r="B66" s="20" t="s">
        <v>1381</v>
      </c>
      <c r="C66" s="11"/>
      <c r="D66" s="11"/>
      <c r="E66" s="11"/>
      <c r="F66" s="11"/>
      <c r="G66" s="11"/>
      <c r="H66" s="11"/>
      <c r="I66" s="196"/>
      <c r="J66" s="196"/>
      <c r="K66" s="196"/>
      <c r="L66" s="196"/>
      <c r="M66" s="196"/>
      <c r="N66" s="196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>
        <v>0</v>
      </c>
      <c r="AB66" s="11">
        <v>0</v>
      </c>
      <c r="AC66" s="11">
        <v>0</v>
      </c>
      <c r="AD66" s="11">
        <v>2190</v>
      </c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291">
        <f t="shared" si="142"/>
        <v>0</v>
      </c>
      <c r="BL66" s="291">
        <f t="shared" si="100"/>
        <v>0</v>
      </c>
      <c r="BM66" s="291">
        <f t="shared" si="143"/>
        <v>0</v>
      </c>
      <c r="BN66" s="291">
        <f t="shared" si="143"/>
        <v>2190</v>
      </c>
      <c r="BO66" s="291">
        <f t="shared" si="143"/>
        <v>0</v>
      </c>
      <c r="BP66" s="291">
        <f t="shared" si="143"/>
        <v>0</v>
      </c>
      <c r="BQ66" s="665"/>
    </row>
    <row r="67" spans="1:69" s="9" customFormat="1" ht="15.75" hidden="1" customHeight="1" x14ac:dyDescent="0.25">
      <c r="A67" s="60"/>
      <c r="B67" s="20" t="s">
        <v>1167</v>
      </c>
      <c r="C67" s="11"/>
      <c r="D67" s="11"/>
      <c r="E67" s="11"/>
      <c r="F67" s="11"/>
      <c r="G67" s="11"/>
      <c r="H67" s="11"/>
      <c r="I67" s="196"/>
      <c r="J67" s="196"/>
      <c r="K67" s="196"/>
      <c r="L67" s="196"/>
      <c r="M67" s="196"/>
      <c r="N67" s="196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291">
        <f t="shared" ref="BK67:BK69" si="144">C67+I67+O67+U67+AA67+AG67+AM67+AS67+AY67+BE67</f>
        <v>0</v>
      </c>
      <c r="BL67" s="291">
        <f t="shared" ref="BL67:BL87" si="145">D67+J67+P67+V67+AB67+AH67+AN67+AT67+AZ67+BF67</f>
        <v>0</v>
      </c>
      <c r="BM67" s="291">
        <f t="shared" si="143"/>
        <v>0</v>
      </c>
      <c r="BN67" s="291">
        <f t="shared" si="143"/>
        <v>0</v>
      </c>
      <c r="BO67" s="291">
        <f t="shared" si="143"/>
        <v>0</v>
      </c>
      <c r="BP67" s="291">
        <f t="shared" si="143"/>
        <v>0</v>
      </c>
      <c r="BQ67" s="665"/>
    </row>
    <row r="68" spans="1:69" s="9" customFormat="1" ht="15.75" hidden="1" customHeight="1" x14ac:dyDescent="0.25">
      <c r="A68" s="60"/>
      <c r="B68" s="20"/>
      <c r="C68" s="11"/>
      <c r="D68" s="11"/>
      <c r="E68" s="11"/>
      <c r="F68" s="11"/>
      <c r="G68" s="11"/>
      <c r="H68" s="11">
        <v>0</v>
      </c>
      <c r="I68" s="196"/>
      <c r="J68" s="196"/>
      <c r="K68" s="196"/>
      <c r="L68" s="196"/>
      <c r="M68" s="196"/>
      <c r="N68" s="196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291">
        <f t="shared" si="144"/>
        <v>0</v>
      </c>
      <c r="BL68" s="291">
        <f t="shared" si="145"/>
        <v>0</v>
      </c>
      <c r="BM68" s="291">
        <f t="shared" si="143"/>
        <v>0</v>
      </c>
      <c r="BN68" s="291">
        <f t="shared" si="143"/>
        <v>0</v>
      </c>
      <c r="BO68" s="291">
        <f t="shared" si="143"/>
        <v>0</v>
      </c>
      <c r="BP68" s="291">
        <f t="shared" si="143"/>
        <v>0</v>
      </c>
      <c r="BQ68" s="665"/>
    </row>
    <row r="69" spans="1:69" s="9" customFormat="1" ht="15.75" hidden="1" customHeight="1" thickBot="1" x14ac:dyDescent="0.3">
      <c r="A69" s="60"/>
      <c r="B69" s="20"/>
      <c r="C69" s="11"/>
      <c r="D69" s="11"/>
      <c r="E69" s="11"/>
      <c r="F69" s="11"/>
      <c r="G69" s="11"/>
      <c r="H69" s="11"/>
      <c r="I69" s="196"/>
      <c r="J69" s="196"/>
      <c r="K69" s="196"/>
      <c r="L69" s="196"/>
      <c r="M69" s="196"/>
      <c r="N69" s="196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291">
        <f t="shared" si="144"/>
        <v>0</v>
      </c>
      <c r="BL69" s="291">
        <f t="shared" si="145"/>
        <v>0</v>
      </c>
      <c r="BM69" s="291">
        <f t="shared" si="143"/>
        <v>0</v>
      </c>
      <c r="BN69" s="291">
        <f t="shared" si="143"/>
        <v>0</v>
      </c>
      <c r="BO69" s="291">
        <f t="shared" si="143"/>
        <v>0</v>
      </c>
      <c r="BP69" s="291">
        <f t="shared" si="143"/>
        <v>0</v>
      </c>
      <c r="BQ69" s="665"/>
    </row>
    <row r="70" spans="1:69" s="9" customFormat="1" ht="27" thickBot="1" x14ac:dyDescent="0.3">
      <c r="A70" s="282"/>
      <c r="B70" s="269" t="s">
        <v>834</v>
      </c>
      <c r="C70" s="11"/>
      <c r="D70" s="11"/>
      <c r="E70" s="11"/>
      <c r="F70" s="11"/>
      <c r="G70" s="270"/>
      <c r="H70" s="270">
        <f>E70</f>
        <v>0</v>
      </c>
      <c r="I70" s="260"/>
      <c r="J70" s="260"/>
      <c r="K70" s="260"/>
      <c r="L70" s="260"/>
      <c r="M70" s="260"/>
      <c r="N70" s="260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270">
        <v>52682</v>
      </c>
      <c r="AB70" s="270">
        <v>57215</v>
      </c>
      <c r="AC70" s="270">
        <v>56734</v>
      </c>
      <c r="AD70" s="270">
        <f>C140</f>
        <v>56734</v>
      </c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291">
        <f t="shared" ref="BK70:BK90" si="146">C70+I70+O70+U70+AA70+AG70+AM70+AS70+AY70+BE70</f>
        <v>52682</v>
      </c>
      <c r="BL70" s="291">
        <f t="shared" si="145"/>
        <v>57215</v>
      </c>
      <c r="BM70" s="291">
        <f t="shared" si="143"/>
        <v>56734</v>
      </c>
      <c r="BN70" s="291">
        <f t="shared" si="143"/>
        <v>56734</v>
      </c>
      <c r="BO70" s="291">
        <f t="shared" si="143"/>
        <v>0</v>
      </c>
      <c r="BP70" s="291">
        <f t="shared" si="143"/>
        <v>0</v>
      </c>
      <c r="BQ70" s="665"/>
    </row>
    <row r="71" spans="1:69" s="9" customFormat="1" ht="15" x14ac:dyDescent="0.25">
      <c r="A71" s="60" t="s">
        <v>785</v>
      </c>
      <c r="B71" s="163" t="s">
        <v>298</v>
      </c>
      <c r="C71" s="82"/>
      <c r="D71" s="82"/>
      <c r="E71" s="82"/>
      <c r="F71" s="82"/>
      <c r="G71" s="82"/>
      <c r="H71" s="82"/>
      <c r="I71" s="196"/>
      <c r="J71" s="196"/>
      <c r="K71" s="196"/>
      <c r="L71" s="196"/>
      <c r="M71" s="196"/>
      <c r="N71" s="196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291">
        <f t="shared" si="146"/>
        <v>0</v>
      </c>
      <c r="BL71" s="291">
        <f t="shared" si="145"/>
        <v>0</v>
      </c>
      <c r="BM71" s="291">
        <f t="shared" si="143"/>
        <v>0</v>
      </c>
      <c r="BN71" s="291">
        <f t="shared" si="143"/>
        <v>0</v>
      </c>
      <c r="BO71" s="291">
        <f t="shared" si="143"/>
        <v>0</v>
      </c>
      <c r="BP71" s="291">
        <f t="shared" si="143"/>
        <v>0</v>
      </c>
      <c r="BQ71" s="665"/>
    </row>
    <row r="72" spans="1:69" s="9" customFormat="1" ht="15" x14ac:dyDescent="0.25">
      <c r="A72" s="60"/>
      <c r="B72" s="8" t="s">
        <v>337</v>
      </c>
      <c r="C72" s="11">
        <v>100</v>
      </c>
      <c r="D72" s="11">
        <v>100</v>
      </c>
      <c r="E72" s="11">
        <v>100</v>
      </c>
      <c r="F72" s="11">
        <v>100</v>
      </c>
      <c r="G72" s="11"/>
      <c r="H72" s="11">
        <v>100</v>
      </c>
      <c r="I72" s="196"/>
      <c r="J72" s="196"/>
      <c r="K72" s="196"/>
      <c r="L72" s="196"/>
      <c r="M72" s="196"/>
      <c r="N72" s="196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291">
        <f t="shared" si="146"/>
        <v>100</v>
      </c>
      <c r="BL72" s="291">
        <f t="shared" si="145"/>
        <v>100</v>
      </c>
      <c r="BM72" s="291">
        <f t="shared" si="143"/>
        <v>100</v>
      </c>
      <c r="BN72" s="291">
        <f t="shared" si="143"/>
        <v>100</v>
      </c>
      <c r="BO72" s="291">
        <f t="shared" si="143"/>
        <v>0</v>
      </c>
      <c r="BP72" s="291">
        <f t="shared" si="143"/>
        <v>100</v>
      </c>
      <c r="BQ72" s="665"/>
    </row>
    <row r="73" spans="1:69" s="9" customFormat="1" ht="15" x14ac:dyDescent="0.25">
      <c r="A73" s="60"/>
      <c r="B73" s="8" t="s">
        <v>442</v>
      </c>
      <c r="C73" s="11">
        <v>5500</v>
      </c>
      <c r="D73" s="11">
        <v>5500</v>
      </c>
      <c r="E73" s="11">
        <v>5500</v>
      </c>
      <c r="F73" s="11">
        <v>5500</v>
      </c>
      <c r="G73" s="11"/>
      <c r="H73" s="11">
        <v>5500</v>
      </c>
      <c r="I73" s="196"/>
      <c r="J73" s="196"/>
      <c r="K73" s="196"/>
      <c r="L73" s="196"/>
      <c r="M73" s="196"/>
      <c r="N73" s="196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291">
        <f t="shared" si="146"/>
        <v>5500</v>
      </c>
      <c r="BL73" s="291">
        <f t="shared" si="145"/>
        <v>5500</v>
      </c>
      <c r="BM73" s="291">
        <f t="shared" si="143"/>
        <v>5500</v>
      </c>
      <c r="BN73" s="291">
        <f t="shared" si="143"/>
        <v>5500</v>
      </c>
      <c r="BO73" s="291">
        <f t="shared" si="143"/>
        <v>0</v>
      </c>
      <c r="BP73" s="291">
        <f t="shared" si="143"/>
        <v>5500</v>
      </c>
      <c r="BQ73" s="665"/>
    </row>
    <row r="74" spans="1:69" s="9" customFormat="1" ht="15" x14ac:dyDescent="0.25">
      <c r="A74" s="60"/>
      <c r="B74" s="8" t="s">
        <v>1036</v>
      </c>
      <c r="C74" s="11"/>
      <c r="D74" s="11"/>
      <c r="E74" s="11"/>
      <c r="F74" s="11"/>
      <c r="G74" s="11"/>
      <c r="H74" s="11">
        <v>1800</v>
      </c>
      <c r="I74" s="11"/>
      <c r="J74" s="11"/>
      <c r="K74" s="11"/>
      <c r="L74" s="11"/>
      <c r="M74" s="11"/>
      <c r="N74" s="11">
        <v>10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>
        <v>2300</v>
      </c>
      <c r="AB74" s="11">
        <v>2300</v>
      </c>
      <c r="AC74" s="11">
        <v>2300</v>
      </c>
      <c r="AD74" s="11">
        <v>2300</v>
      </c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>
        <v>10</v>
      </c>
      <c r="AZ74" s="11">
        <v>10</v>
      </c>
      <c r="BA74" s="11">
        <v>10</v>
      </c>
      <c r="BB74" s="11">
        <v>10</v>
      </c>
      <c r="BC74" s="11"/>
      <c r="BD74" s="11">
        <v>0</v>
      </c>
      <c r="BE74" s="11"/>
      <c r="BF74" s="11"/>
      <c r="BG74" s="11"/>
      <c r="BH74" s="11"/>
      <c r="BI74" s="11"/>
      <c r="BJ74" s="11"/>
      <c r="BK74" s="291">
        <f t="shared" si="146"/>
        <v>2310</v>
      </c>
      <c r="BL74" s="291">
        <f t="shared" si="145"/>
        <v>2310</v>
      </c>
      <c r="BM74" s="291">
        <f t="shared" si="143"/>
        <v>2310</v>
      </c>
      <c r="BN74" s="291">
        <f t="shared" si="143"/>
        <v>2310</v>
      </c>
      <c r="BO74" s="291">
        <f t="shared" si="143"/>
        <v>0</v>
      </c>
      <c r="BP74" s="291">
        <f t="shared" si="143"/>
        <v>1810</v>
      </c>
      <c r="BQ74" s="665"/>
    </row>
    <row r="75" spans="1:69" s="9" customFormat="1" ht="15" x14ac:dyDescent="0.25">
      <c r="A75" s="60"/>
      <c r="B75" s="8" t="s">
        <v>1238</v>
      </c>
      <c r="C75" s="11"/>
      <c r="D75" s="11"/>
      <c r="E75" s="11"/>
      <c r="F75" s="11"/>
      <c r="G75" s="11"/>
      <c r="H75" s="11">
        <v>700</v>
      </c>
      <c r="I75" s="196"/>
      <c r="J75" s="196"/>
      <c r="K75" s="196"/>
      <c r="L75" s="196"/>
      <c r="M75" s="196"/>
      <c r="N75" s="196"/>
      <c r="O75" s="11"/>
      <c r="P75" s="11"/>
      <c r="Q75" s="11"/>
      <c r="R75" s="11"/>
      <c r="S75" s="11"/>
      <c r="T75" s="11"/>
      <c r="U75" s="11">
        <v>1100</v>
      </c>
      <c r="V75" s="11">
        <v>1100</v>
      </c>
      <c r="W75" s="11">
        <v>1100</v>
      </c>
      <c r="X75" s="11">
        <v>1100</v>
      </c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291">
        <f t="shared" si="146"/>
        <v>1100</v>
      </c>
      <c r="BL75" s="291">
        <f t="shared" si="145"/>
        <v>1100</v>
      </c>
      <c r="BM75" s="291">
        <f t="shared" si="143"/>
        <v>1100</v>
      </c>
      <c r="BN75" s="291">
        <f t="shared" si="143"/>
        <v>1100</v>
      </c>
      <c r="BO75" s="291">
        <f t="shared" si="143"/>
        <v>0</v>
      </c>
      <c r="BP75" s="291">
        <f t="shared" si="143"/>
        <v>700</v>
      </c>
      <c r="BQ75" s="665"/>
    </row>
    <row r="76" spans="1:69" s="9" customFormat="1" ht="15" x14ac:dyDescent="0.25">
      <c r="A76" s="60"/>
      <c r="B76" s="8" t="s">
        <v>1239</v>
      </c>
      <c r="C76" s="11"/>
      <c r="D76" s="11"/>
      <c r="E76" s="11"/>
      <c r="F76" s="11"/>
      <c r="G76" s="11"/>
      <c r="H76" s="11">
        <v>800</v>
      </c>
      <c r="I76" s="11">
        <v>150</v>
      </c>
      <c r="J76" s="11">
        <v>150</v>
      </c>
      <c r="K76" s="11">
        <v>150</v>
      </c>
      <c r="L76" s="11">
        <v>150</v>
      </c>
      <c r="M76" s="11"/>
      <c r="N76" s="11">
        <v>100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>
        <v>250</v>
      </c>
      <c r="AB76" s="11">
        <v>250</v>
      </c>
      <c r="AC76" s="11">
        <v>250</v>
      </c>
      <c r="AD76" s="11">
        <v>250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>
        <v>380</v>
      </c>
      <c r="AZ76" s="11">
        <v>380</v>
      </c>
      <c r="BA76" s="11">
        <v>380</v>
      </c>
      <c r="BB76" s="11">
        <v>380</v>
      </c>
      <c r="BC76" s="11"/>
      <c r="BD76" s="11">
        <v>300</v>
      </c>
      <c r="BE76" s="11"/>
      <c r="BF76" s="11"/>
      <c r="BG76" s="11"/>
      <c r="BH76" s="11"/>
      <c r="BI76" s="11"/>
      <c r="BJ76" s="11"/>
      <c r="BK76" s="291">
        <f t="shared" si="146"/>
        <v>780</v>
      </c>
      <c r="BL76" s="291">
        <f t="shared" si="145"/>
        <v>780</v>
      </c>
      <c r="BM76" s="291">
        <f t="shared" si="143"/>
        <v>780</v>
      </c>
      <c r="BN76" s="291">
        <f t="shared" si="143"/>
        <v>780</v>
      </c>
      <c r="BO76" s="291">
        <f t="shared" si="143"/>
        <v>0</v>
      </c>
      <c r="BP76" s="291">
        <f t="shared" si="143"/>
        <v>1200</v>
      </c>
      <c r="BQ76" s="665"/>
    </row>
    <row r="77" spans="1:69" s="9" customFormat="1" ht="15" x14ac:dyDescent="0.25">
      <c r="A77" s="60"/>
      <c r="B77" s="8" t="s">
        <v>1116</v>
      </c>
      <c r="C77" s="11"/>
      <c r="D77" s="11"/>
      <c r="E77" s="11"/>
      <c r="F77" s="11"/>
      <c r="G77" s="11"/>
      <c r="H77" s="11">
        <v>700</v>
      </c>
      <c r="I77" s="196"/>
      <c r="J77" s="196"/>
      <c r="K77" s="196"/>
      <c r="L77" s="196"/>
      <c r="M77" s="196"/>
      <c r="N77" s="196"/>
      <c r="O77" s="11"/>
      <c r="P77" s="11"/>
      <c r="Q77" s="11"/>
      <c r="R77" s="11"/>
      <c r="S77" s="11"/>
      <c r="T77" s="11"/>
      <c r="U77" s="11">
        <v>500</v>
      </c>
      <c r="V77" s="11">
        <v>500</v>
      </c>
      <c r="W77" s="11">
        <v>500</v>
      </c>
      <c r="X77" s="11">
        <v>500</v>
      </c>
      <c r="Y77" s="11"/>
      <c r="Z77" s="11"/>
      <c r="AA77" s="11">
        <v>100</v>
      </c>
      <c r="AB77" s="11">
        <v>100</v>
      </c>
      <c r="AC77" s="11">
        <v>100</v>
      </c>
      <c r="AD77" s="11">
        <v>100</v>
      </c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>
        <v>100</v>
      </c>
      <c r="AZ77" s="11">
        <v>100</v>
      </c>
      <c r="BA77" s="11">
        <v>100</v>
      </c>
      <c r="BB77" s="11">
        <v>100</v>
      </c>
      <c r="BC77" s="11"/>
      <c r="BD77" s="11">
        <v>25</v>
      </c>
      <c r="BE77" s="11"/>
      <c r="BF77" s="11"/>
      <c r="BG77" s="11"/>
      <c r="BH77" s="11"/>
      <c r="BI77" s="11"/>
      <c r="BJ77" s="11"/>
      <c r="BK77" s="291">
        <f t="shared" si="146"/>
        <v>700</v>
      </c>
      <c r="BL77" s="291">
        <f t="shared" si="145"/>
        <v>700</v>
      </c>
      <c r="BM77" s="291">
        <f t="shared" si="143"/>
        <v>700</v>
      </c>
      <c r="BN77" s="291">
        <f t="shared" si="143"/>
        <v>700</v>
      </c>
      <c r="BO77" s="291">
        <f t="shared" si="143"/>
        <v>0</v>
      </c>
      <c r="BP77" s="291">
        <f t="shared" si="143"/>
        <v>725</v>
      </c>
      <c r="BQ77" s="665"/>
    </row>
    <row r="78" spans="1:69" s="9" customFormat="1" ht="15" x14ac:dyDescent="0.25">
      <c r="A78" s="60"/>
      <c r="B78" s="8" t="s">
        <v>1119</v>
      </c>
      <c r="C78" s="11">
        <v>400</v>
      </c>
      <c r="D78" s="11">
        <v>400</v>
      </c>
      <c r="E78" s="11">
        <v>400</v>
      </c>
      <c r="F78" s="11">
        <v>400</v>
      </c>
      <c r="G78" s="11"/>
      <c r="H78" s="11">
        <v>3000</v>
      </c>
      <c r="I78" s="196"/>
      <c r="J78" s="196"/>
      <c r="K78" s="196"/>
      <c r="L78" s="196"/>
      <c r="M78" s="196"/>
      <c r="N78" s="196"/>
      <c r="O78" s="11">
        <v>2352</v>
      </c>
      <c r="P78" s="11">
        <v>2352</v>
      </c>
      <c r="Q78" s="11">
        <v>2352</v>
      </c>
      <c r="R78" s="11">
        <v>2352</v>
      </c>
      <c r="S78" s="11"/>
      <c r="T78" s="11">
        <v>0</v>
      </c>
      <c r="U78" s="11">
        <v>1000</v>
      </c>
      <c r="V78" s="11">
        <v>1000</v>
      </c>
      <c r="W78" s="11">
        <v>1000</v>
      </c>
      <c r="X78" s="11">
        <v>1000</v>
      </c>
      <c r="Y78" s="11"/>
      <c r="Z78" s="11"/>
      <c r="AA78" s="11">
        <v>3000</v>
      </c>
      <c r="AB78" s="11">
        <v>3000</v>
      </c>
      <c r="AC78" s="11">
        <v>3000</v>
      </c>
      <c r="AD78" s="11">
        <f>3000</f>
        <v>3000</v>
      </c>
      <c r="AE78" s="11"/>
      <c r="AF78" s="11"/>
      <c r="AG78" s="11">
        <v>150</v>
      </c>
      <c r="AH78" s="11">
        <v>150</v>
      </c>
      <c r="AI78" s="11">
        <f>150+514</f>
        <v>664</v>
      </c>
      <c r="AJ78" s="11">
        <f>150+514</f>
        <v>664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>
        <v>50</v>
      </c>
      <c r="AZ78" s="11">
        <v>50</v>
      </c>
      <c r="BA78" s="11">
        <v>50</v>
      </c>
      <c r="BB78" s="11">
        <f>50+870</f>
        <v>920</v>
      </c>
      <c r="BC78" s="11"/>
      <c r="BD78" s="11"/>
      <c r="BE78" s="11">
        <v>2500</v>
      </c>
      <c r="BF78" s="11">
        <v>2500</v>
      </c>
      <c r="BG78" s="11">
        <v>2500</v>
      </c>
      <c r="BH78" s="11">
        <f>2500+500</f>
        <v>3000</v>
      </c>
      <c r="BI78" s="11"/>
      <c r="BJ78" s="11"/>
      <c r="BK78" s="291">
        <f t="shared" si="146"/>
        <v>9452</v>
      </c>
      <c r="BL78" s="291">
        <f t="shared" si="145"/>
        <v>9452</v>
      </c>
      <c r="BM78" s="291">
        <f t="shared" si="143"/>
        <v>9966</v>
      </c>
      <c r="BN78" s="291">
        <f t="shared" si="143"/>
        <v>11336</v>
      </c>
      <c r="BO78" s="291">
        <f t="shared" si="143"/>
        <v>0</v>
      </c>
      <c r="BP78" s="291">
        <f t="shared" si="143"/>
        <v>3000</v>
      </c>
      <c r="BQ78" s="665"/>
    </row>
    <row r="79" spans="1:69" s="9" customFormat="1" ht="15" x14ac:dyDescent="0.25">
      <c r="A79" s="60"/>
      <c r="B79" s="8" t="s">
        <v>755</v>
      </c>
      <c r="C79" s="11"/>
      <c r="D79" s="11"/>
      <c r="E79" s="11"/>
      <c r="F79" s="11"/>
      <c r="G79" s="11"/>
      <c r="H79" s="11">
        <v>1300</v>
      </c>
      <c r="I79" s="196"/>
      <c r="J79" s="196"/>
      <c r="K79" s="196"/>
      <c r="L79" s="196"/>
      <c r="M79" s="196"/>
      <c r="N79" s="196"/>
      <c r="O79" s="11"/>
      <c r="P79" s="11"/>
      <c r="Q79" s="11"/>
      <c r="R79" s="11"/>
      <c r="S79" s="11"/>
      <c r="T79" s="11"/>
      <c r="U79" s="11">
        <v>800</v>
      </c>
      <c r="V79" s="11">
        <f>800+179</f>
        <v>979</v>
      </c>
      <c r="W79" s="11">
        <f>800+179</f>
        <v>979</v>
      </c>
      <c r="X79" s="11">
        <f>800+179</f>
        <v>979</v>
      </c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291">
        <f t="shared" si="146"/>
        <v>800</v>
      </c>
      <c r="BL79" s="291">
        <f t="shared" si="145"/>
        <v>979</v>
      </c>
      <c r="BM79" s="291">
        <f t="shared" ref="BM79:BP87" si="147">E79+K79+Q79+W79+AC79+AI79+AO79+AU79+BA79+BG79</f>
        <v>979</v>
      </c>
      <c r="BN79" s="291">
        <f t="shared" si="147"/>
        <v>979</v>
      </c>
      <c r="BO79" s="291">
        <f t="shared" si="147"/>
        <v>0</v>
      </c>
      <c r="BP79" s="291">
        <f t="shared" si="147"/>
        <v>1300</v>
      </c>
      <c r="BQ79" s="665"/>
    </row>
    <row r="80" spans="1:69" s="9" customFormat="1" x14ac:dyDescent="0.2">
      <c r="A80" s="281" t="s">
        <v>1236</v>
      </c>
      <c r="B80" s="14" t="s">
        <v>258</v>
      </c>
      <c r="C80" s="6">
        <f t="shared" ref="C80:AI80" si="148">SUM(C81:C82)</f>
        <v>550</v>
      </c>
      <c r="D80" s="6">
        <f t="shared" ref="D80" si="149">SUM(D81:D82)</f>
        <v>550</v>
      </c>
      <c r="E80" s="6">
        <f t="shared" ref="E80:F80" si="150">SUM(E81:E82)</f>
        <v>550</v>
      </c>
      <c r="F80" s="6">
        <f t="shared" si="150"/>
        <v>550</v>
      </c>
      <c r="G80" s="6"/>
      <c r="H80" s="6">
        <f t="shared" ref="H80" si="151">SUM(H81:H82)</f>
        <v>1000</v>
      </c>
      <c r="I80" s="6">
        <f t="shared" ref="I80:J80" si="152">SUM(I81:I82)</f>
        <v>50</v>
      </c>
      <c r="J80" s="6">
        <f t="shared" si="152"/>
        <v>50</v>
      </c>
      <c r="K80" s="6">
        <f t="shared" ref="K80:L80" si="153">SUM(K81:K82)</f>
        <v>50</v>
      </c>
      <c r="L80" s="6">
        <f t="shared" si="153"/>
        <v>50</v>
      </c>
      <c r="M80" s="6"/>
      <c r="N80" s="6">
        <f t="shared" ref="N80" si="154">SUM(N81:N82)</f>
        <v>30</v>
      </c>
      <c r="O80" s="6">
        <f t="shared" si="148"/>
        <v>0</v>
      </c>
      <c r="P80" s="6">
        <f t="shared" si="148"/>
        <v>0</v>
      </c>
      <c r="Q80" s="6">
        <f t="shared" ref="Q80:R80" si="155">SUM(Q81:Q82)</f>
        <v>0</v>
      </c>
      <c r="R80" s="6">
        <f t="shared" si="155"/>
        <v>0</v>
      </c>
      <c r="S80" s="6"/>
      <c r="T80" s="6">
        <f>SUM(T81:T82)</f>
        <v>0</v>
      </c>
      <c r="U80" s="6">
        <f t="shared" ref="U80" si="156">SUM(U81:U82)</f>
        <v>0</v>
      </c>
      <c r="V80" s="6">
        <f t="shared" ref="V80:W80" si="157">SUM(V81:V82)</f>
        <v>0</v>
      </c>
      <c r="W80" s="6">
        <f t="shared" si="157"/>
        <v>0</v>
      </c>
      <c r="X80" s="6">
        <f t="shared" ref="X80" si="158">SUM(X81:X82)</f>
        <v>0</v>
      </c>
      <c r="Y80" s="6"/>
      <c r="Z80" s="6"/>
      <c r="AA80" s="6">
        <f t="shared" si="148"/>
        <v>1110</v>
      </c>
      <c r="AB80" s="6">
        <f t="shared" ref="AB80" si="159">SUM(AB81:AB82)</f>
        <v>1110</v>
      </c>
      <c r="AC80" s="6">
        <f t="shared" si="148"/>
        <v>1110</v>
      </c>
      <c r="AD80" s="6">
        <f t="shared" ref="AD80" si="160">SUM(AD81:AD82)</f>
        <v>1110</v>
      </c>
      <c r="AE80" s="6"/>
      <c r="AF80" s="6">
        <f>SUM(AF81:AF82)</f>
        <v>150</v>
      </c>
      <c r="AG80" s="6">
        <f t="shared" si="148"/>
        <v>0</v>
      </c>
      <c r="AH80" s="6">
        <f t="shared" si="148"/>
        <v>0</v>
      </c>
      <c r="AI80" s="6">
        <f t="shared" si="148"/>
        <v>0</v>
      </c>
      <c r="AJ80" s="6">
        <f t="shared" ref="AJ80" si="161">SUM(AJ81:AJ82)</f>
        <v>0</v>
      </c>
      <c r="AK80" s="6"/>
      <c r="AL80" s="6">
        <f t="shared" ref="AL80:BJ80" si="162">SUM(AL81:AL82)</f>
        <v>0</v>
      </c>
      <c r="AM80" s="6">
        <f t="shared" si="162"/>
        <v>0</v>
      </c>
      <c r="AN80" s="6">
        <f t="shared" si="162"/>
        <v>0</v>
      </c>
      <c r="AO80" s="6">
        <f>SUM(AO81:AO82)</f>
        <v>0</v>
      </c>
      <c r="AP80" s="6">
        <f t="shared" si="162"/>
        <v>0</v>
      </c>
      <c r="AQ80" s="6"/>
      <c r="AR80" s="6">
        <f t="shared" si="162"/>
        <v>0</v>
      </c>
      <c r="AS80" s="6">
        <f t="shared" si="162"/>
        <v>0</v>
      </c>
      <c r="AT80" s="6">
        <f>SUM(AT81:AT82)</f>
        <v>0</v>
      </c>
      <c r="AU80" s="6">
        <f>SUM(AU81:AU82)</f>
        <v>0</v>
      </c>
      <c r="AV80" s="6">
        <f>SUM(AV81:AV82)</f>
        <v>0</v>
      </c>
      <c r="AW80" s="6"/>
      <c r="AX80" s="6">
        <f t="shared" si="162"/>
        <v>0</v>
      </c>
      <c r="AY80" s="6">
        <f t="shared" ref="AY80" si="163">SUM(AY81:AY82)</f>
        <v>0</v>
      </c>
      <c r="AZ80" s="6">
        <f t="shared" ref="AZ80:BD80" si="164">SUM(AZ81:AZ82)</f>
        <v>0</v>
      </c>
      <c r="BA80" s="6">
        <f t="shared" ref="BA80:BB80" si="165">SUM(BA81:BA82)</f>
        <v>0</v>
      </c>
      <c r="BB80" s="6">
        <f t="shared" si="165"/>
        <v>0</v>
      </c>
      <c r="BC80" s="6"/>
      <c r="BD80" s="6">
        <f t="shared" si="164"/>
        <v>0</v>
      </c>
      <c r="BE80" s="6">
        <f t="shared" si="162"/>
        <v>2700</v>
      </c>
      <c r="BF80" s="6">
        <f t="shared" ref="BF80" si="166">SUM(BF81:BF82)</f>
        <v>2700</v>
      </c>
      <c r="BG80" s="6">
        <f t="shared" ref="BG80:BH80" si="167">SUM(BG81:BG82)</f>
        <v>2700</v>
      </c>
      <c r="BH80" s="6">
        <f t="shared" si="167"/>
        <v>2700</v>
      </c>
      <c r="BI80" s="6"/>
      <c r="BJ80" s="6">
        <f t="shared" si="162"/>
        <v>0</v>
      </c>
      <c r="BK80" s="630">
        <f t="shared" si="146"/>
        <v>4410</v>
      </c>
      <c r="BL80" s="630">
        <f t="shared" si="145"/>
        <v>4410</v>
      </c>
      <c r="BM80" s="630">
        <f t="shared" si="147"/>
        <v>4410</v>
      </c>
      <c r="BN80" s="630">
        <f t="shared" si="147"/>
        <v>4410</v>
      </c>
      <c r="BO80" s="630">
        <f t="shared" si="147"/>
        <v>0</v>
      </c>
      <c r="BP80" s="630">
        <f t="shared" si="147"/>
        <v>1180</v>
      </c>
      <c r="BQ80" s="316"/>
    </row>
    <row r="81" spans="1:71" s="9" customFormat="1" x14ac:dyDescent="0.2">
      <c r="A81" s="60" t="s">
        <v>914</v>
      </c>
      <c r="B81" s="8" t="s">
        <v>297</v>
      </c>
      <c r="C81" s="11">
        <v>50</v>
      </c>
      <c r="D81" s="11">
        <v>50</v>
      </c>
      <c r="E81" s="11">
        <v>50</v>
      </c>
      <c r="F81" s="11">
        <v>50</v>
      </c>
      <c r="G81" s="11"/>
      <c r="H81" s="11"/>
      <c r="I81" s="11">
        <v>50</v>
      </c>
      <c r="J81" s="11">
        <v>50</v>
      </c>
      <c r="K81" s="11">
        <v>50</v>
      </c>
      <c r="L81" s="11">
        <v>50</v>
      </c>
      <c r="M81" s="11"/>
      <c r="N81" s="11">
        <v>30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>
        <v>100</v>
      </c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291">
        <f t="shared" si="146"/>
        <v>100</v>
      </c>
      <c r="BL81" s="291">
        <f t="shared" si="145"/>
        <v>100</v>
      </c>
      <c r="BM81" s="291">
        <f t="shared" si="147"/>
        <v>100</v>
      </c>
      <c r="BN81" s="291">
        <f t="shared" si="147"/>
        <v>100</v>
      </c>
      <c r="BO81" s="291">
        <f t="shared" si="147"/>
        <v>0</v>
      </c>
      <c r="BP81" s="291">
        <f t="shared" si="147"/>
        <v>130</v>
      </c>
      <c r="BQ81" s="316"/>
    </row>
    <row r="82" spans="1:71" s="9" customFormat="1" x14ac:dyDescent="0.2">
      <c r="A82" s="60" t="s">
        <v>1100</v>
      </c>
      <c r="B82" s="8" t="s">
        <v>309</v>
      </c>
      <c r="C82" s="11">
        <v>500</v>
      </c>
      <c r="D82" s="11">
        <v>500</v>
      </c>
      <c r="E82" s="11">
        <v>500</v>
      </c>
      <c r="F82" s="11">
        <v>500</v>
      </c>
      <c r="G82" s="11"/>
      <c r="H82" s="11">
        <v>1000</v>
      </c>
      <c r="I82" s="196"/>
      <c r="J82" s="196"/>
      <c r="K82" s="196"/>
      <c r="L82" s="196"/>
      <c r="M82" s="196"/>
      <c r="N82" s="196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>
        <f>200+910</f>
        <v>1110</v>
      </c>
      <c r="AB82" s="11">
        <f>200+910</f>
        <v>1110</v>
      </c>
      <c r="AC82" s="11">
        <f t="shared" ref="AC82:AD82" si="168">200+910</f>
        <v>1110</v>
      </c>
      <c r="AD82" s="11">
        <f t="shared" si="168"/>
        <v>1110</v>
      </c>
      <c r="AE82" s="11"/>
      <c r="AF82" s="11">
        <v>50</v>
      </c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>
        <v>2700</v>
      </c>
      <c r="BF82" s="11">
        <v>2700</v>
      </c>
      <c r="BG82" s="11">
        <v>2700</v>
      </c>
      <c r="BH82" s="11">
        <v>2700</v>
      </c>
      <c r="BI82" s="11"/>
      <c r="BJ82" s="11"/>
      <c r="BK82" s="291">
        <f t="shared" si="146"/>
        <v>4310</v>
      </c>
      <c r="BL82" s="291">
        <f t="shared" si="145"/>
        <v>4310</v>
      </c>
      <c r="BM82" s="291">
        <f t="shared" si="147"/>
        <v>4310</v>
      </c>
      <c r="BN82" s="291">
        <f t="shared" si="147"/>
        <v>4310</v>
      </c>
      <c r="BO82" s="291">
        <f t="shared" si="147"/>
        <v>0</v>
      </c>
      <c r="BP82" s="291">
        <f t="shared" si="147"/>
        <v>1050</v>
      </c>
      <c r="BQ82" s="316"/>
    </row>
    <row r="83" spans="1:71" x14ac:dyDescent="0.2">
      <c r="A83" s="281" t="s">
        <v>1237</v>
      </c>
      <c r="B83" s="14" t="s">
        <v>259</v>
      </c>
      <c r="C83" s="6">
        <f t="shared" ref="C83:AN83" si="169">SUM(C84:C91)</f>
        <v>48429</v>
      </c>
      <c r="D83" s="6">
        <f t="shared" ref="D83" si="170">SUM(D84:D91)</f>
        <v>50110</v>
      </c>
      <c r="E83" s="6">
        <f t="shared" ref="E83:F83" si="171">SUM(E84:E91)</f>
        <v>50110</v>
      </c>
      <c r="F83" s="6">
        <f t="shared" si="171"/>
        <v>50110</v>
      </c>
      <c r="G83" s="6"/>
      <c r="H83" s="6">
        <f t="shared" ref="H83" si="172">SUM(H84:H91)</f>
        <v>22095</v>
      </c>
      <c r="I83" s="6">
        <f t="shared" si="169"/>
        <v>192</v>
      </c>
      <c r="J83" s="6">
        <f t="shared" ref="J83" si="173">SUM(J84:J91)</f>
        <v>192</v>
      </c>
      <c r="K83" s="6">
        <f t="shared" ref="K83:L83" si="174">SUM(K84:K91)</f>
        <v>192</v>
      </c>
      <c r="L83" s="6">
        <f t="shared" si="174"/>
        <v>192</v>
      </c>
      <c r="M83" s="6"/>
      <c r="N83" s="6">
        <f t="shared" ref="N83" si="175">SUM(N84:N91)</f>
        <v>75</v>
      </c>
      <c r="O83" s="6">
        <f t="shared" si="169"/>
        <v>16742</v>
      </c>
      <c r="P83" s="6">
        <f t="shared" si="169"/>
        <v>16742</v>
      </c>
      <c r="Q83" s="6">
        <f t="shared" ref="Q83:R83" si="176">SUM(Q84:Q91)</f>
        <v>16742</v>
      </c>
      <c r="R83" s="6">
        <f t="shared" si="176"/>
        <v>16742</v>
      </c>
      <c r="S83" s="6"/>
      <c r="T83" s="6">
        <f t="shared" si="169"/>
        <v>0</v>
      </c>
      <c r="U83" s="6">
        <f t="shared" ref="U83" si="177">SUM(U84:U91)</f>
        <v>2324</v>
      </c>
      <c r="V83" s="6">
        <f t="shared" ref="V83:W83" si="178">SUM(V84:V91)</f>
        <v>2324</v>
      </c>
      <c r="W83" s="6">
        <f t="shared" si="178"/>
        <v>2324</v>
      </c>
      <c r="X83" s="6">
        <f t="shared" ref="X83" si="179">SUM(X84:X91)</f>
        <v>2324</v>
      </c>
      <c r="Y83" s="6"/>
      <c r="Z83" s="6"/>
      <c r="AA83" s="6">
        <f t="shared" si="169"/>
        <v>87398</v>
      </c>
      <c r="AB83" s="6">
        <f t="shared" ref="AB83" si="180">SUM(AB84:AB91)</f>
        <v>130312</v>
      </c>
      <c r="AC83" s="6">
        <f t="shared" ref="AC83:AD83" si="181">SUM(AC84:AC91)</f>
        <v>130312</v>
      </c>
      <c r="AD83" s="6">
        <f t="shared" si="181"/>
        <v>131224</v>
      </c>
      <c r="AE83" s="6"/>
      <c r="AF83" s="6">
        <f t="shared" si="169"/>
        <v>0</v>
      </c>
      <c r="AG83" s="6">
        <f t="shared" si="169"/>
        <v>5080</v>
      </c>
      <c r="AH83" s="6">
        <f t="shared" si="169"/>
        <v>5333</v>
      </c>
      <c r="AI83" s="6">
        <f t="shared" si="169"/>
        <v>5333</v>
      </c>
      <c r="AJ83" s="6">
        <f t="shared" ref="AJ83" si="182">SUM(AJ84:AJ91)</f>
        <v>5333</v>
      </c>
      <c r="AK83" s="6"/>
      <c r="AL83" s="6">
        <f t="shared" si="169"/>
        <v>0</v>
      </c>
      <c r="AM83" s="6">
        <f t="shared" si="169"/>
        <v>0</v>
      </c>
      <c r="AN83" s="6">
        <f t="shared" si="169"/>
        <v>0</v>
      </c>
      <c r="AO83" s="6">
        <f t="shared" ref="AO83:BJ83" si="183">SUM(AO84:AO91)</f>
        <v>0</v>
      </c>
      <c r="AP83" s="6">
        <f t="shared" si="183"/>
        <v>0</v>
      </c>
      <c r="AQ83" s="6"/>
      <c r="AR83" s="6">
        <f t="shared" si="183"/>
        <v>0</v>
      </c>
      <c r="AS83" s="6">
        <f t="shared" si="183"/>
        <v>0</v>
      </c>
      <c r="AT83" s="6">
        <f t="shared" si="183"/>
        <v>0</v>
      </c>
      <c r="AU83" s="6">
        <f t="shared" si="183"/>
        <v>0</v>
      </c>
      <c r="AV83" s="6">
        <f t="shared" si="183"/>
        <v>0</v>
      </c>
      <c r="AW83" s="6"/>
      <c r="AX83" s="6">
        <f t="shared" si="183"/>
        <v>0</v>
      </c>
      <c r="AY83" s="6">
        <f t="shared" si="183"/>
        <v>3131</v>
      </c>
      <c r="AZ83" s="6">
        <f t="shared" si="183"/>
        <v>3131</v>
      </c>
      <c r="BA83" s="6">
        <f t="shared" ref="BA83:BB83" si="184">SUM(BA84:BA91)</f>
        <v>3131</v>
      </c>
      <c r="BB83" s="6">
        <f t="shared" si="184"/>
        <v>3366</v>
      </c>
      <c r="BC83" s="6"/>
      <c r="BD83" s="6">
        <f t="shared" si="183"/>
        <v>60</v>
      </c>
      <c r="BE83" s="6">
        <f t="shared" si="183"/>
        <v>1831</v>
      </c>
      <c r="BF83" s="6">
        <f t="shared" si="183"/>
        <v>1831</v>
      </c>
      <c r="BG83" s="6">
        <f t="shared" ref="BG83:BH83" si="185">SUM(BG84:BG91)</f>
        <v>1831</v>
      </c>
      <c r="BH83" s="6">
        <f t="shared" si="185"/>
        <v>1831</v>
      </c>
      <c r="BI83" s="6"/>
      <c r="BJ83" s="6">
        <f t="shared" si="183"/>
        <v>550</v>
      </c>
      <c r="BK83" s="630">
        <f t="shared" si="146"/>
        <v>165127</v>
      </c>
      <c r="BL83" s="630">
        <f t="shared" si="145"/>
        <v>209975</v>
      </c>
      <c r="BM83" s="630">
        <f t="shared" si="147"/>
        <v>209975</v>
      </c>
      <c r="BN83" s="630">
        <f t="shared" si="147"/>
        <v>211122</v>
      </c>
      <c r="BO83" s="630">
        <f t="shared" si="147"/>
        <v>0</v>
      </c>
      <c r="BP83" s="630">
        <f t="shared" si="147"/>
        <v>22780</v>
      </c>
      <c r="BQ83" s="316"/>
      <c r="BR83" s="76"/>
    </row>
    <row r="84" spans="1:71" ht="15" x14ac:dyDescent="0.25">
      <c r="A84" s="60" t="s">
        <v>786</v>
      </c>
      <c r="B84" s="8" t="s">
        <v>287</v>
      </c>
      <c r="C84" s="11">
        <f>3175+184</f>
        <v>3359</v>
      </c>
      <c r="D84" s="11">
        <f>3175+184+319+1328</f>
        <v>5006</v>
      </c>
      <c r="E84" s="11">
        <f>3175+184+319+1328</f>
        <v>5006</v>
      </c>
      <c r="F84" s="11">
        <f>3175+184+319+1328</f>
        <v>5006</v>
      </c>
      <c r="G84" s="11"/>
      <c r="H84" s="11"/>
      <c r="I84" s="11">
        <v>142</v>
      </c>
      <c r="J84" s="11">
        <v>142</v>
      </c>
      <c r="K84" s="11">
        <v>142</v>
      </c>
      <c r="L84" s="11">
        <v>142</v>
      </c>
      <c r="M84" s="11"/>
      <c r="N84" s="11"/>
      <c r="O84" s="11">
        <v>16742</v>
      </c>
      <c r="P84" s="11">
        <v>16742</v>
      </c>
      <c r="Q84" s="11">
        <v>16742</v>
      </c>
      <c r="R84" s="11">
        <v>16742</v>
      </c>
      <c r="S84" s="11"/>
      <c r="T84" s="11"/>
      <c r="U84" s="11">
        <v>2174</v>
      </c>
      <c r="V84" s="11">
        <v>2174</v>
      </c>
      <c r="W84" s="11">
        <v>2174</v>
      </c>
      <c r="X84" s="11">
        <v>2174</v>
      </c>
      <c r="Y84" s="11"/>
      <c r="Z84" s="11"/>
      <c r="AA84" s="11">
        <v>29235</v>
      </c>
      <c r="AB84" s="11">
        <f>29235+2025+243+(-6885+8087)-83</f>
        <v>32622</v>
      </c>
      <c r="AC84" s="11">
        <f>29235+2025+243+(-6885+8087)-83</f>
        <v>32622</v>
      </c>
      <c r="AD84" s="11">
        <f>(29235+2025+243+(-6885+8087)-83)+367+545</f>
        <v>33534</v>
      </c>
      <c r="AE84" s="11"/>
      <c r="AF84" s="11"/>
      <c r="AG84" s="11">
        <v>5080</v>
      </c>
      <c r="AH84" s="11">
        <f>5080-377+630</f>
        <v>5333</v>
      </c>
      <c r="AI84" s="11">
        <f>5080-377+630</f>
        <v>5333</v>
      </c>
      <c r="AJ84" s="11">
        <f>5080-377+630</f>
        <v>5333</v>
      </c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>
        <v>3131</v>
      </c>
      <c r="AZ84" s="11">
        <v>3131</v>
      </c>
      <c r="BA84" s="11">
        <v>3131</v>
      </c>
      <c r="BB84" s="11">
        <f>3131+235</f>
        <v>3366</v>
      </c>
      <c r="BC84" s="11"/>
      <c r="BD84" s="11"/>
      <c r="BE84" s="11">
        <v>1531</v>
      </c>
      <c r="BF84" s="11">
        <v>1531</v>
      </c>
      <c r="BG84" s="11">
        <v>1531</v>
      </c>
      <c r="BH84" s="11">
        <v>1531</v>
      </c>
      <c r="BI84" s="11"/>
      <c r="BJ84" s="11">
        <v>350</v>
      </c>
      <c r="BK84" s="291">
        <f t="shared" si="146"/>
        <v>61394</v>
      </c>
      <c r="BL84" s="291">
        <f t="shared" si="145"/>
        <v>66681</v>
      </c>
      <c r="BM84" s="291">
        <f t="shared" si="147"/>
        <v>66681</v>
      </c>
      <c r="BN84" s="291">
        <f t="shared" si="147"/>
        <v>67828</v>
      </c>
      <c r="BO84" s="291">
        <f t="shared" si="147"/>
        <v>0</v>
      </c>
      <c r="BP84" s="291">
        <f t="shared" si="147"/>
        <v>350</v>
      </c>
      <c r="BQ84" s="665"/>
    </row>
    <row r="85" spans="1:71" ht="15" x14ac:dyDescent="0.25">
      <c r="A85" s="60" t="s">
        <v>811</v>
      </c>
      <c r="B85" s="620" t="s">
        <v>875</v>
      </c>
      <c r="C85" s="11"/>
      <c r="D85" s="11"/>
      <c r="E85" s="11"/>
      <c r="F85" s="11"/>
      <c r="G85" s="11"/>
      <c r="H85" s="11">
        <f>D85</f>
        <v>0</v>
      </c>
      <c r="I85" s="196"/>
      <c r="J85" s="196"/>
      <c r="K85" s="196"/>
      <c r="L85" s="196"/>
      <c r="M85" s="196"/>
      <c r="N85" s="196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>
        <v>55963</v>
      </c>
      <c r="AB85" s="11">
        <v>95490</v>
      </c>
      <c r="AC85" s="11">
        <v>95490</v>
      </c>
      <c r="AD85" s="11">
        <f>AY113</f>
        <v>95490</v>
      </c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291">
        <f t="shared" si="146"/>
        <v>55963</v>
      </c>
      <c r="BL85" s="291">
        <f t="shared" si="145"/>
        <v>95490</v>
      </c>
      <c r="BM85" s="291">
        <f t="shared" si="147"/>
        <v>95490</v>
      </c>
      <c r="BN85" s="291">
        <f t="shared" si="147"/>
        <v>95490</v>
      </c>
      <c r="BO85" s="291">
        <f t="shared" si="147"/>
        <v>0</v>
      </c>
      <c r="BP85" s="291">
        <f t="shared" si="147"/>
        <v>0</v>
      </c>
      <c r="BQ85" s="665"/>
    </row>
    <row r="86" spans="1:71" x14ac:dyDescent="0.2">
      <c r="A86" s="60" t="s">
        <v>1113</v>
      </c>
      <c r="B86" s="8" t="s">
        <v>873</v>
      </c>
      <c r="C86" s="11">
        <f>70+41500</f>
        <v>41570</v>
      </c>
      <c r="D86" s="11">
        <f>(70+34)+41500</f>
        <v>41604</v>
      </c>
      <c r="E86" s="11">
        <f>(70+34)+41500</f>
        <v>41604</v>
      </c>
      <c r="F86" s="11">
        <f>(70+34)+41500</f>
        <v>41604</v>
      </c>
      <c r="G86" s="11"/>
      <c r="H86" s="11">
        <v>17295</v>
      </c>
      <c r="I86" s="196"/>
      <c r="J86" s="196"/>
      <c r="K86" s="196"/>
      <c r="L86" s="196"/>
      <c r="M86" s="196"/>
      <c r="N86" s="196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291">
        <f t="shared" si="146"/>
        <v>41570</v>
      </c>
      <c r="BL86" s="291">
        <f t="shared" si="145"/>
        <v>41604</v>
      </c>
      <c r="BM86" s="291">
        <f t="shared" si="147"/>
        <v>41604</v>
      </c>
      <c r="BN86" s="291">
        <f t="shared" si="147"/>
        <v>41604</v>
      </c>
      <c r="BO86" s="291">
        <f t="shared" si="147"/>
        <v>0</v>
      </c>
      <c r="BP86" s="291">
        <f t="shared" si="147"/>
        <v>17295</v>
      </c>
      <c r="BQ86" s="316"/>
    </row>
    <row r="87" spans="1:71" x14ac:dyDescent="0.2">
      <c r="A87" s="60" t="s">
        <v>788</v>
      </c>
      <c r="B87" s="8" t="s">
        <v>58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>
        <v>50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>
        <v>25</v>
      </c>
      <c r="BE87" s="11"/>
      <c r="BF87" s="11"/>
      <c r="BG87" s="11"/>
      <c r="BH87" s="11"/>
      <c r="BI87" s="11"/>
      <c r="BJ87" s="11">
        <v>100</v>
      </c>
      <c r="BK87" s="291">
        <f t="shared" si="146"/>
        <v>0</v>
      </c>
      <c r="BL87" s="291">
        <f t="shared" si="145"/>
        <v>0</v>
      </c>
      <c r="BM87" s="291">
        <f t="shared" si="147"/>
        <v>0</v>
      </c>
      <c r="BN87" s="291">
        <f t="shared" si="147"/>
        <v>0</v>
      </c>
      <c r="BO87" s="291">
        <f t="shared" si="147"/>
        <v>0</v>
      </c>
      <c r="BP87" s="291">
        <f t="shared" si="147"/>
        <v>175</v>
      </c>
      <c r="BQ87" s="316"/>
    </row>
    <row r="88" spans="1:71" ht="12.75" hidden="1" customHeight="1" x14ac:dyDescent="0.2">
      <c r="A88" s="60"/>
      <c r="B88" s="8"/>
      <c r="C88" s="11"/>
      <c r="D88" s="11"/>
      <c r="E88" s="11"/>
      <c r="F88" s="11"/>
      <c r="G88" s="11"/>
      <c r="H88" s="11"/>
      <c r="I88" s="196"/>
      <c r="J88" s="196"/>
      <c r="K88" s="196"/>
      <c r="L88" s="196"/>
      <c r="M88" s="196"/>
      <c r="N88" s="196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291"/>
      <c r="BL88" s="291"/>
      <c r="BM88" s="291"/>
      <c r="BN88" s="291"/>
      <c r="BO88" s="291"/>
      <c r="BP88" s="291"/>
      <c r="BQ88" s="316"/>
    </row>
    <row r="89" spans="1:71" ht="12.75" hidden="1" customHeight="1" x14ac:dyDescent="0.2">
      <c r="A89" s="60"/>
      <c r="B89" s="8"/>
      <c r="C89" s="11">
        <v>0</v>
      </c>
      <c r="D89" s="11">
        <v>0</v>
      </c>
      <c r="E89" s="11">
        <v>0</v>
      </c>
      <c r="F89" s="11">
        <v>0</v>
      </c>
      <c r="G89" s="11"/>
      <c r="H89" s="11">
        <v>800</v>
      </c>
      <c r="I89" s="196"/>
      <c r="J89" s="196"/>
      <c r="K89" s="196"/>
      <c r="L89" s="196"/>
      <c r="M89" s="196"/>
      <c r="N89" s="19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291">
        <f t="shared" si="146"/>
        <v>0</v>
      </c>
      <c r="BL89" s="291">
        <f>D89+J89+P89+V89+AB89+AH89+AN89+AT89+AZ89+BF89</f>
        <v>0</v>
      </c>
      <c r="BM89" s="291">
        <f t="shared" ref="BM89:BP93" si="186">E89+K89+Q89+W89+AC89+AI89+AO89+AU89+BA89+BG89</f>
        <v>0</v>
      </c>
      <c r="BN89" s="291">
        <f t="shared" si="186"/>
        <v>0</v>
      </c>
      <c r="BO89" s="291">
        <f t="shared" si="186"/>
        <v>0</v>
      </c>
      <c r="BP89" s="291">
        <f t="shared" si="186"/>
        <v>800</v>
      </c>
      <c r="BQ89" s="316"/>
    </row>
    <row r="90" spans="1:71" x14ac:dyDescent="0.2">
      <c r="A90" s="60"/>
      <c r="B90" s="8" t="s">
        <v>878</v>
      </c>
      <c r="C90" s="11">
        <f>3500</f>
        <v>3500</v>
      </c>
      <c r="D90" s="11">
        <f>3500</f>
        <v>3500</v>
      </c>
      <c r="E90" s="11">
        <f>3500</f>
        <v>3500</v>
      </c>
      <c r="F90" s="11">
        <f>3500</f>
        <v>3500</v>
      </c>
      <c r="G90" s="11"/>
      <c r="H90" s="11">
        <v>4000</v>
      </c>
      <c r="I90" s="11">
        <v>50</v>
      </c>
      <c r="J90" s="11">
        <v>50</v>
      </c>
      <c r="K90" s="11">
        <v>50</v>
      </c>
      <c r="L90" s="11">
        <v>50</v>
      </c>
      <c r="M90" s="11"/>
      <c r="N90" s="11">
        <v>25</v>
      </c>
      <c r="O90" s="11"/>
      <c r="P90" s="11"/>
      <c r="Q90" s="11"/>
      <c r="R90" s="11"/>
      <c r="S90" s="11"/>
      <c r="T90" s="11"/>
      <c r="U90" s="11">
        <v>150</v>
      </c>
      <c r="V90" s="11">
        <v>150</v>
      </c>
      <c r="W90" s="11">
        <v>150</v>
      </c>
      <c r="X90" s="11">
        <v>150</v>
      </c>
      <c r="Y90" s="11"/>
      <c r="Z90" s="11"/>
      <c r="AA90" s="11">
        <f>1200+1000</f>
        <v>2200</v>
      </c>
      <c r="AB90" s="11">
        <f>1200+1000</f>
        <v>2200</v>
      </c>
      <c r="AC90" s="11">
        <f t="shared" ref="AC90:AD90" si="187">1200+1000</f>
        <v>2200</v>
      </c>
      <c r="AD90" s="11">
        <f t="shared" si="187"/>
        <v>2200</v>
      </c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>
        <v>35</v>
      </c>
      <c r="BE90" s="11">
        <v>300</v>
      </c>
      <c r="BF90" s="11">
        <v>300</v>
      </c>
      <c r="BG90" s="11">
        <v>300</v>
      </c>
      <c r="BH90" s="11">
        <v>300</v>
      </c>
      <c r="BI90" s="11"/>
      <c r="BJ90" s="11">
        <v>100</v>
      </c>
      <c r="BK90" s="291">
        <f t="shared" si="146"/>
        <v>6200</v>
      </c>
      <c r="BL90" s="291">
        <f>D90+J90+P90+V90+AB90+AH90+AN90+AT90+AZ90+BF90</f>
        <v>6200</v>
      </c>
      <c r="BM90" s="291">
        <f t="shared" si="186"/>
        <v>6200</v>
      </c>
      <c r="BN90" s="291">
        <f t="shared" si="186"/>
        <v>6200</v>
      </c>
      <c r="BO90" s="291">
        <f t="shared" si="186"/>
        <v>0</v>
      </c>
      <c r="BP90" s="291">
        <f t="shared" si="186"/>
        <v>4160</v>
      </c>
      <c r="BQ90" s="316"/>
    </row>
    <row r="91" spans="1:71" ht="12.75" hidden="1" customHeight="1" x14ac:dyDescent="0.2">
      <c r="A91" s="60"/>
      <c r="B91" s="8" t="s">
        <v>443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291">
        <f t="shared" ref="BK91:BK99" si="188">C91+I91+O91+U91+AA91+AG91+AM91+AS91+AY91+BE91</f>
        <v>0</v>
      </c>
      <c r="BL91" s="291">
        <f>D91+J91+P91+V91+AB91+AH91+AN91+AT91+AZ91+BF91</f>
        <v>0</v>
      </c>
      <c r="BM91" s="291">
        <f t="shared" si="186"/>
        <v>0</v>
      </c>
      <c r="BN91" s="291">
        <f t="shared" si="186"/>
        <v>0</v>
      </c>
      <c r="BO91" s="291">
        <f t="shared" si="186"/>
        <v>0</v>
      </c>
      <c r="BP91" s="291">
        <f t="shared" si="186"/>
        <v>0</v>
      </c>
      <c r="BQ91" s="316"/>
    </row>
    <row r="92" spans="1:71" x14ac:dyDescent="0.2">
      <c r="A92" s="281" t="s">
        <v>292</v>
      </c>
      <c r="B92" s="115" t="s">
        <v>31</v>
      </c>
      <c r="C92" s="149">
        <f t="shared" ref="C92:AN92" si="189">SUM(C33+C42+C45+C80+C83)</f>
        <v>82224</v>
      </c>
      <c r="D92" s="149">
        <f t="shared" ref="D92:E92" si="190">SUM(D33+D42+D45+D80+D83)</f>
        <v>85758</v>
      </c>
      <c r="E92" s="149">
        <f t="shared" si="190"/>
        <v>85758</v>
      </c>
      <c r="F92" s="149">
        <f t="shared" si="189"/>
        <v>85758</v>
      </c>
      <c r="G92" s="149"/>
      <c r="H92" s="149">
        <f t="shared" si="189"/>
        <v>59844</v>
      </c>
      <c r="I92" s="149">
        <f t="shared" si="189"/>
        <v>717</v>
      </c>
      <c r="J92" s="149">
        <f t="shared" ref="J92:K92" si="191">SUM(J33+J42+J45+J80+J83)</f>
        <v>717</v>
      </c>
      <c r="K92" s="149">
        <f t="shared" si="191"/>
        <v>717</v>
      </c>
      <c r="L92" s="149">
        <f t="shared" si="189"/>
        <v>717</v>
      </c>
      <c r="M92" s="149"/>
      <c r="N92" s="149">
        <f t="shared" si="189"/>
        <v>430</v>
      </c>
      <c r="O92" s="149">
        <f t="shared" si="189"/>
        <v>78751</v>
      </c>
      <c r="P92" s="149">
        <f t="shared" si="189"/>
        <v>78751</v>
      </c>
      <c r="Q92" s="149">
        <f t="shared" si="189"/>
        <v>78751</v>
      </c>
      <c r="R92" s="149">
        <f t="shared" si="189"/>
        <v>78751</v>
      </c>
      <c r="S92" s="149"/>
      <c r="T92" s="149">
        <f t="shared" si="189"/>
        <v>24720</v>
      </c>
      <c r="U92" s="149">
        <f t="shared" si="189"/>
        <v>12024</v>
      </c>
      <c r="V92" s="149">
        <f t="shared" ref="V92" si="192">SUM(V33+V42+V45+V80+V83)</f>
        <v>12203</v>
      </c>
      <c r="W92" s="149">
        <f t="shared" si="189"/>
        <v>12203</v>
      </c>
      <c r="X92" s="149">
        <f t="shared" si="189"/>
        <v>12203</v>
      </c>
      <c r="Y92" s="149"/>
      <c r="Z92" s="149">
        <f t="shared" si="189"/>
        <v>0</v>
      </c>
      <c r="AA92" s="149">
        <f t="shared" si="189"/>
        <v>197640</v>
      </c>
      <c r="AB92" s="149">
        <f t="shared" ref="AB92" si="193">SUM(AB33+AB42+AB45+AB80+AB83)</f>
        <v>253975</v>
      </c>
      <c r="AC92" s="149">
        <f t="shared" si="189"/>
        <v>253975</v>
      </c>
      <c r="AD92" s="149">
        <f t="shared" si="189"/>
        <v>260045</v>
      </c>
      <c r="AE92" s="149"/>
      <c r="AF92" s="149">
        <f t="shared" si="189"/>
        <v>6781</v>
      </c>
      <c r="AG92" s="149">
        <f t="shared" si="189"/>
        <v>32737</v>
      </c>
      <c r="AH92" s="149">
        <f t="shared" si="189"/>
        <v>33264</v>
      </c>
      <c r="AI92" s="149">
        <f t="shared" ref="AI92:AJ92" si="194">SUM(AI33+AI42+AI45+AI80+AI83)</f>
        <v>33264</v>
      </c>
      <c r="AJ92" s="149">
        <f t="shared" si="194"/>
        <v>33908</v>
      </c>
      <c r="AK92" s="149"/>
      <c r="AL92" s="149">
        <f t="shared" si="189"/>
        <v>8800</v>
      </c>
      <c r="AM92" s="149">
        <f t="shared" si="189"/>
        <v>0</v>
      </c>
      <c r="AN92" s="149">
        <f t="shared" si="189"/>
        <v>0</v>
      </c>
      <c r="AO92" s="149">
        <f t="shared" ref="AO92:BJ92" si="195">SUM(AO33+AO42+AO45+AO80+AO83)</f>
        <v>0</v>
      </c>
      <c r="AP92" s="149">
        <f t="shared" si="195"/>
        <v>0</v>
      </c>
      <c r="AQ92" s="149"/>
      <c r="AR92" s="149">
        <f t="shared" si="195"/>
        <v>0</v>
      </c>
      <c r="AS92" s="149">
        <f t="shared" si="195"/>
        <v>0</v>
      </c>
      <c r="AT92" s="149">
        <f t="shared" si="195"/>
        <v>0</v>
      </c>
      <c r="AU92" s="149">
        <f t="shared" si="195"/>
        <v>0</v>
      </c>
      <c r="AV92" s="149">
        <f t="shared" si="195"/>
        <v>0</v>
      </c>
      <c r="AW92" s="149"/>
      <c r="AX92" s="149">
        <f t="shared" si="195"/>
        <v>0</v>
      </c>
      <c r="AY92" s="149">
        <f t="shared" si="195"/>
        <v>28112</v>
      </c>
      <c r="AZ92" s="149">
        <f t="shared" si="195"/>
        <v>28112</v>
      </c>
      <c r="BA92" s="149">
        <f t="shared" ref="BA92:BB92" si="196">SUM(BA33+BA42+BA45+BA80+BA83)</f>
        <v>28112</v>
      </c>
      <c r="BB92" s="149">
        <f t="shared" si="196"/>
        <v>29217</v>
      </c>
      <c r="BC92" s="149"/>
      <c r="BD92" s="149">
        <f t="shared" si="195"/>
        <v>18777</v>
      </c>
      <c r="BE92" s="149">
        <f t="shared" si="195"/>
        <v>11571</v>
      </c>
      <c r="BF92" s="149">
        <f t="shared" ref="BF92:BG92" si="197">SUM(BF33+BF42+BF45+BF80+BF83)</f>
        <v>11571</v>
      </c>
      <c r="BG92" s="149">
        <f t="shared" si="197"/>
        <v>11571</v>
      </c>
      <c r="BH92" s="149">
        <f t="shared" si="195"/>
        <v>12071</v>
      </c>
      <c r="BI92" s="149"/>
      <c r="BJ92" s="149">
        <f t="shared" si="195"/>
        <v>1590</v>
      </c>
      <c r="BK92" s="149">
        <f t="shared" si="188"/>
        <v>443776</v>
      </c>
      <c r="BL92" s="149">
        <f>D92+J92+P92+V92+AB92+AH92+AN92+AT92+AZ92+BF92</f>
        <v>504351</v>
      </c>
      <c r="BM92" s="149">
        <f t="shared" si="186"/>
        <v>504351</v>
      </c>
      <c r="BN92" s="149">
        <f t="shared" si="186"/>
        <v>512670</v>
      </c>
      <c r="BO92" s="149">
        <f t="shared" si="186"/>
        <v>0</v>
      </c>
      <c r="BP92" s="149">
        <f t="shared" si="186"/>
        <v>120942</v>
      </c>
      <c r="BQ92" s="316"/>
      <c r="BS92" s="76"/>
    </row>
    <row r="93" spans="1:71" x14ac:dyDescent="0.2">
      <c r="A93" s="283" t="s">
        <v>291</v>
      </c>
      <c r="B93" s="115" t="s">
        <v>479</v>
      </c>
      <c r="C93" s="149"/>
      <c r="D93" s="149"/>
      <c r="E93" s="149"/>
      <c r="F93" s="149"/>
      <c r="G93" s="149"/>
      <c r="H93" s="149">
        <v>300</v>
      </c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>
        <f>11500</f>
        <v>11500</v>
      </c>
      <c r="AH93" s="149">
        <v>11500</v>
      </c>
      <c r="AI93" s="149">
        <v>11500</v>
      </c>
      <c r="AJ93" s="149">
        <v>11500</v>
      </c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>
        <f t="shared" si="188"/>
        <v>11500</v>
      </c>
      <c r="BL93" s="149">
        <f>D93+J93+P93+V93+AB93+AH93+AN93+AT93+AZ93+BF93</f>
        <v>11500</v>
      </c>
      <c r="BM93" s="149">
        <f t="shared" si="186"/>
        <v>11500</v>
      </c>
      <c r="BN93" s="149">
        <f t="shared" si="186"/>
        <v>11500</v>
      </c>
      <c r="BO93" s="149">
        <f t="shared" si="186"/>
        <v>0</v>
      </c>
      <c r="BP93" s="149">
        <f t="shared" si="186"/>
        <v>300</v>
      </c>
      <c r="BQ93" s="316"/>
    </row>
    <row r="94" spans="1:71" s="512" customFormat="1" ht="13.5" x14ac:dyDescent="0.25">
      <c r="A94" s="679"/>
      <c r="B94" s="680" t="s">
        <v>1285</v>
      </c>
      <c r="C94" s="681"/>
      <c r="D94" s="681"/>
      <c r="E94" s="681"/>
      <c r="F94" s="681"/>
      <c r="G94" s="681"/>
      <c r="H94" s="681"/>
      <c r="I94" s="682"/>
      <c r="J94" s="682"/>
      <c r="K94" s="682"/>
      <c r="L94" s="682"/>
      <c r="M94" s="682"/>
      <c r="N94" s="682"/>
      <c r="O94" s="682"/>
      <c r="P94" s="682"/>
      <c r="Q94" s="682"/>
      <c r="R94" s="682"/>
      <c r="S94" s="682"/>
      <c r="T94" s="682"/>
      <c r="U94" s="682"/>
      <c r="V94" s="682"/>
      <c r="W94" s="682"/>
      <c r="X94" s="682"/>
      <c r="Y94" s="682"/>
      <c r="Z94" s="682"/>
      <c r="AA94" s="682"/>
      <c r="AB94" s="682"/>
      <c r="AC94" s="682"/>
      <c r="AD94" s="682"/>
      <c r="AE94" s="682"/>
      <c r="AF94" s="682"/>
      <c r="AG94" s="682">
        <v>3640</v>
      </c>
      <c r="AH94" s="682">
        <v>3640</v>
      </c>
      <c r="AI94" s="682">
        <v>3640</v>
      </c>
      <c r="AJ94" s="682">
        <v>3640</v>
      </c>
      <c r="AK94" s="682"/>
      <c r="AL94" s="682"/>
      <c r="AM94" s="682"/>
      <c r="AN94" s="682"/>
      <c r="AO94" s="682"/>
      <c r="AP94" s="682"/>
      <c r="AQ94" s="682"/>
      <c r="AR94" s="682"/>
      <c r="AS94" s="682"/>
      <c r="AT94" s="682"/>
      <c r="AU94" s="682"/>
      <c r="AV94" s="682"/>
      <c r="AW94" s="682"/>
      <c r="AX94" s="682"/>
      <c r="AY94" s="682"/>
      <c r="AZ94" s="682"/>
      <c r="BA94" s="682"/>
      <c r="BB94" s="682"/>
      <c r="BC94" s="682"/>
      <c r="BD94" s="682"/>
      <c r="BE94" s="682"/>
      <c r="BF94" s="682"/>
      <c r="BG94" s="682"/>
      <c r="BH94" s="682"/>
      <c r="BI94" s="682"/>
      <c r="BJ94" s="682"/>
      <c r="BK94" s="681"/>
      <c r="BL94" s="681"/>
      <c r="BM94" s="681"/>
      <c r="BN94" s="681"/>
      <c r="BO94" s="681"/>
      <c r="BP94" s="681"/>
      <c r="BQ94" s="683"/>
    </row>
    <row r="95" spans="1:71" ht="13.5" thickBot="1" x14ac:dyDescent="0.25">
      <c r="A95" s="283" t="s">
        <v>317</v>
      </c>
      <c r="B95" s="152" t="s">
        <v>404</v>
      </c>
      <c r="C95" s="149">
        <f>SUM('4. Átadott p.eszk.'!B67)</f>
        <v>496283</v>
      </c>
      <c r="D95" s="149">
        <f>SUM('4. Átadott p.eszk.'!C67)</f>
        <v>516269</v>
      </c>
      <c r="E95" s="149">
        <v>516269</v>
      </c>
      <c r="F95" s="149">
        <f>SUM('4. Átadott p.eszk.'!E67)</f>
        <v>542862</v>
      </c>
      <c r="G95" s="149"/>
      <c r="H95" s="149" t="e">
        <f>SUM('4. Átadott p.eszk.'!G67)</f>
        <v>#REF!</v>
      </c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49">
        <f t="shared" si="188"/>
        <v>496283</v>
      </c>
      <c r="BL95" s="149">
        <f>D95+J95+P95+V95+AB95+AH95+AN95+AT95+AZ95+BF95</f>
        <v>516269</v>
      </c>
      <c r="BM95" s="149">
        <f t="shared" ref="BM95:BP99" si="198">E95+K95+Q95+W95+AC95+AI95+AO95+AU95+BA95+BG95</f>
        <v>516269</v>
      </c>
      <c r="BN95" s="149">
        <f t="shared" si="198"/>
        <v>542862</v>
      </c>
      <c r="BO95" s="149">
        <f t="shared" si="198"/>
        <v>0</v>
      </c>
      <c r="BP95" s="149" t="e">
        <f t="shared" si="198"/>
        <v>#REF!</v>
      </c>
      <c r="BQ95" s="316"/>
    </row>
    <row r="96" spans="1:71" ht="15.75" customHeight="1" thickBot="1" x14ac:dyDescent="0.3">
      <c r="A96" s="283"/>
      <c r="B96" s="211" t="s">
        <v>10</v>
      </c>
      <c r="C96" s="155">
        <f t="shared" ref="C96:AN96" si="199">SUM(C28+C32+C92+C93+C95)</f>
        <v>600450</v>
      </c>
      <c r="D96" s="155">
        <f t="shared" ref="D96:E96" si="200">SUM(D28+D32+D92+D93+D95)</f>
        <v>627254</v>
      </c>
      <c r="E96" s="155">
        <f t="shared" si="200"/>
        <v>627254</v>
      </c>
      <c r="F96" s="155">
        <f t="shared" si="199"/>
        <v>653847</v>
      </c>
      <c r="G96" s="155"/>
      <c r="H96" s="155" t="e">
        <f t="shared" si="199"/>
        <v>#REF!</v>
      </c>
      <c r="I96" s="155">
        <f t="shared" si="199"/>
        <v>13239</v>
      </c>
      <c r="J96" s="155">
        <f t="shared" ref="J96:K96" si="201">SUM(J28+J32+J92+J93+J95)</f>
        <v>13239</v>
      </c>
      <c r="K96" s="155">
        <f t="shared" si="201"/>
        <v>13239</v>
      </c>
      <c r="L96" s="155">
        <f t="shared" si="199"/>
        <v>13239</v>
      </c>
      <c r="M96" s="155"/>
      <c r="N96" s="155">
        <f t="shared" si="199"/>
        <v>11262</v>
      </c>
      <c r="O96" s="155">
        <f t="shared" si="199"/>
        <v>78751</v>
      </c>
      <c r="P96" s="155">
        <f t="shared" si="199"/>
        <v>78751</v>
      </c>
      <c r="Q96" s="155">
        <f t="shared" si="199"/>
        <v>78751</v>
      </c>
      <c r="R96" s="155">
        <f t="shared" si="199"/>
        <v>78751</v>
      </c>
      <c r="S96" s="155"/>
      <c r="T96" s="155">
        <f t="shared" si="199"/>
        <v>24720</v>
      </c>
      <c r="U96" s="155">
        <f t="shared" si="199"/>
        <v>13465</v>
      </c>
      <c r="V96" s="155">
        <f t="shared" ref="V96" si="202">SUM(V28+V32+V92+V93+V95)</f>
        <v>13644</v>
      </c>
      <c r="W96" s="155">
        <f t="shared" si="199"/>
        <v>13644</v>
      </c>
      <c r="X96" s="155">
        <f t="shared" si="199"/>
        <v>13644</v>
      </c>
      <c r="Y96" s="155"/>
      <c r="Z96" s="155">
        <f t="shared" si="199"/>
        <v>0</v>
      </c>
      <c r="AA96" s="155">
        <f t="shared" si="199"/>
        <v>211994</v>
      </c>
      <c r="AB96" s="155">
        <f t="shared" si="199"/>
        <v>268329</v>
      </c>
      <c r="AC96" s="155">
        <f t="shared" si="199"/>
        <v>268329</v>
      </c>
      <c r="AD96" s="155">
        <f t="shared" si="199"/>
        <v>274399</v>
      </c>
      <c r="AE96" s="155"/>
      <c r="AF96" s="155">
        <f t="shared" si="199"/>
        <v>19632</v>
      </c>
      <c r="AG96" s="155">
        <f t="shared" si="199"/>
        <v>47090</v>
      </c>
      <c r="AH96" s="155">
        <f t="shared" si="199"/>
        <v>47617</v>
      </c>
      <c r="AI96" s="155">
        <f t="shared" si="199"/>
        <v>47617</v>
      </c>
      <c r="AJ96" s="155">
        <f t="shared" si="199"/>
        <v>48261</v>
      </c>
      <c r="AK96" s="155"/>
      <c r="AL96" s="155">
        <f t="shared" si="199"/>
        <v>11073</v>
      </c>
      <c r="AM96" s="155">
        <f t="shared" si="199"/>
        <v>0</v>
      </c>
      <c r="AN96" s="155">
        <f t="shared" si="199"/>
        <v>0</v>
      </c>
      <c r="AO96" s="155">
        <f t="shared" ref="AO96:BJ96" si="203">SUM(AO28+AO32+AO92+AO93+AO95)</f>
        <v>0</v>
      </c>
      <c r="AP96" s="155">
        <f t="shared" si="203"/>
        <v>0</v>
      </c>
      <c r="AQ96" s="155"/>
      <c r="AR96" s="155">
        <f t="shared" si="203"/>
        <v>0</v>
      </c>
      <c r="AS96" s="155">
        <f t="shared" si="203"/>
        <v>0</v>
      </c>
      <c r="AT96" s="155">
        <f t="shared" si="203"/>
        <v>0</v>
      </c>
      <c r="AU96" s="155">
        <f t="shared" si="203"/>
        <v>0</v>
      </c>
      <c r="AV96" s="155">
        <f t="shared" si="203"/>
        <v>0</v>
      </c>
      <c r="AW96" s="155"/>
      <c r="AX96" s="155">
        <f t="shared" si="203"/>
        <v>0</v>
      </c>
      <c r="AY96" s="155">
        <f t="shared" si="203"/>
        <v>28112</v>
      </c>
      <c r="AZ96" s="155">
        <f t="shared" si="203"/>
        <v>28112</v>
      </c>
      <c r="BA96" s="155">
        <f t="shared" si="203"/>
        <v>28112</v>
      </c>
      <c r="BB96" s="155">
        <f t="shared" si="203"/>
        <v>29217</v>
      </c>
      <c r="BC96" s="155"/>
      <c r="BD96" s="155">
        <f t="shared" si="203"/>
        <v>18777</v>
      </c>
      <c r="BE96" s="155">
        <f t="shared" si="203"/>
        <v>17980</v>
      </c>
      <c r="BF96" s="155">
        <f t="shared" ref="BF96:BG96" si="204">SUM(BF28+BF32+BF92+BF93+BF95)</f>
        <v>17980</v>
      </c>
      <c r="BG96" s="155">
        <f t="shared" si="204"/>
        <v>17980</v>
      </c>
      <c r="BH96" s="155">
        <f t="shared" si="203"/>
        <v>18480</v>
      </c>
      <c r="BI96" s="155"/>
      <c r="BJ96" s="155">
        <f t="shared" si="203"/>
        <v>6426</v>
      </c>
      <c r="BK96" s="155">
        <f t="shared" si="188"/>
        <v>1011081</v>
      </c>
      <c r="BL96" s="155">
        <f>D96+J96+P96+V96+AB96+AH96+AN96+AT96+AZ96+BF96</f>
        <v>1094926</v>
      </c>
      <c r="BM96" s="155">
        <f t="shared" si="198"/>
        <v>1094926</v>
      </c>
      <c r="BN96" s="155">
        <f t="shared" si="198"/>
        <v>1129838</v>
      </c>
      <c r="BO96" s="155">
        <f t="shared" si="198"/>
        <v>0</v>
      </c>
      <c r="BP96" s="155" t="e">
        <f t="shared" si="198"/>
        <v>#REF!</v>
      </c>
      <c r="BQ96" s="316"/>
      <c r="BR96" s="76"/>
    </row>
    <row r="97" spans="1:70" ht="15.75" thickBot="1" x14ac:dyDescent="0.3">
      <c r="A97" s="283" t="s">
        <v>318</v>
      </c>
      <c r="B97" s="209" t="s">
        <v>403</v>
      </c>
      <c r="C97" s="210">
        <f>SUM('3.felh'!C45+'3.felh'!C66+'3.felh'!C82)</f>
        <v>529540</v>
      </c>
      <c r="D97" s="210">
        <f>SUM('3.felh'!D45+'3.felh'!D66+'3.felh'!D82)</f>
        <v>1515441</v>
      </c>
      <c r="E97" s="210">
        <v>1515441</v>
      </c>
      <c r="F97" s="210">
        <f>SUM('3.felh'!F45+'3.felh'!F66+'3.felh'!F82)</f>
        <v>1980974</v>
      </c>
      <c r="G97" s="210"/>
      <c r="H97" s="210">
        <f>SUM('3.felh'!H45+'3.felh'!H66+'3.felh'!H82)</f>
        <v>549540</v>
      </c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  <c r="BI97" s="210"/>
      <c r="BJ97" s="210"/>
      <c r="BK97" s="210">
        <f t="shared" si="188"/>
        <v>529540</v>
      </c>
      <c r="BL97" s="210">
        <f>D97+J97+P97+V97+AB97+AH97+AN97+AT97+AZ97+BF97</f>
        <v>1515441</v>
      </c>
      <c r="BM97" s="210">
        <f t="shared" si="198"/>
        <v>1515441</v>
      </c>
      <c r="BN97" s="210">
        <f t="shared" si="198"/>
        <v>1980974</v>
      </c>
      <c r="BO97" s="210">
        <f t="shared" si="198"/>
        <v>0</v>
      </c>
      <c r="BP97" s="210">
        <f t="shared" si="198"/>
        <v>549540</v>
      </c>
      <c r="BQ97" s="316"/>
    </row>
    <row r="98" spans="1:70" ht="20.25" thickBot="1" x14ac:dyDescent="0.4">
      <c r="A98" s="282"/>
      <c r="B98" s="201" t="s">
        <v>7</v>
      </c>
      <c r="C98" s="202">
        <f t="shared" ref="C98:AI98" si="205">SUM(C96+C97)</f>
        <v>1129990</v>
      </c>
      <c r="D98" s="202">
        <f t="shared" ref="D98:E98" si="206">SUM(D96+D97)</f>
        <v>2142695</v>
      </c>
      <c r="E98" s="202">
        <f t="shared" si="206"/>
        <v>2142695</v>
      </c>
      <c r="F98" s="202">
        <f t="shared" si="205"/>
        <v>2634821</v>
      </c>
      <c r="G98" s="202"/>
      <c r="H98" s="202" t="e">
        <f t="shared" si="205"/>
        <v>#REF!</v>
      </c>
      <c r="I98" s="202">
        <f>SUM(I96+I97)</f>
        <v>13239</v>
      </c>
      <c r="J98" s="202">
        <f>SUM(J96+J97)</f>
        <v>13239</v>
      </c>
      <c r="K98" s="202">
        <f>SUM(K96+K97)</f>
        <v>13239</v>
      </c>
      <c r="L98" s="202">
        <f>SUM(L96+L97)</f>
        <v>13239</v>
      </c>
      <c r="M98" s="202"/>
      <c r="N98" s="202">
        <f>SUM(N96+N97)</f>
        <v>11262</v>
      </c>
      <c r="O98" s="202">
        <f t="shared" si="205"/>
        <v>78751</v>
      </c>
      <c r="P98" s="202">
        <f t="shared" si="205"/>
        <v>78751</v>
      </c>
      <c r="Q98" s="202">
        <f t="shared" si="205"/>
        <v>78751</v>
      </c>
      <c r="R98" s="202">
        <f t="shared" si="205"/>
        <v>78751</v>
      </c>
      <c r="S98" s="202"/>
      <c r="T98" s="202">
        <f t="shared" si="205"/>
        <v>24720</v>
      </c>
      <c r="U98" s="202">
        <f t="shared" si="205"/>
        <v>13465</v>
      </c>
      <c r="V98" s="202">
        <f t="shared" ref="V98" si="207">SUM(V96+V97)</f>
        <v>13644</v>
      </c>
      <c r="W98" s="202">
        <f t="shared" si="205"/>
        <v>13644</v>
      </c>
      <c r="X98" s="202">
        <f t="shared" si="205"/>
        <v>13644</v>
      </c>
      <c r="Y98" s="202"/>
      <c r="Z98" s="202">
        <f t="shared" si="205"/>
        <v>0</v>
      </c>
      <c r="AA98" s="202">
        <f t="shared" si="205"/>
        <v>211994</v>
      </c>
      <c r="AB98" s="202">
        <f t="shared" si="205"/>
        <v>268329</v>
      </c>
      <c r="AC98" s="202">
        <f t="shared" si="205"/>
        <v>268329</v>
      </c>
      <c r="AD98" s="202">
        <f t="shared" si="205"/>
        <v>274399</v>
      </c>
      <c r="AE98" s="202"/>
      <c r="AF98" s="202">
        <f t="shared" si="205"/>
        <v>19632</v>
      </c>
      <c r="AG98" s="202">
        <f t="shared" si="205"/>
        <v>47090</v>
      </c>
      <c r="AH98" s="202">
        <f t="shared" si="205"/>
        <v>47617</v>
      </c>
      <c r="AI98" s="202">
        <f t="shared" si="205"/>
        <v>47617</v>
      </c>
      <c r="AJ98" s="202">
        <f t="shared" ref="AJ98:BJ98" si="208">SUM(AJ96+AJ97)</f>
        <v>48261</v>
      </c>
      <c r="AK98" s="202"/>
      <c r="AL98" s="202">
        <f t="shared" si="208"/>
        <v>11073</v>
      </c>
      <c r="AM98" s="202">
        <f t="shared" si="208"/>
        <v>0</v>
      </c>
      <c r="AN98" s="202">
        <f t="shared" si="208"/>
        <v>0</v>
      </c>
      <c r="AO98" s="202">
        <f>SUM(AO96+AO97)</f>
        <v>0</v>
      </c>
      <c r="AP98" s="202">
        <f t="shared" si="208"/>
        <v>0</v>
      </c>
      <c r="AQ98" s="202"/>
      <c r="AR98" s="202">
        <f t="shared" si="208"/>
        <v>0</v>
      </c>
      <c r="AS98" s="202">
        <f t="shared" si="208"/>
        <v>0</v>
      </c>
      <c r="AT98" s="202">
        <f>SUM(AT96+AT97)</f>
        <v>0</v>
      </c>
      <c r="AU98" s="202">
        <f>SUM(AU96+AU97)</f>
        <v>0</v>
      </c>
      <c r="AV98" s="202">
        <f>SUM(AV96+AV97)</f>
        <v>0</v>
      </c>
      <c r="AW98" s="202"/>
      <c r="AX98" s="202">
        <f t="shared" si="208"/>
        <v>0</v>
      </c>
      <c r="AY98" s="202">
        <f t="shared" ref="AY98:BD98" si="209">SUM(AY96+AY97)</f>
        <v>28112</v>
      </c>
      <c r="AZ98" s="202">
        <f t="shared" si="209"/>
        <v>28112</v>
      </c>
      <c r="BA98" s="202">
        <f t="shared" si="209"/>
        <v>28112</v>
      </c>
      <c r="BB98" s="202">
        <f t="shared" si="209"/>
        <v>29217</v>
      </c>
      <c r="BC98" s="202"/>
      <c r="BD98" s="202">
        <f t="shared" si="209"/>
        <v>18777</v>
      </c>
      <c r="BE98" s="202">
        <f t="shared" si="208"/>
        <v>17980</v>
      </c>
      <c r="BF98" s="202">
        <f t="shared" ref="BF98:BG98" si="210">SUM(BF96+BF97)</f>
        <v>17980</v>
      </c>
      <c r="BG98" s="202">
        <f t="shared" si="210"/>
        <v>17980</v>
      </c>
      <c r="BH98" s="202">
        <f t="shared" si="208"/>
        <v>18480</v>
      </c>
      <c r="BI98" s="202"/>
      <c r="BJ98" s="202">
        <f t="shared" si="208"/>
        <v>6426</v>
      </c>
      <c r="BK98" s="202">
        <f t="shared" si="188"/>
        <v>1540621</v>
      </c>
      <c r="BL98" s="202">
        <f>D98+J98+P98+V98+AB98+AH98+AN98+AT98+AZ98+BF98</f>
        <v>2610367</v>
      </c>
      <c r="BM98" s="202">
        <f t="shared" si="198"/>
        <v>2610367</v>
      </c>
      <c r="BN98" s="202">
        <f t="shared" si="198"/>
        <v>3110812</v>
      </c>
      <c r="BO98" s="202">
        <f t="shared" si="198"/>
        <v>0</v>
      </c>
      <c r="BP98" s="202" t="e">
        <f t="shared" si="198"/>
        <v>#REF!</v>
      </c>
      <c r="BQ98" s="316"/>
    </row>
    <row r="99" spans="1:70" ht="13.5" thickBot="1" x14ac:dyDescent="0.25">
      <c r="A99" s="290"/>
      <c r="B99" s="199" t="s">
        <v>59</v>
      </c>
      <c r="C99" s="232">
        <v>1</v>
      </c>
      <c r="D99" s="232">
        <v>1</v>
      </c>
      <c r="E99" s="232">
        <v>1</v>
      </c>
      <c r="F99" s="232">
        <v>1</v>
      </c>
      <c r="G99" s="232"/>
      <c r="H99" s="232">
        <v>1</v>
      </c>
      <c r="I99" s="232">
        <v>2</v>
      </c>
      <c r="J99" s="232">
        <v>2</v>
      </c>
      <c r="K99" s="232">
        <v>2</v>
      </c>
      <c r="L99" s="232">
        <v>2</v>
      </c>
      <c r="M99" s="232"/>
      <c r="N99" s="232">
        <v>2</v>
      </c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>
        <v>3</v>
      </c>
      <c r="AB99" s="232">
        <v>3</v>
      </c>
      <c r="AC99" s="232">
        <v>3</v>
      </c>
      <c r="AD99" s="232">
        <v>3</v>
      </c>
      <c r="AE99" s="232"/>
      <c r="AF99" s="232">
        <v>3</v>
      </c>
      <c r="AG99" s="232">
        <v>1</v>
      </c>
      <c r="AH99" s="232">
        <v>1</v>
      </c>
      <c r="AI99" s="232">
        <v>1</v>
      </c>
      <c r="AJ99" s="232">
        <v>1</v>
      </c>
      <c r="AK99" s="232"/>
      <c r="AL99" s="232">
        <v>1</v>
      </c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>
        <v>1</v>
      </c>
      <c r="BF99" s="232">
        <v>1</v>
      </c>
      <c r="BG99" s="232">
        <v>1</v>
      </c>
      <c r="BH99" s="232">
        <v>1</v>
      </c>
      <c r="BI99" s="232"/>
      <c r="BJ99" s="232">
        <v>1</v>
      </c>
      <c r="BK99" s="232">
        <f t="shared" si="188"/>
        <v>8</v>
      </c>
      <c r="BL99" s="232">
        <f>D99+J99+P99+V99+AB99+AH99+AN99+AT99+AZ99+BF99</f>
        <v>8</v>
      </c>
      <c r="BM99" s="232">
        <f t="shared" si="198"/>
        <v>8</v>
      </c>
      <c r="BN99" s="232">
        <f t="shared" si="198"/>
        <v>8</v>
      </c>
      <c r="BO99" s="232">
        <f t="shared" si="198"/>
        <v>0</v>
      </c>
      <c r="BP99" s="232">
        <f t="shared" ref="BP99" si="211">H99+N99+T99+Z99+AF99+AL99+AR99+AX99+BD99+BJ99</f>
        <v>8</v>
      </c>
      <c r="BQ99" s="316"/>
      <c r="BR99" s="76"/>
    </row>
    <row r="100" spans="1:70" s="9" customFormat="1" ht="6" customHeight="1" x14ac:dyDescent="0.2">
      <c r="A100" s="170"/>
      <c r="B100" s="200"/>
      <c r="C100"/>
      <c r="D100"/>
      <c r="E100"/>
      <c r="F100"/>
      <c r="G100"/>
      <c r="H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 s="37"/>
      <c r="BQ100" s="316"/>
    </row>
    <row r="101" spans="1:70" s="9" customFormat="1" hidden="1" x14ac:dyDescent="0.2">
      <c r="A101" s="170"/>
      <c r="B101"/>
      <c r="C101"/>
      <c r="D101"/>
      <c r="E101"/>
      <c r="F101"/>
      <c r="G101"/>
      <c r="H101"/>
      <c r="N101"/>
      <c r="O101"/>
      <c r="P101"/>
      <c r="Q101"/>
      <c r="R101" s="195"/>
      <c r="S101" s="195"/>
      <c r="T101" s="195"/>
      <c r="U101" s="195"/>
      <c r="V101" s="195"/>
      <c r="W101" s="195"/>
      <c r="X101" s="195"/>
      <c r="Y101" s="195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 s="316"/>
    </row>
    <row r="102" spans="1:70" s="9" customFormat="1" hidden="1" x14ac:dyDescent="0.2">
      <c r="A102" s="170"/>
      <c r="B102"/>
      <c r="C102" s="76"/>
      <c r="D102" s="76"/>
      <c r="E102" s="76"/>
      <c r="F102" s="76"/>
      <c r="G102" s="76"/>
      <c r="H102" s="76"/>
      <c r="I102" s="37"/>
      <c r="J102" s="37"/>
      <c r="K102" s="37"/>
      <c r="L102" s="37"/>
      <c r="M102" s="37"/>
      <c r="N102" s="76"/>
      <c r="O102" s="76"/>
      <c r="P102" s="76"/>
      <c r="Q102" s="76"/>
      <c r="R102"/>
      <c r="S102"/>
      <c r="T102"/>
      <c r="U102"/>
      <c r="V102"/>
      <c r="W102"/>
      <c r="X102"/>
      <c r="Y102"/>
      <c r="Z102" s="203" t="s">
        <v>396</v>
      </c>
      <c r="AA102" s="203"/>
      <c r="AB102" s="203"/>
      <c r="AC102" s="203"/>
      <c r="AD102" s="203">
        <v>300</v>
      </c>
      <c r="AE102" s="203"/>
      <c r="AF102" s="203"/>
      <c r="AG102" s="203"/>
      <c r="AH102" s="203"/>
      <c r="AI102" s="203"/>
      <c r="AJ102" s="203">
        <v>236</v>
      </c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  <c r="BC102" s="203"/>
      <c r="BD102" s="203"/>
      <c r="BE102" s="203"/>
      <c r="BF102" s="203"/>
      <c r="BG102" s="203"/>
      <c r="BH102" s="203"/>
      <c r="BI102" s="203"/>
      <c r="BJ102" s="203"/>
      <c r="BK102"/>
      <c r="BL102"/>
      <c r="BM102"/>
      <c r="BN102"/>
      <c r="BO102"/>
      <c r="BP102"/>
      <c r="BQ102" s="316"/>
    </row>
    <row r="103" spans="1:70" s="9" customFormat="1" hidden="1" x14ac:dyDescent="0.2">
      <c r="A103" s="170"/>
      <c r="B103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/>
      <c r="S103"/>
      <c r="T103"/>
      <c r="U103"/>
      <c r="V103"/>
      <c r="W103"/>
      <c r="X103"/>
      <c r="Y103"/>
      <c r="Z103" s="203" t="s">
        <v>397</v>
      </c>
      <c r="AA103" s="203"/>
      <c r="AB103" s="203"/>
      <c r="AC103" s="203"/>
      <c r="AD103" s="203">
        <v>700</v>
      </c>
      <c r="AE103" s="203"/>
      <c r="AF103" s="203"/>
      <c r="AG103" s="203"/>
      <c r="AH103" s="203"/>
      <c r="AI103" s="203"/>
      <c r="AJ103" s="203">
        <v>551</v>
      </c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  <c r="BC103" s="203"/>
      <c r="BD103" s="203"/>
      <c r="BE103" s="203"/>
      <c r="BF103" s="203"/>
      <c r="BG103" s="203"/>
      <c r="BH103" s="203"/>
      <c r="BI103" s="203"/>
      <c r="BJ103" s="203"/>
      <c r="BK103"/>
      <c r="BL103"/>
      <c r="BM103"/>
      <c r="BN103"/>
      <c r="BO103"/>
      <c r="BP103"/>
      <c r="BQ103" s="316"/>
    </row>
    <row r="104" spans="1:70" s="9" customFormat="1" hidden="1" x14ac:dyDescent="0.2">
      <c r="A104" s="170"/>
      <c r="B104"/>
      <c r="C104" s="197"/>
      <c r="D104" s="197"/>
      <c r="E104" s="197"/>
      <c r="F104" s="197"/>
      <c r="G104" s="197"/>
      <c r="H104" s="197"/>
      <c r="I104" s="169"/>
      <c r="J104" s="169"/>
      <c r="K104" s="169"/>
      <c r="L104" s="169"/>
      <c r="M104" s="169"/>
      <c r="N104" s="169"/>
      <c r="O104" s="169"/>
      <c r="P104" s="169"/>
      <c r="Q104" s="169"/>
      <c r="R104"/>
      <c r="S104"/>
      <c r="T104"/>
      <c r="U104"/>
      <c r="V104"/>
      <c r="W104"/>
      <c r="X104"/>
      <c r="Y1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/>
      <c r="BL104"/>
      <c r="BM104"/>
      <c r="BN104"/>
      <c r="BO104"/>
      <c r="BP104"/>
      <c r="BQ104" s="316"/>
    </row>
    <row r="105" spans="1:70" s="9" customFormat="1" x14ac:dyDescent="0.2">
      <c r="A105" s="170"/>
      <c r="B105" s="293" t="s">
        <v>475</v>
      </c>
      <c r="C105" s="495"/>
      <c r="E105" s="496"/>
      <c r="F105" s="496"/>
      <c r="G105" s="496"/>
      <c r="H105" s="496"/>
      <c r="T105"/>
      <c r="U105"/>
      <c r="V105"/>
      <c r="W105"/>
      <c r="X105"/>
      <c r="Y105"/>
      <c r="Z105" s="293"/>
      <c r="AA105" s="676"/>
      <c r="AB105" s="204"/>
      <c r="AC105" s="204"/>
      <c r="AD105" s="204"/>
      <c r="AE105" s="204"/>
      <c r="AJ105" s="495"/>
      <c r="AK105" s="495"/>
      <c r="AL105" s="496"/>
      <c r="AS105"/>
      <c r="AT105"/>
      <c r="AU105"/>
      <c r="AV105"/>
      <c r="AW105"/>
      <c r="AX105"/>
      <c r="AY105"/>
      <c r="AZ105"/>
      <c r="BA105"/>
      <c r="BB105" s="204"/>
      <c r="BC105" s="204"/>
      <c r="BD105" s="204"/>
      <c r="BQ105" s="316"/>
    </row>
    <row r="106" spans="1:70" s="9" customFormat="1" x14ac:dyDescent="0.2">
      <c r="A106" s="170"/>
      <c r="B106" s="293" t="s">
        <v>979</v>
      </c>
      <c r="C106" s="169" t="s">
        <v>395</v>
      </c>
      <c r="F106" s="169"/>
      <c r="G106" s="169"/>
      <c r="H106" s="169"/>
      <c r="I106" s="169" t="s">
        <v>311</v>
      </c>
      <c r="O106" s="169" t="s">
        <v>832</v>
      </c>
      <c r="T106"/>
      <c r="U106"/>
      <c r="V106"/>
      <c r="W106"/>
      <c r="Z106" s="293"/>
      <c r="AB106"/>
      <c r="AC106"/>
      <c r="AD106"/>
      <c r="AE106"/>
      <c r="AJ106" s="169"/>
      <c r="AK106" s="169"/>
      <c r="AL106" s="169"/>
      <c r="AS106"/>
      <c r="AT106"/>
      <c r="AU106"/>
      <c r="AV106"/>
      <c r="AW106"/>
      <c r="AX106"/>
      <c r="AY106"/>
      <c r="AZ106"/>
      <c r="BA106"/>
      <c r="BB106"/>
      <c r="BC106"/>
      <c r="BD106"/>
      <c r="BK106" s="37"/>
      <c r="BL106" s="37"/>
      <c r="BM106" s="37"/>
      <c r="BN106" s="37"/>
      <c r="BO106" s="37"/>
      <c r="BQ106" s="316"/>
    </row>
    <row r="107" spans="1:70" s="9" customFormat="1" x14ac:dyDescent="0.2">
      <c r="A107" s="170"/>
      <c r="B107" t="s">
        <v>1274</v>
      </c>
      <c r="C107" s="169">
        <v>2025</v>
      </c>
      <c r="F107" s="169"/>
      <c r="G107" s="169"/>
      <c r="H107" s="197"/>
      <c r="I107" s="37">
        <v>547</v>
      </c>
      <c r="J107" s="37"/>
      <c r="K107" s="37"/>
      <c r="L107" s="37"/>
      <c r="M107" s="37"/>
      <c r="N107" s="76"/>
      <c r="O107" s="37">
        <f t="shared" ref="O107:O110" si="212">SUM(C107+I107)</f>
        <v>2572</v>
      </c>
      <c r="P107" s="37"/>
      <c r="Q107" s="37"/>
      <c r="R107" s="37"/>
      <c r="S107" s="37"/>
      <c r="T107" s="76"/>
      <c r="U107" s="567"/>
      <c r="V107" s="76"/>
      <c r="W107" s="76"/>
      <c r="X107" s="37"/>
      <c r="Y107" s="37"/>
      <c r="Z107" s="37"/>
      <c r="AB107" s="76"/>
      <c r="AC107" s="76"/>
      <c r="AD107" s="76"/>
      <c r="AE107" s="76"/>
      <c r="AF107" s="37"/>
      <c r="AG107" s="293" t="s">
        <v>978</v>
      </c>
      <c r="AH107" s="37"/>
      <c r="AI107" s="37"/>
      <c r="AJ107" s="37"/>
      <c r="AK107" s="37"/>
      <c r="AL107" s="37"/>
      <c r="AM107" s="37"/>
      <c r="AS107"/>
      <c r="AT107"/>
      <c r="AU107"/>
      <c r="AV107"/>
      <c r="AW107"/>
      <c r="AX107"/>
      <c r="AY107"/>
      <c r="AZ107"/>
      <c r="BA107"/>
      <c r="BB107"/>
      <c r="BC107"/>
      <c r="BD107"/>
      <c r="BK107"/>
      <c r="BL107"/>
      <c r="BM107"/>
      <c r="BN107"/>
      <c r="BO107"/>
      <c r="BP107"/>
      <c r="BQ107" s="316"/>
    </row>
    <row r="108" spans="1:70" s="9" customFormat="1" x14ac:dyDescent="0.2">
      <c r="A108" s="170"/>
      <c r="B108" t="s">
        <v>1254</v>
      </c>
      <c r="C108" s="169">
        <v>2675</v>
      </c>
      <c r="F108" s="169"/>
      <c r="G108" s="169"/>
      <c r="H108" s="197"/>
      <c r="I108" s="37">
        <v>722</v>
      </c>
      <c r="J108" s="37"/>
      <c r="K108" s="37"/>
      <c r="L108" s="37"/>
      <c r="M108" s="37"/>
      <c r="N108" s="76"/>
      <c r="O108" s="37">
        <f t="shared" si="212"/>
        <v>3397</v>
      </c>
      <c r="P108" s="37"/>
      <c r="Q108" s="37"/>
      <c r="R108" s="37"/>
      <c r="S108" s="37"/>
      <c r="T108" s="76"/>
      <c r="U108" s="567"/>
      <c r="V108" s="76"/>
      <c r="W108" s="76"/>
      <c r="X108" s="37"/>
      <c r="Y108" s="37"/>
      <c r="Z108" s="37"/>
      <c r="AB108" s="76"/>
      <c r="AC108" s="76"/>
      <c r="AD108" s="76"/>
      <c r="AE108" s="76"/>
      <c r="AF108" s="37"/>
      <c r="AG108" s="76"/>
      <c r="AH108" s="37"/>
      <c r="AI108" s="37"/>
      <c r="AJ108" s="37"/>
      <c r="AK108" s="37"/>
      <c r="AL108" s="37"/>
      <c r="AM108" s="37"/>
      <c r="AS108"/>
      <c r="AT108"/>
      <c r="AU108"/>
      <c r="AV108"/>
      <c r="AW108"/>
      <c r="AX108"/>
      <c r="AY108"/>
      <c r="AZ108"/>
      <c r="BA108" s="76"/>
      <c r="BB108"/>
      <c r="BC108"/>
      <c r="BD108"/>
      <c r="BK108"/>
      <c r="BL108"/>
      <c r="BM108"/>
      <c r="BN108"/>
      <c r="BO108"/>
      <c r="BP108"/>
      <c r="BQ108" s="316"/>
    </row>
    <row r="109" spans="1:70" s="9" customFormat="1" x14ac:dyDescent="0.2">
      <c r="A109" s="170"/>
      <c r="B109" t="s">
        <v>1255</v>
      </c>
      <c r="C109" s="169">
        <v>400</v>
      </c>
      <c r="F109" s="169"/>
      <c r="G109" s="169"/>
      <c r="H109" s="197"/>
      <c r="I109" s="37">
        <v>108</v>
      </c>
      <c r="J109" s="37"/>
      <c r="K109" s="37"/>
      <c r="L109" s="37"/>
      <c r="M109" s="37"/>
      <c r="N109" s="76"/>
      <c r="O109" s="37">
        <f t="shared" si="212"/>
        <v>508</v>
      </c>
      <c r="P109" s="37"/>
      <c r="Q109" s="37"/>
      <c r="R109" s="37"/>
      <c r="S109" s="37"/>
      <c r="T109" s="76"/>
      <c r="U109" s="567"/>
      <c r="V109" s="76"/>
      <c r="W109" s="76"/>
      <c r="X109" s="37"/>
      <c r="Y109" s="37"/>
      <c r="Z109" s="37"/>
      <c r="AB109" s="76"/>
      <c r="AC109" s="76"/>
      <c r="AD109" s="76"/>
      <c r="AE109" s="76"/>
      <c r="AF109" s="37"/>
      <c r="AG109" s="76" t="s">
        <v>876</v>
      </c>
      <c r="AH109" s="37"/>
      <c r="AI109" s="37"/>
      <c r="AJ109" s="37"/>
      <c r="AK109" s="37"/>
      <c r="AL109" s="37"/>
      <c r="AM109" s="37"/>
      <c r="AS109"/>
      <c r="AT109"/>
      <c r="AU109"/>
      <c r="AV109"/>
      <c r="AW109"/>
      <c r="AX109"/>
      <c r="AY109" s="76">
        <f>(50963-12906)+39527</f>
        <v>77584</v>
      </c>
      <c r="AZ109"/>
      <c r="BB109" s="76"/>
      <c r="BC109" s="76"/>
      <c r="BD109" s="76"/>
      <c r="BE109" s="37"/>
      <c r="BK109"/>
      <c r="BL109"/>
      <c r="BM109"/>
      <c r="BN109"/>
      <c r="BO109"/>
      <c r="BP109"/>
      <c r="BQ109" s="316"/>
    </row>
    <row r="110" spans="1:70" s="9" customFormat="1" x14ac:dyDescent="0.2">
      <c r="A110" s="170"/>
      <c r="B110" t="s">
        <v>1367</v>
      </c>
      <c r="C110" s="169">
        <v>909</v>
      </c>
      <c r="F110" s="169"/>
      <c r="G110" s="169"/>
      <c r="H110" s="197"/>
      <c r="I110" s="37">
        <v>246</v>
      </c>
      <c r="J110" s="37"/>
      <c r="K110" s="37"/>
      <c r="L110" s="37"/>
      <c r="M110" s="37"/>
      <c r="N110" s="76"/>
      <c r="O110" s="37">
        <f t="shared" si="212"/>
        <v>1155</v>
      </c>
      <c r="P110" s="37"/>
      <c r="Q110" s="37"/>
      <c r="R110" s="37"/>
      <c r="S110" s="37"/>
      <c r="T110" s="76"/>
      <c r="U110" s="567"/>
      <c r="V110" s="76"/>
      <c r="W110" s="76"/>
      <c r="X110" s="37"/>
      <c r="Y110" s="37"/>
      <c r="Z110" s="37"/>
      <c r="AB110" s="76"/>
      <c r="AC110" s="76"/>
      <c r="AD110" s="76"/>
      <c r="AE110" s="76"/>
      <c r="AF110" s="37"/>
      <c r="AG110" s="76" t="s">
        <v>1251</v>
      </c>
      <c r="AY110" s="76">
        <v>0</v>
      </c>
      <c r="BB110" s="76"/>
      <c r="BC110" s="76"/>
      <c r="BD110" s="76"/>
      <c r="BE110" s="37"/>
      <c r="BK110"/>
      <c r="BL110"/>
      <c r="BM110"/>
      <c r="BN110"/>
      <c r="BO110"/>
      <c r="BP110"/>
      <c r="BQ110" s="316"/>
    </row>
    <row r="111" spans="1:70" s="9" customFormat="1" x14ac:dyDescent="0.2">
      <c r="A111" s="170"/>
      <c r="B111"/>
      <c r="C111" s="169"/>
      <c r="F111" s="169"/>
      <c r="G111" s="169"/>
      <c r="H111" s="197"/>
      <c r="I111" s="37"/>
      <c r="J111" s="37"/>
      <c r="K111" s="37"/>
      <c r="L111" s="37"/>
      <c r="M111" s="37"/>
      <c r="N111" s="76"/>
      <c r="O111" s="37"/>
      <c r="P111" s="37"/>
      <c r="Q111" s="37"/>
      <c r="R111" s="37"/>
      <c r="S111" s="37"/>
      <c r="T111" s="76"/>
      <c r="U111" s="567"/>
      <c r="V111" s="76"/>
      <c r="W111" s="76"/>
      <c r="X111" s="37"/>
      <c r="Y111" s="37"/>
      <c r="Z111" s="37"/>
      <c r="AB111" s="76"/>
      <c r="AC111" s="76"/>
      <c r="AD111" s="76"/>
      <c r="AE111" s="76"/>
      <c r="AF111" s="37"/>
      <c r="AG111" s="76" t="s">
        <v>879</v>
      </c>
      <c r="AH111" s="37"/>
      <c r="AI111" s="37"/>
      <c r="AJ111" s="37"/>
      <c r="AK111" s="37"/>
      <c r="AL111" s="37"/>
      <c r="AM111" s="37"/>
      <c r="AS111"/>
      <c r="AT111"/>
      <c r="AU111"/>
      <c r="AV111"/>
      <c r="AW111"/>
      <c r="AX111"/>
      <c r="AY111" s="76">
        <f>5000+12906</f>
        <v>17906</v>
      </c>
      <c r="AZ111"/>
      <c r="BB111" s="76"/>
      <c r="BC111" s="76"/>
      <c r="BD111" s="76"/>
      <c r="BE111" s="37"/>
      <c r="BK111"/>
      <c r="BL111"/>
      <c r="BM111"/>
      <c r="BN111"/>
      <c r="BO111"/>
      <c r="BP111"/>
      <c r="BQ111" s="316"/>
    </row>
    <row r="112" spans="1:70" s="9" customFormat="1" x14ac:dyDescent="0.2">
      <c r="A112" s="170"/>
      <c r="B112"/>
      <c r="C112" s="169"/>
      <c r="F112" s="169"/>
      <c r="G112" s="169"/>
      <c r="H112" s="197"/>
      <c r="I112" s="37"/>
      <c r="J112" s="37"/>
      <c r="K112" s="37"/>
      <c r="L112" s="37"/>
      <c r="M112" s="37"/>
      <c r="N112" s="76"/>
      <c r="O112" s="37"/>
      <c r="P112" s="37"/>
      <c r="Q112" s="37"/>
      <c r="R112" s="37"/>
      <c r="S112" s="37"/>
      <c r="T112" s="76"/>
      <c r="U112" s="567"/>
      <c r="V112" s="76"/>
      <c r="W112" s="76"/>
      <c r="X112" s="37"/>
      <c r="Y112" s="37"/>
      <c r="Z112" s="37"/>
      <c r="AB112" s="76"/>
      <c r="AC112" s="76"/>
      <c r="AD112" s="76"/>
      <c r="AE112" s="76"/>
      <c r="AF112" s="37"/>
      <c r="BB112" s="76"/>
      <c r="BC112" s="76"/>
      <c r="BD112" s="76"/>
      <c r="BE112" s="37"/>
      <c r="BK112"/>
      <c r="BL112"/>
      <c r="BM112"/>
      <c r="BN112"/>
      <c r="BO112"/>
      <c r="BP112"/>
      <c r="BQ112" s="316"/>
    </row>
    <row r="113" spans="1:69" s="9" customFormat="1" x14ac:dyDescent="0.2">
      <c r="A113" s="170"/>
      <c r="P113" s="37"/>
      <c r="Q113" s="37"/>
      <c r="R113" s="37"/>
      <c r="S113" s="37"/>
      <c r="T113" s="76"/>
      <c r="U113" s="567"/>
      <c r="V113" s="76"/>
      <c r="W113" s="76"/>
      <c r="X113" s="37"/>
      <c r="Y113" s="37"/>
      <c r="Z113" s="37"/>
      <c r="AB113" s="76"/>
      <c r="AC113" s="76"/>
      <c r="AD113" s="76"/>
      <c r="AE113" s="76"/>
      <c r="AF113" s="37"/>
      <c r="AG113" s="569" t="s">
        <v>47</v>
      </c>
      <c r="AH113" s="37"/>
      <c r="AI113" s="37"/>
      <c r="AJ113" s="37"/>
      <c r="AK113" s="37"/>
      <c r="AL113" s="37"/>
      <c r="AM113" s="37"/>
      <c r="AS113"/>
      <c r="AT113"/>
      <c r="AU113"/>
      <c r="AV113"/>
      <c r="AW113"/>
      <c r="AX113"/>
      <c r="AY113" s="569">
        <f>SUM(AY108:AY111)</f>
        <v>95490</v>
      </c>
      <c r="AZ113"/>
      <c r="BB113" s="76"/>
      <c r="BC113" s="76"/>
      <c r="BD113" s="76"/>
      <c r="BE113" s="37"/>
      <c r="BK113"/>
      <c r="BL113"/>
      <c r="BM113"/>
      <c r="BN113"/>
      <c r="BO113"/>
      <c r="BP113"/>
      <c r="BQ113" s="316"/>
    </row>
    <row r="114" spans="1:69" s="9" customFormat="1" x14ac:dyDescent="0.2">
      <c r="A114" s="170"/>
      <c r="B114" t="s">
        <v>1257</v>
      </c>
      <c r="C114" s="169">
        <v>1750</v>
      </c>
      <c r="F114" s="169"/>
      <c r="G114" s="169"/>
      <c r="H114" s="197"/>
      <c r="I114" s="37">
        <v>472</v>
      </c>
      <c r="J114" s="37"/>
      <c r="K114" s="37"/>
      <c r="L114" s="37"/>
      <c r="M114" s="37"/>
      <c r="N114" s="76"/>
      <c r="O114" s="37">
        <f t="shared" ref="O114:O117" si="213">SUM(C114+I114)</f>
        <v>2222</v>
      </c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BB114" s="76"/>
      <c r="BC114" s="76"/>
      <c r="BD114" s="76"/>
      <c r="BE114" s="76"/>
      <c r="BF114"/>
      <c r="BG114"/>
      <c r="BH114"/>
      <c r="BI114"/>
      <c r="BJ114"/>
      <c r="BK114"/>
      <c r="BL114"/>
      <c r="BM114"/>
      <c r="BN114"/>
      <c r="BO114"/>
      <c r="BP114"/>
      <c r="BQ114" s="316"/>
    </row>
    <row r="115" spans="1:69" s="9" customFormat="1" x14ac:dyDescent="0.2">
      <c r="A115" s="170"/>
      <c r="B115" t="s">
        <v>1258</v>
      </c>
      <c r="C115" s="169">
        <v>1878</v>
      </c>
      <c r="F115" s="169"/>
      <c r="G115" s="169"/>
      <c r="H115" s="197"/>
      <c r="I115" s="37">
        <v>507</v>
      </c>
      <c r="J115" s="37"/>
      <c r="K115" s="37"/>
      <c r="L115" s="37"/>
      <c r="M115" s="37"/>
      <c r="N115" s="76"/>
      <c r="O115" s="37">
        <f t="shared" si="213"/>
        <v>2385</v>
      </c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/>
      <c r="AN115" s="169"/>
      <c r="AO115" s="169"/>
      <c r="AR115" s="169">
        <v>5350</v>
      </c>
      <c r="AS115" s="76"/>
      <c r="AT115" s="76"/>
      <c r="AU115" s="76"/>
      <c r="AV115" s="76"/>
      <c r="AW115" s="76"/>
      <c r="AX115" s="76"/>
      <c r="AY115" s="76"/>
      <c r="AZ115" s="76"/>
      <c r="BA115" s="76"/>
      <c r="BB115" s="37"/>
      <c r="BC115" s="37"/>
      <c r="BD115" s="37"/>
      <c r="BE115"/>
      <c r="BF115"/>
      <c r="BG115"/>
      <c r="BH115"/>
      <c r="BI115"/>
      <c r="BJ115"/>
      <c r="BK115"/>
      <c r="BL115"/>
      <c r="BM115"/>
      <c r="BN115"/>
      <c r="BO115"/>
      <c r="BP115"/>
      <c r="BQ115" s="316"/>
    </row>
    <row r="116" spans="1:69" s="9" customFormat="1" x14ac:dyDescent="0.2">
      <c r="A116" s="170"/>
      <c r="B116" t="s">
        <v>1259</v>
      </c>
      <c r="C116" s="169">
        <v>1200</v>
      </c>
      <c r="F116" s="169"/>
      <c r="G116" s="169"/>
      <c r="H116" s="197"/>
      <c r="I116" s="37">
        <v>324</v>
      </c>
      <c r="J116" s="37"/>
      <c r="K116" s="37"/>
      <c r="L116" s="37"/>
      <c r="M116" s="37"/>
      <c r="N116" s="76"/>
      <c r="O116" s="37">
        <f t="shared" si="213"/>
        <v>1524</v>
      </c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/>
      <c r="AN116" s="169"/>
      <c r="AO116" s="169"/>
      <c r="AR116" s="169"/>
      <c r="AS116" s="76"/>
      <c r="AT116" s="76"/>
      <c r="AU116" s="76"/>
      <c r="AV116" s="76"/>
      <c r="AW116" s="76"/>
      <c r="AX116" s="76"/>
      <c r="AY116" s="76"/>
      <c r="AZ116" s="76"/>
      <c r="BA116" s="76"/>
      <c r="BB116" s="37"/>
      <c r="BC116" s="37"/>
      <c r="BD116" s="37"/>
      <c r="BE116"/>
      <c r="BF116"/>
      <c r="BG116"/>
      <c r="BH116"/>
      <c r="BI116"/>
      <c r="BJ116"/>
      <c r="BK116"/>
      <c r="BL116"/>
      <c r="BM116"/>
      <c r="BN116"/>
      <c r="BO116"/>
      <c r="BP116"/>
      <c r="BQ116" s="316"/>
    </row>
    <row r="117" spans="1:69" s="9" customFormat="1" x14ac:dyDescent="0.2">
      <c r="A117" s="170"/>
      <c r="B117" t="s">
        <v>1260</v>
      </c>
      <c r="C117" s="169">
        <v>550</v>
      </c>
      <c r="F117" s="169"/>
      <c r="G117" s="169"/>
      <c r="H117" s="197"/>
      <c r="I117" s="37">
        <v>0</v>
      </c>
      <c r="J117" s="37"/>
      <c r="K117" s="37"/>
      <c r="L117" s="37"/>
      <c r="M117" s="37"/>
      <c r="N117" s="76"/>
      <c r="O117" s="37">
        <f t="shared" si="213"/>
        <v>550</v>
      </c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/>
      <c r="AN117" s="169"/>
      <c r="AO117" s="169"/>
      <c r="AR117" s="169"/>
      <c r="AS117" s="76"/>
      <c r="AT117" s="76"/>
      <c r="AU117" s="76"/>
      <c r="AV117" s="76"/>
      <c r="AW117" s="76"/>
      <c r="AX117" s="76"/>
      <c r="AY117" s="76"/>
      <c r="AZ117" s="76"/>
      <c r="BA117" s="76"/>
      <c r="BB117" s="37"/>
      <c r="BC117" s="37"/>
      <c r="BD117" s="37"/>
      <c r="BE117"/>
      <c r="BF117"/>
      <c r="BG117"/>
      <c r="BH117"/>
      <c r="BI117"/>
      <c r="BJ117"/>
      <c r="BK117"/>
      <c r="BL117"/>
      <c r="BM117"/>
      <c r="BN117"/>
      <c r="BO117"/>
      <c r="BP117"/>
      <c r="BQ117" s="316"/>
    </row>
    <row r="118" spans="1:69" s="9" customFormat="1" x14ac:dyDescent="0.2">
      <c r="A118" s="170"/>
      <c r="B118"/>
      <c r="C118" s="169"/>
      <c r="F118" s="169"/>
      <c r="G118" s="169"/>
      <c r="H118" s="197"/>
      <c r="I118" s="37"/>
      <c r="J118" s="37"/>
      <c r="K118" s="37"/>
      <c r="L118" s="37"/>
      <c r="M118" s="37"/>
      <c r="N118" s="76"/>
      <c r="O118" s="37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/>
      <c r="AN118" s="169"/>
      <c r="AO118" s="169"/>
      <c r="AR118" s="169"/>
      <c r="AS118" s="76"/>
      <c r="AT118" s="76"/>
      <c r="AU118" s="76"/>
      <c r="AV118" s="76"/>
      <c r="AW118" s="76"/>
      <c r="AX118" s="76"/>
      <c r="AY118" s="76"/>
      <c r="AZ118" s="76"/>
      <c r="BA118" s="76"/>
      <c r="BB118" s="37"/>
      <c r="BC118" s="37"/>
      <c r="BD118" s="37"/>
      <c r="BE118"/>
      <c r="BF118"/>
      <c r="BG118"/>
      <c r="BH118"/>
      <c r="BI118"/>
      <c r="BJ118"/>
      <c r="BK118"/>
      <c r="BL118"/>
      <c r="BM118"/>
      <c r="BN118"/>
      <c r="BO118"/>
      <c r="BP118"/>
      <c r="BQ118" s="316"/>
    </row>
    <row r="119" spans="1:69" s="9" customFormat="1" x14ac:dyDescent="0.2">
      <c r="A119" s="170"/>
      <c r="B119" t="s">
        <v>1261</v>
      </c>
      <c r="C119" s="169">
        <f>12300+4450</f>
        <v>16750</v>
      </c>
      <c r="F119" s="169"/>
      <c r="G119" s="169"/>
      <c r="H119" s="197"/>
      <c r="I119" s="37">
        <f>3321+1202</f>
        <v>4523</v>
      </c>
      <c r="J119" s="37"/>
      <c r="K119" s="37"/>
      <c r="L119" s="37"/>
      <c r="M119" s="37"/>
      <c r="N119" s="76"/>
      <c r="O119" s="37">
        <f t="shared" ref="O119:O120" si="214">SUM(C119+I119)</f>
        <v>21273</v>
      </c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/>
      <c r="AN119" s="169"/>
      <c r="AO119" s="169"/>
      <c r="AR119" s="169"/>
      <c r="AS119" s="76"/>
      <c r="AT119" s="76"/>
      <c r="AU119" s="76"/>
      <c r="AV119" s="76"/>
      <c r="AW119" s="76"/>
      <c r="AX119" s="76"/>
      <c r="AY119" s="76"/>
      <c r="AZ119" s="76"/>
      <c r="BA119" s="76"/>
      <c r="BB119" s="37"/>
      <c r="BC119" s="37"/>
      <c r="BD119" s="37"/>
      <c r="BE119"/>
      <c r="BF119"/>
      <c r="BG119"/>
      <c r="BH119"/>
      <c r="BI119"/>
      <c r="BJ119"/>
      <c r="BK119"/>
      <c r="BL119"/>
      <c r="BM119"/>
      <c r="BN119"/>
      <c r="BO119"/>
      <c r="BP119"/>
      <c r="BQ119" s="316"/>
    </row>
    <row r="120" spans="1:69" s="9" customFormat="1" x14ac:dyDescent="0.2">
      <c r="A120" s="170"/>
      <c r="B120" t="s">
        <v>1262</v>
      </c>
      <c r="C120" s="169">
        <v>13200</v>
      </c>
      <c r="D120"/>
      <c r="F120"/>
      <c r="G120"/>
      <c r="H120"/>
      <c r="I120" s="37">
        <v>3564</v>
      </c>
      <c r="J120" s="37"/>
      <c r="K120" s="37"/>
      <c r="N120"/>
      <c r="O120" s="37">
        <f t="shared" si="214"/>
        <v>16764</v>
      </c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/>
      <c r="AN120" s="169"/>
      <c r="AO120" s="169"/>
      <c r="AR120" s="169">
        <v>1555</v>
      </c>
      <c r="AS120" s="76"/>
      <c r="AT120" s="76"/>
      <c r="AU120" s="76"/>
      <c r="AV120" s="76"/>
      <c r="AW120" s="76"/>
      <c r="AX120" s="76"/>
      <c r="AY120" s="76"/>
      <c r="AZ120" s="76"/>
      <c r="BA120" s="76"/>
      <c r="BB120" s="37"/>
      <c r="BC120" s="37"/>
      <c r="BD120" s="37"/>
      <c r="BE120"/>
      <c r="BF120"/>
      <c r="BG120"/>
      <c r="BH120"/>
      <c r="BI120"/>
      <c r="BJ120"/>
      <c r="BK120"/>
      <c r="BL120"/>
      <c r="BM120"/>
      <c r="BN120"/>
      <c r="BO120"/>
      <c r="BP120"/>
      <c r="BQ120" s="316"/>
    </row>
    <row r="121" spans="1:69" s="9" customFormat="1" x14ac:dyDescent="0.2">
      <c r="A121" s="170"/>
      <c r="B121"/>
      <c r="C121" s="169"/>
      <c r="D121"/>
      <c r="F121"/>
      <c r="G121"/>
      <c r="H121"/>
      <c r="I121" s="37"/>
      <c r="J121" s="37"/>
      <c r="K121" s="37"/>
      <c r="N121"/>
      <c r="O121" s="37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 s="316"/>
    </row>
    <row r="122" spans="1:69" s="9" customFormat="1" x14ac:dyDescent="0.2">
      <c r="A122" s="170"/>
      <c r="B122" t="s">
        <v>1265</v>
      </c>
      <c r="C122" s="169">
        <v>200</v>
      </c>
      <c r="D122"/>
      <c r="F122"/>
      <c r="G122"/>
      <c r="H122"/>
      <c r="I122" s="37">
        <v>0</v>
      </c>
      <c r="J122" s="37"/>
      <c r="K122" s="37"/>
      <c r="N122"/>
      <c r="O122" s="37">
        <f t="shared" ref="O122" si="215">SUM(C122+I122)</f>
        <v>200</v>
      </c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 s="316"/>
    </row>
    <row r="123" spans="1:69" s="9" customFormat="1" x14ac:dyDescent="0.2">
      <c r="A123" s="170"/>
      <c r="B123" s="230"/>
      <c r="C123" s="169"/>
      <c r="D123"/>
      <c r="F123"/>
      <c r="G123"/>
      <c r="H123"/>
      <c r="I123" s="37"/>
      <c r="J123" s="37"/>
      <c r="K123" s="37"/>
      <c r="N123"/>
      <c r="O123" s="37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 s="316"/>
    </row>
    <row r="124" spans="1:69" s="9" customFormat="1" x14ac:dyDescent="0.2">
      <c r="A124" s="170"/>
      <c r="B124" t="s">
        <v>1264</v>
      </c>
      <c r="C124" s="169">
        <v>1460</v>
      </c>
      <c r="D124"/>
      <c r="F124"/>
      <c r="G124"/>
      <c r="H124"/>
      <c r="I124" s="37">
        <v>394</v>
      </c>
      <c r="J124" s="37"/>
      <c r="K124" s="37"/>
      <c r="N124"/>
      <c r="O124" s="37">
        <f t="shared" ref="O124" si="216">SUM(C124+I124)</f>
        <v>1854</v>
      </c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</row>
    <row r="125" spans="1:69" s="9" customFormat="1" x14ac:dyDescent="0.2">
      <c r="A125" s="170"/>
      <c r="B125" s="230"/>
      <c r="C125" s="169"/>
      <c r="D125"/>
      <c r="F125"/>
      <c r="G125"/>
      <c r="H125"/>
      <c r="I125" s="37"/>
      <c r="J125" s="37"/>
      <c r="K125" s="37"/>
      <c r="N125"/>
      <c r="O125" s="37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</row>
    <row r="126" spans="1:69" s="9" customFormat="1" x14ac:dyDescent="0.2">
      <c r="A126" s="170"/>
      <c r="B126" t="s">
        <v>1266</v>
      </c>
      <c r="C126" s="169">
        <v>90</v>
      </c>
      <c r="D126"/>
      <c r="F126"/>
      <c r="G126"/>
      <c r="H126"/>
      <c r="I126" s="37">
        <v>0</v>
      </c>
      <c r="J126" s="37"/>
      <c r="K126" s="37"/>
      <c r="N126"/>
      <c r="O126" s="37">
        <f>SUM(C126+I126)</f>
        <v>90</v>
      </c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</row>
    <row r="127" spans="1:69" s="9" customFormat="1" x14ac:dyDescent="0.2">
      <c r="A127" s="170"/>
      <c r="B127"/>
      <c r="C127" s="169"/>
      <c r="D127"/>
      <c r="F127"/>
      <c r="G127"/>
      <c r="H127"/>
      <c r="I127" s="37"/>
      <c r="J127" s="37"/>
      <c r="K127" s="37"/>
      <c r="N127"/>
      <c r="O127" s="3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</row>
    <row r="128" spans="1:69" s="9" customFormat="1" x14ac:dyDescent="0.2">
      <c r="A128" s="170"/>
      <c r="B128" t="s">
        <v>1276</v>
      </c>
      <c r="C128" s="169">
        <v>4980</v>
      </c>
      <c r="D128"/>
      <c r="F128"/>
      <c r="G128"/>
      <c r="H128"/>
      <c r="I128" s="37">
        <v>1345</v>
      </c>
      <c r="J128" s="37"/>
      <c r="K128" s="37"/>
      <c r="N128"/>
      <c r="O128" s="37">
        <f>SUM(C128+I128)</f>
        <v>6325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</row>
    <row r="129" spans="1:68" s="9" customFormat="1" x14ac:dyDescent="0.2">
      <c r="A129" s="170"/>
      <c r="B129" t="s">
        <v>1267</v>
      </c>
      <c r="C129" s="169">
        <v>2362</v>
      </c>
      <c r="D129"/>
      <c r="F129"/>
      <c r="G129"/>
      <c r="H129"/>
      <c r="I129" s="37">
        <v>638</v>
      </c>
      <c r="J129" s="37"/>
      <c r="K129" s="37"/>
      <c r="N129"/>
      <c r="O129" s="37">
        <f>SUM(C129+I129)</f>
        <v>3000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</row>
    <row r="130" spans="1:68" s="9" customFormat="1" x14ac:dyDescent="0.2">
      <c r="A130" s="170"/>
      <c r="B130" t="s">
        <v>1268</v>
      </c>
      <c r="C130" s="169">
        <v>325</v>
      </c>
      <c r="D130"/>
      <c r="F130"/>
      <c r="G130"/>
      <c r="H130"/>
      <c r="I130" s="37">
        <v>88</v>
      </c>
      <c r="J130" s="37"/>
      <c r="K130" s="37"/>
      <c r="N130"/>
      <c r="O130" s="37">
        <f>SUM(C130+I130)</f>
        <v>413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</row>
    <row r="131" spans="1:68" s="9" customFormat="1" ht="25.5" x14ac:dyDescent="0.2">
      <c r="A131" s="170"/>
      <c r="B131" s="230" t="s">
        <v>1269</v>
      </c>
      <c r="C131" s="169">
        <v>4980</v>
      </c>
      <c r="D131"/>
      <c r="F131"/>
      <c r="G131"/>
      <c r="H131"/>
      <c r="I131" s="37">
        <v>1345</v>
      </c>
      <c r="J131" s="37"/>
      <c r="K131" s="37"/>
      <c r="N131"/>
      <c r="O131" s="37">
        <f>SUM(C131+I131)</f>
        <v>6325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</row>
    <row r="132" spans="1:68" s="9" customFormat="1" x14ac:dyDescent="0.2">
      <c r="A132" s="170"/>
      <c r="B132"/>
      <c r="C132" s="169"/>
      <c r="D132"/>
      <c r="F132"/>
      <c r="G132"/>
      <c r="H132"/>
      <c r="I132" s="37"/>
      <c r="J132" s="37"/>
      <c r="K132" s="37"/>
      <c r="N132"/>
      <c r="O132" s="37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</row>
    <row r="133" spans="1:68" s="9" customFormat="1" x14ac:dyDescent="0.2">
      <c r="A133" s="170"/>
      <c r="B133" t="s">
        <v>1275</v>
      </c>
      <c r="C133" s="169">
        <v>1000</v>
      </c>
      <c r="D133"/>
      <c r="F133"/>
      <c r="G133"/>
      <c r="H133"/>
      <c r="I133" s="37">
        <v>270</v>
      </c>
      <c r="J133" s="37"/>
      <c r="K133" s="37"/>
      <c r="N133"/>
      <c r="O133" s="37">
        <f t="shared" ref="O133:O138" si="217">SUM(C133+I133)</f>
        <v>1270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</row>
    <row r="134" spans="1:68" s="9" customFormat="1" hidden="1" x14ac:dyDescent="0.2">
      <c r="A134" s="170"/>
      <c r="B134"/>
      <c r="C134" s="169"/>
      <c r="D134"/>
      <c r="F134"/>
      <c r="G134"/>
      <c r="H134"/>
      <c r="I134" s="37"/>
      <c r="J134" s="37"/>
      <c r="K134" s="37"/>
      <c r="N134"/>
      <c r="O134" s="37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</row>
    <row r="135" spans="1:68" s="9" customFormat="1" hidden="1" x14ac:dyDescent="0.2">
      <c r="A135" s="170"/>
      <c r="B135"/>
      <c r="C135" s="169"/>
      <c r="D135"/>
      <c r="F135"/>
      <c r="G135"/>
      <c r="H135"/>
      <c r="I135" s="37"/>
      <c r="J135" s="37"/>
      <c r="K135" s="37"/>
      <c r="N135"/>
      <c r="O135" s="37">
        <f t="shared" si="217"/>
        <v>0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</row>
    <row r="136" spans="1:68" s="9" customFormat="1" hidden="1" x14ac:dyDescent="0.2">
      <c r="A136" s="170"/>
      <c r="B136"/>
      <c r="C136" s="169"/>
      <c r="D136"/>
      <c r="F136"/>
      <c r="G136"/>
      <c r="H136"/>
      <c r="I136" s="37"/>
      <c r="J136" s="37"/>
      <c r="K136" s="37"/>
      <c r="N136"/>
      <c r="O136" s="37">
        <f t="shared" si="217"/>
        <v>0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</row>
    <row r="137" spans="1:68" s="9" customFormat="1" hidden="1" x14ac:dyDescent="0.2">
      <c r="A137" s="170"/>
      <c r="B137"/>
      <c r="C137" s="169"/>
      <c r="D137"/>
      <c r="F137"/>
      <c r="G137"/>
      <c r="H137"/>
      <c r="I137" s="37"/>
      <c r="J137" s="37"/>
      <c r="K137" s="37"/>
      <c r="N137"/>
      <c r="O137" s="37">
        <f t="shared" si="217"/>
        <v>0</v>
      </c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</row>
    <row r="138" spans="1:68" x14ac:dyDescent="0.2">
      <c r="C138" s="169"/>
      <c r="E138" s="9"/>
      <c r="I138" s="37"/>
      <c r="J138" s="37"/>
      <c r="K138" s="37"/>
      <c r="O138" s="37">
        <f t="shared" si="217"/>
        <v>0</v>
      </c>
    </row>
    <row r="139" spans="1:68" ht="13.5" thickBot="1" x14ac:dyDescent="0.25">
      <c r="C139" s="169"/>
      <c r="E139" s="9"/>
      <c r="I139" s="37"/>
      <c r="J139" s="37"/>
      <c r="K139" s="37"/>
      <c r="O139" s="37"/>
      <c r="P139" s="9"/>
      <c r="Q139" s="9"/>
      <c r="R139" s="9"/>
      <c r="S139" s="9"/>
      <c r="T139" s="9"/>
      <c r="U139" s="37"/>
    </row>
    <row r="140" spans="1:68" ht="13.5" thickBot="1" x14ac:dyDescent="0.25">
      <c r="B140" s="294" t="s">
        <v>47</v>
      </c>
      <c r="C140" s="198">
        <f>SUM(C107:C139)</f>
        <v>56734</v>
      </c>
      <c r="D140" s="538"/>
      <c r="E140" s="538"/>
      <c r="F140" s="198"/>
      <c r="G140" s="198"/>
      <c r="H140" s="198"/>
      <c r="I140" s="540">
        <f>SUM(I107:I139)</f>
        <v>15093</v>
      </c>
      <c r="O140" s="169">
        <f>SUM(C140:I140)</f>
        <v>71827</v>
      </c>
    </row>
    <row r="141" spans="1:68" x14ac:dyDescent="0.2">
      <c r="O141" s="37">
        <f>SUM(C140:I140)</f>
        <v>71827</v>
      </c>
    </row>
    <row r="145" spans="1:69" hidden="1" x14ac:dyDescent="0.2">
      <c r="C145">
        <f>(C26+C34+C35+C36+C37+C38+C39+C40+C41+C43+C44+C46+C47+C48+C49+C50+(C51-1000)+C52+C53+C54+C65+C76+C77+C78+C82+(C90-2000))*0.27</f>
        <v>3175.2000000000003</v>
      </c>
      <c r="D145">
        <f>(D26+D34+D35+D36+D37+D38+D39+D40+D41+D43+D44+D46+D47+D48+D49+D50+(D51-1000)+D52+D53+D65+D76+D77+D78+D82+(D90-2000-4400))*0.27</f>
        <v>1787.67</v>
      </c>
      <c r="E145">
        <f>(E26+E34+E35+E36+E37+E38+E39+E40+E41+E43+E44+E46+E47+E48+E49+E50+(E51-1000)+E52+E53+E65+E76+E77+E78+E82+(E90-2000-4400))*0.27</f>
        <v>1787.67</v>
      </c>
      <c r="F145">
        <f t="shared" ref="F145:Z145" si="218">(F26+F34+F35+F36+F37+F38+F39+F40+F41+F43+F44+F46+F47+F48+F49+F50+F51+F52+F53+F65+F76+F77+F78+F82+F90)*0.27</f>
        <v>3785.67</v>
      </c>
      <c r="H145">
        <f t="shared" si="218"/>
        <v>5843.88</v>
      </c>
      <c r="I145">
        <f t="shared" si="218"/>
        <v>141.75</v>
      </c>
      <c r="J145">
        <f t="shared" si="218"/>
        <v>141.75</v>
      </c>
      <c r="K145">
        <f t="shared" si="218"/>
        <v>141.75</v>
      </c>
      <c r="L145">
        <f t="shared" si="218"/>
        <v>141.75</v>
      </c>
      <c r="M145"/>
      <c r="N145">
        <f t="shared" si="218"/>
        <v>91.800000000000011</v>
      </c>
      <c r="O145">
        <f t="shared" si="218"/>
        <v>16742.43</v>
      </c>
      <c r="P145">
        <f t="shared" si="218"/>
        <v>16742.43</v>
      </c>
      <c r="Q145">
        <f t="shared" si="218"/>
        <v>16742.43</v>
      </c>
      <c r="R145">
        <f t="shared" si="218"/>
        <v>16742.43</v>
      </c>
      <c r="T145">
        <f t="shared" si="218"/>
        <v>6674.4000000000005</v>
      </c>
      <c r="U145">
        <f t="shared" si="218"/>
        <v>2173.5</v>
      </c>
      <c r="V145">
        <f t="shared" si="218"/>
        <v>2173.5</v>
      </c>
      <c r="W145">
        <f t="shared" si="218"/>
        <v>2173.5</v>
      </c>
      <c r="X145">
        <f t="shared" si="218"/>
        <v>2173.5</v>
      </c>
      <c r="Z145">
        <f t="shared" si="218"/>
        <v>0</v>
      </c>
      <c r="AA145">
        <f>(AA26+AA34+AA35+AA36+AA37+AA38+AA39+AA40+AA41+AA43+AA44+AA46+AA47+AA48+AA49+AA50+AA51+AA52+AA53+AA65+AA76+AA77+AA78+AA82+(AA90-1000))*0.27+I140</f>
        <v>30337.200000000001</v>
      </c>
      <c r="AB145">
        <f>(AB26+AB34+AB35+AB36+AB37+AB38+AB39+AB40+AB41+AB43+AB44+AB46+AB47+AB48+AB49+AB50+AB51+AB52+AB53+AB65+AB76+AB77+AB78+AB82+(AB90-1000))*0.27+13988</f>
        <v>31631.960000000003</v>
      </c>
      <c r="AC145">
        <f>(AC26+AC34+AC35+AC36+AC37+AC38+AC39+AC40+AC41+AC43+AC44+AC46+AC47+AC48+AC49+AC50+AC51+AC52+AC53+AC65+AC76+AC77+AC78+AC82+(AC90-1000))*0.27+13988</f>
        <v>31761.83</v>
      </c>
      <c r="AD145">
        <f>(AD26+AD34+AD35+AD36+AD37+AD38+AD39+AD40+AD41+AD43+AD44+AD46+AD47+AD48+AD49+AD50+AD51+AD52+AD53+AD65+AD76+AD77+AD78+AD82+AD90)*0.27</f>
        <v>18845.190000000002</v>
      </c>
      <c r="AF145">
        <f>(AF26+AF34+AF35+AF36+AF37+AF38+AF39+AF40+AF41+AF43+AF44+AF46+AF47+AF48+AF49+AF50+AF51+AF52+AF53+AF65+AF76+AF77+AF78+AF82+AF90)*0.27</f>
        <v>1803.8700000000001</v>
      </c>
      <c r="AG145">
        <f>(AG26+AG34+AG35+AG36+AG37+AG38+AG39+AG40+AG41+AG43+AG44+AG46+(AG47-8847)+AG48+AG49+AG50+AG51+AG52+AG53+AG65+AG76+AG77+AG78+AG82+AG90)*0.27</f>
        <v>5078.7000000000007</v>
      </c>
      <c r="AH145">
        <f>(AH26+AH34+AH35+AH36+AH37+AH38+AH39+AH40+AH41+AH43+AH44+AH46+(AH47-8847)+AH48+AH49+AH50+AH51+AH52+AH53+AH65+AH76+AH77+AH78+AH82+AH90)*0.27</f>
        <v>5152.68</v>
      </c>
      <c r="AI145">
        <f>(AI26+AI34+AI35+AI36+AI37+AI38+AI39+AI40+AI41+AI43+AI44+AI46+(AI47-8847)+AI48+AI49+AI50+AI51+AI52+AI53+AI65+AI76+AI77+AI78+AI82+AI90)*0.27</f>
        <v>5152.68</v>
      </c>
      <c r="AJ145">
        <f t="shared" ref="AJ145:BD145" si="219">(AJ26+AJ34+AJ35+AJ36+AJ37+AJ38+AJ39+AJ40+AJ41+AJ43+AJ44+AJ46+AJ47+AJ48+AJ49+AJ50+AJ51+AJ52+AJ53+AJ65+AJ76+AJ77+AJ78+AJ82+AJ90)*0.27</f>
        <v>7715.2500000000009</v>
      </c>
      <c r="AL145">
        <f t="shared" si="219"/>
        <v>2376</v>
      </c>
      <c r="AM145">
        <f t="shared" si="219"/>
        <v>0</v>
      </c>
      <c r="AN145">
        <f t="shared" si="219"/>
        <v>0</v>
      </c>
      <c r="AO145">
        <f t="shared" si="219"/>
        <v>0</v>
      </c>
      <c r="AP145">
        <f t="shared" si="219"/>
        <v>0</v>
      </c>
      <c r="AR145">
        <f t="shared" si="219"/>
        <v>0</v>
      </c>
      <c r="AS145">
        <f t="shared" si="219"/>
        <v>0</v>
      </c>
      <c r="AT145">
        <f t="shared" si="219"/>
        <v>0</v>
      </c>
      <c r="AU145">
        <f t="shared" si="219"/>
        <v>0</v>
      </c>
      <c r="AV145">
        <f t="shared" si="219"/>
        <v>0</v>
      </c>
      <c r="AX145">
        <f t="shared" si="219"/>
        <v>0</v>
      </c>
      <c r="AY145">
        <f t="shared" si="219"/>
        <v>3130.65</v>
      </c>
      <c r="AZ145">
        <f t="shared" si="219"/>
        <v>3130.65</v>
      </c>
      <c r="BA145">
        <f t="shared" si="219"/>
        <v>3130.65</v>
      </c>
      <c r="BB145">
        <f t="shared" si="219"/>
        <v>3365.55</v>
      </c>
      <c r="BD145">
        <f t="shared" si="219"/>
        <v>846.45</v>
      </c>
      <c r="BE145">
        <f>(BE26+BE34+BE35+BE36+BE37+BE38+BE39+BE40+BE41+BE43+BE44+BE46+BE47+BE48+BE49+BE50+BE51+BE52+BE53+BE65+BE76+BE77+BE78+(BE82-2000)+BE90)*0.27</f>
        <v>1598.4</v>
      </c>
      <c r="BF145">
        <f>(BF26+BF34+BF35+BF36+BF37+BF38+BF39+BF40+BF41+BF43+BF44+BF46+BF47+BF48+BF49+BF50+BF51+BF52+BF53+BF65+BF76+BF77+BF78+(BF82-2000)+BF90)*0.27</f>
        <v>1598.4</v>
      </c>
      <c r="BG145">
        <f>(BG26+BG34+BG35+BG36+BG37+BG38+BG39+BG40+BG41+BG43+BG44+BG46+BG47+BG48+BG49+BG50+BG51+BG52+BG53+BG65+BG76+BG77+BG78+(BG82-2000)+BG90)*0.27</f>
        <v>1598.4</v>
      </c>
      <c r="BH145">
        <f>BH26+BH34+BH35+BH36+BH37+BH38+BH39+BH40+BH41+BH43+BH44+BH46+BH47+BH48+BH49+BH50+BH51+BH52+BH53+BH65+BH76+BH77+BH78+BH82+BH90</f>
        <v>8420</v>
      </c>
      <c r="BJ145">
        <f>BJ26+BJ34+BJ35+BJ36+BJ37+BJ38+BJ39+BJ40+BJ41+BJ43+BJ44+BJ46+BJ47+BJ48+BJ49+BJ50+BJ51+BJ52+BJ53+BJ65+BJ76+BJ77+BJ78+BJ82+BJ90</f>
        <v>1140</v>
      </c>
    </row>
    <row r="146" spans="1:69" x14ac:dyDescent="0.2">
      <c r="BQ146"/>
    </row>
    <row r="147" spans="1:69" x14ac:dyDescent="0.2">
      <c r="BQ147"/>
    </row>
    <row r="148" spans="1:69" x14ac:dyDescent="0.2">
      <c r="BQ148"/>
    </row>
    <row r="149" spans="1:69" x14ac:dyDescent="0.2">
      <c r="BQ149"/>
    </row>
    <row r="150" spans="1:69" x14ac:dyDescent="0.2">
      <c r="A150"/>
      <c r="I150"/>
      <c r="J150"/>
      <c r="K150"/>
      <c r="L150"/>
      <c r="M150"/>
      <c r="BQ150"/>
    </row>
    <row r="151" spans="1:69" x14ac:dyDescent="0.2">
      <c r="A151"/>
      <c r="I151"/>
      <c r="J151"/>
      <c r="K151"/>
      <c r="L151"/>
      <c r="M151"/>
      <c r="BQ151"/>
    </row>
    <row r="152" spans="1:69" x14ac:dyDescent="0.2">
      <c r="A152"/>
      <c r="I152"/>
      <c r="J152"/>
      <c r="K152"/>
      <c r="L152"/>
      <c r="M152"/>
      <c r="BQ152"/>
    </row>
    <row r="153" spans="1:69" x14ac:dyDescent="0.2">
      <c r="A153"/>
      <c r="I153"/>
      <c r="J153"/>
      <c r="K153"/>
      <c r="L153"/>
      <c r="M153"/>
      <c r="BQ153"/>
    </row>
    <row r="154" spans="1:69" x14ac:dyDescent="0.2">
      <c r="A154"/>
      <c r="I154"/>
      <c r="J154"/>
      <c r="K154"/>
      <c r="L154"/>
      <c r="M154"/>
      <c r="BQ154"/>
    </row>
    <row r="155" spans="1:69" x14ac:dyDescent="0.2">
      <c r="A155"/>
      <c r="I155"/>
      <c r="J155"/>
      <c r="K155"/>
      <c r="L155"/>
      <c r="M155"/>
      <c r="BQ155"/>
    </row>
    <row r="156" spans="1:69" x14ac:dyDescent="0.2">
      <c r="A156"/>
      <c r="I156"/>
      <c r="J156"/>
      <c r="K156"/>
      <c r="L156"/>
      <c r="M156"/>
      <c r="BQ156"/>
    </row>
    <row r="157" spans="1:69" x14ac:dyDescent="0.2">
      <c r="A157"/>
      <c r="I157"/>
      <c r="J157"/>
      <c r="K157"/>
      <c r="L157"/>
      <c r="M157"/>
      <c r="BQ157"/>
    </row>
    <row r="158" spans="1:69" x14ac:dyDescent="0.2">
      <c r="A158"/>
      <c r="I158"/>
      <c r="J158"/>
      <c r="K158"/>
      <c r="L158"/>
      <c r="M158"/>
      <c r="BQ158"/>
    </row>
    <row r="159" spans="1:69" x14ac:dyDescent="0.2">
      <c r="A159"/>
      <c r="I159"/>
      <c r="J159"/>
      <c r="K159"/>
      <c r="L159"/>
      <c r="M159"/>
      <c r="BQ159"/>
    </row>
    <row r="160" spans="1:69" x14ac:dyDescent="0.2">
      <c r="A160"/>
      <c r="I160"/>
      <c r="J160"/>
      <c r="K160"/>
      <c r="L160"/>
      <c r="M160"/>
      <c r="BQ160"/>
    </row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</sheetData>
  <mergeCells count="16">
    <mergeCell ref="BK9:BP9"/>
    <mergeCell ref="I9:N9"/>
    <mergeCell ref="O9:T9"/>
    <mergeCell ref="U9:Z9"/>
    <mergeCell ref="AS9:AX9"/>
    <mergeCell ref="AA9:AF9"/>
    <mergeCell ref="AG9:AL9"/>
    <mergeCell ref="AM9:AR9"/>
    <mergeCell ref="AY9:BD9"/>
    <mergeCell ref="BE9:BJ9"/>
    <mergeCell ref="A9:A10"/>
    <mergeCell ref="B9:B10"/>
    <mergeCell ref="C9:H9"/>
    <mergeCell ref="C5:AI5"/>
    <mergeCell ref="C6:AI6"/>
    <mergeCell ref="C7:AI7"/>
  </mergeCells>
  <phoneticPr fontId="13" type="noConversion"/>
  <pageMargins left="0.19685039370078741" right="0.15748031496062992" top="0.43307086614173229" bottom="0.15748031496062992" header="0.39370078740157483" footer="0.15748031496062992"/>
  <pageSetup paperSize="9" scale="65" orientation="landscape" r:id="rId1"/>
  <headerFooter alignWithMargins="0"/>
  <rowBreaks count="2" manualBreakCount="2">
    <brk id="50" max="67" man="1"/>
    <brk id="92" max="67" man="1"/>
  </rowBreaks>
  <colBreaks count="1" manualBreakCount="1">
    <brk id="2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13. Eu projekt</vt:lpstr>
      <vt:lpstr>14.mérlegszerű kimutatás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gördülő tervezés'!Nyomtatási_terület</vt:lpstr>
      <vt:lpstr>'12. Maradványkimutatás'!Nyomtatási_terület</vt:lpstr>
      <vt:lpstr>'13. Eu projekt'!Nyomtatási_terület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Önkormányzata Balatonföldvár Város</cp:lastModifiedBy>
  <cp:lastPrinted>2023-09-22T13:30:59Z</cp:lastPrinted>
  <dcterms:created xsi:type="dcterms:W3CDTF">2009-11-11T14:39:35Z</dcterms:created>
  <dcterms:modified xsi:type="dcterms:W3CDTF">2023-09-22T13:50:04Z</dcterms:modified>
</cp:coreProperties>
</file>