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610" tabRatio="667" firstSheet="12" activeTab="18"/>
  </bookViews>
  <sheets>
    <sheet name="Összesítő" sheetId="1" state="hidden" r:id="rId1"/>
    <sheet name="1.Bev-kiad." sheetId="2" r:id="rId2"/>
    <sheet name="2.működés" sheetId="3" r:id="rId3"/>
    <sheet name="3.felh" sheetId="4" r:id="rId4"/>
    <sheet name="4. Átadott p.eszk." sheetId="5" r:id="rId5"/>
    <sheet name="5.Bev.össz. mód." sheetId="6" state="hidden" r:id="rId6"/>
    <sheet name="5.Bev.össz." sheetId="7" r:id="rId7"/>
    <sheet name="5.Bev.össz jav.mód.." sheetId="8" state="hidden" r:id="rId8"/>
    <sheet name="6.Kiad.össz.mód." sheetId="9" state="hidden" r:id="rId9"/>
    <sheet name="6.Kiad.össz. " sheetId="10" r:id="rId10"/>
    <sheet name="6.Kiad.össz. jav. mód.." sheetId="11" state="hidden" r:id="rId11"/>
    <sheet name="7.finanszírozás mód." sheetId="12" state="hidden" r:id="rId12"/>
    <sheet name="7.finanszírozás." sheetId="13" r:id="rId13"/>
    <sheet name="7.finanszírozás jav. mód.." sheetId="14" state="hidden" r:id="rId14"/>
    <sheet name="8.Önk." sheetId="15" r:id="rId15"/>
    <sheet name="8.Önk. mód." sheetId="16" state="hidden" r:id="rId16"/>
    <sheet name="8.Önk jav. mód.. " sheetId="17" state="hidden" r:id="rId17"/>
    <sheet name="9.hivatal" sheetId="18" r:id="rId18"/>
    <sheet name="10.Többéves, adósság" sheetId="19" r:id="rId19"/>
    <sheet name="11.Likviditás" sheetId="20" r:id="rId20"/>
    <sheet name="12. gördülő tervezés" sheetId="21" r:id="rId21"/>
    <sheet name="13.1.Eu projekt" sheetId="22" r:id="rId22"/>
    <sheet name="14. TKT hj" sheetId="23" state="hidden" r:id="rId23"/>
    <sheet name="Nonprofit Kft." sheetId="24" state="hidden" r:id="rId24"/>
    <sheet name="TKT felosztás" sheetId="25" state="hidden" r:id="rId25"/>
    <sheet name="2016 beruházási elők." sheetId="26" state="hidden" r:id="rId26"/>
    <sheet name="13.2.EU projekt részletesen" sheetId="27" r:id="rId27"/>
    <sheet name="pénzmaradvány részletezése" sheetId="28" state="hidden" r:id="rId28"/>
    <sheet name="Munka1" sheetId="29" state="hidden" r:id="rId29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beruh" localSheetId="20">'[1]4.1. táj.'!#REF!</definedName>
    <definedName name="beruh" localSheetId="21">'[1]4.1. táj.'!#REF!</definedName>
    <definedName name="beruh" localSheetId="2">'[1]4.1. táj.'!#REF!</definedName>
    <definedName name="beruh" localSheetId="3">'[1]4.1. táj.'!#REF!</definedName>
    <definedName name="beruh" localSheetId="7">'[1]4.1. táj.'!#REF!</definedName>
    <definedName name="beruh" localSheetId="6">'[1]4.1. táj.'!#REF!</definedName>
    <definedName name="beruh" localSheetId="5">'[1]4.1. táj.'!#REF!</definedName>
    <definedName name="beruh" localSheetId="9">'[1]4.1. táj.'!#REF!</definedName>
    <definedName name="beruh" localSheetId="10">'[1]4.1. táj.'!#REF!</definedName>
    <definedName name="beruh" localSheetId="8">'[1]4.1. táj.'!#REF!</definedName>
    <definedName name="beruh" localSheetId="13">'[1]4.1. táj.'!#REF!</definedName>
    <definedName name="beruh" localSheetId="11">'[1]4.1. táj.'!#REF!</definedName>
    <definedName name="beruh" localSheetId="12">'[1]4.1. táj.'!#REF!</definedName>
    <definedName name="beruh" localSheetId="16">'[1]4.1. táj.'!#REF!</definedName>
    <definedName name="beruh" localSheetId="14">'[1]4.1. táj.'!#REF!</definedName>
    <definedName name="beruh" localSheetId="15">'[1]4.1. táj.'!#REF!</definedName>
    <definedName name="beruh" localSheetId="17">'[1]4.1. táj.'!#REF!</definedName>
    <definedName name="beruh" localSheetId="23">'[1]4.1. táj.'!#REF!</definedName>
    <definedName name="beruh">'[1]4.1. táj.'!#REF!</definedName>
    <definedName name="intézmények" localSheetId="20">'[2]4.1. táj.'!#REF!</definedName>
    <definedName name="intézmények" localSheetId="21">'[2]4.1. táj.'!#REF!</definedName>
    <definedName name="intézmények" localSheetId="2">'[2]4.1. táj.'!#REF!</definedName>
    <definedName name="intézmények" localSheetId="3">'[2]4.1. táj.'!#REF!</definedName>
    <definedName name="intézmények" localSheetId="7">'[2]4.1. táj.'!#REF!</definedName>
    <definedName name="intézmények" localSheetId="6">'[2]4.1. táj.'!#REF!</definedName>
    <definedName name="intézmények" localSheetId="5">'[2]4.1. táj.'!#REF!</definedName>
    <definedName name="intézmények" localSheetId="9">'[2]4.1. táj.'!#REF!</definedName>
    <definedName name="intézmények" localSheetId="10">'[2]4.1. táj.'!#REF!</definedName>
    <definedName name="intézmények" localSheetId="8">'[2]4.1. táj.'!#REF!</definedName>
    <definedName name="intézmények" localSheetId="13">'[2]4.1. táj.'!#REF!</definedName>
    <definedName name="intézmények" localSheetId="11">'[2]4.1. táj.'!#REF!</definedName>
    <definedName name="intézmények" localSheetId="12">'[2]4.1. táj.'!#REF!</definedName>
    <definedName name="intézmények" localSheetId="16">'[2]4.1. táj.'!#REF!</definedName>
    <definedName name="intézmények" localSheetId="14">'[2]4.1. táj.'!#REF!</definedName>
    <definedName name="intézmények" localSheetId="15">'[2]4.1. táj.'!#REF!</definedName>
    <definedName name="intézmények" localSheetId="17">'[2]4.1. táj.'!#REF!</definedName>
    <definedName name="intézmények" localSheetId="23">'[2]4.1. táj.'!#REF!</definedName>
    <definedName name="intézmények">'[2]4.1. táj.'!#REF!</definedName>
    <definedName name="_xlnm.Print_Titles" localSheetId="2">'2.működés'!$5:$5</definedName>
    <definedName name="_xlnm.Print_Titles" localSheetId="7">'5.Bev.össz jav.mód..'!$A:$A</definedName>
    <definedName name="_xlnm.Print_Titles" localSheetId="6">'5.Bev.össz.'!$A:$A</definedName>
    <definedName name="_xlnm.Print_Titles" localSheetId="5">'5.Bev.össz. mód.'!$A:$A</definedName>
    <definedName name="_xlnm.Print_Titles" localSheetId="9">'6.Kiad.össz. '!$A:$A</definedName>
    <definedName name="_xlnm.Print_Titles" localSheetId="10">'6.Kiad.össz. jav. mód..'!$A:$A</definedName>
    <definedName name="_xlnm.Print_Titles" localSheetId="8">'6.Kiad.össz.mód.'!$A:$A</definedName>
    <definedName name="_xlnm.Print_Titles" localSheetId="14">'8.Önk.'!$A:$B</definedName>
    <definedName name="_xlnm.Print_Area" localSheetId="1">'1.Bev-kiad.'!$A$1:$E$82</definedName>
    <definedName name="_xlnm.Print_Area" localSheetId="18">'10.Többéves, adósság'!$A$1:$I$32</definedName>
    <definedName name="_xlnm.Print_Area" localSheetId="19">'11.Likviditás'!$A$1:$N$29</definedName>
    <definedName name="_xlnm.Print_Area" localSheetId="20">'12. gördülő tervezés'!$A$1:$F$73</definedName>
    <definedName name="_xlnm.Print_Area" localSheetId="21">'13.1.Eu projekt'!$A$1:$O$17</definedName>
    <definedName name="_xlnm.Print_Area" localSheetId="22">'14. TKT hj'!$A$1:$S$43</definedName>
    <definedName name="_xlnm.Print_Area" localSheetId="2">'2.működés'!$A$1:$F$105</definedName>
    <definedName name="_xlnm.Print_Area" localSheetId="3">'3.felh'!$A$1:$C$83</definedName>
    <definedName name="_xlnm.Print_Area" localSheetId="4">'4. Átadott p.eszk.'!$A$1:$E$80</definedName>
    <definedName name="_xlnm.Print_Area" localSheetId="7">'5.Bev.össz jav.mód..'!$A$1:$L$54</definedName>
    <definedName name="_xlnm.Print_Area" localSheetId="6">'5.Bev.össz.'!$A$1:$L$17</definedName>
    <definedName name="_xlnm.Print_Area" localSheetId="5">'5.Bev.össz. mód.'!$A$1:$L$54</definedName>
    <definedName name="_xlnm.Print_Area" localSheetId="9">'6.Kiad.össz. '!$A$1:$Q$18</definedName>
    <definedName name="_xlnm.Print_Area" localSheetId="10">'6.Kiad.össz. jav. mód..'!$A$1:$R$28</definedName>
    <definedName name="_xlnm.Print_Area" localSheetId="8">'6.Kiad.össz.mód.'!$A$1:$R$28</definedName>
    <definedName name="_xlnm.Print_Area" localSheetId="13">'7.finanszírozás jav. mód..'!$A$1:$I$78</definedName>
    <definedName name="_xlnm.Print_Area" localSheetId="11">'7.finanszírozás mód.'!$A$1:$I$78</definedName>
    <definedName name="_xlnm.Print_Area" localSheetId="12">'7.finanszírozás.'!$A$1:$F$83</definedName>
    <definedName name="_xlnm.Print_Area" localSheetId="16">'8.Önk jav. mód.. '!$A$1:$N$183</definedName>
    <definedName name="_xlnm.Print_Area" localSheetId="14">'8.Önk.'!$A$1:$AE$129</definedName>
    <definedName name="_xlnm.Print_Area" localSheetId="15">'8.Önk. mód.'!$A$1:$N$139</definedName>
    <definedName name="_xlnm.Print_Area" localSheetId="17">'9.hivatal'!$A$1:$F$85</definedName>
    <definedName name="_xlnm.Print_Area" localSheetId="23">'Nonprofit Kft.'!$A$1:$N$26</definedName>
    <definedName name="_xlnm.Print_Area" localSheetId="0">'Összesítő'!$A$1:$E$99</definedName>
    <definedName name="_xlnm.Print_Area" localSheetId="24">'TKT felosztás'!$A$1:$T$31</definedName>
    <definedName name="qewrqewr" localSheetId="20">'[1]4.1. táj.'!#REF!</definedName>
    <definedName name="qewrqewr" localSheetId="7">'[1]4.1. táj.'!#REF!</definedName>
    <definedName name="qewrqewr" localSheetId="6">'[1]4.1. táj.'!#REF!</definedName>
    <definedName name="qewrqewr" localSheetId="5">'[1]4.1. táj.'!#REF!</definedName>
    <definedName name="qewrqewr" localSheetId="9">'[1]4.1. táj.'!#REF!</definedName>
    <definedName name="qewrqewr" localSheetId="10">'[1]4.1. táj.'!#REF!</definedName>
    <definedName name="qewrqewr" localSheetId="8">'[1]4.1. táj.'!#REF!</definedName>
    <definedName name="qewrqewr" localSheetId="13">'[1]4.1. táj.'!#REF!</definedName>
    <definedName name="qewrqewr" localSheetId="11">'[1]4.1. táj.'!#REF!</definedName>
    <definedName name="qewrqewr" localSheetId="12">'[1]4.1. táj.'!#REF!</definedName>
    <definedName name="qewrqewr" localSheetId="16">'[1]4.1. táj.'!#REF!</definedName>
    <definedName name="qewrqewr" localSheetId="14">'[1]4.1. táj.'!#REF!</definedName>
    <definedName name="qewrqewr" localSheetId="15">'[1]4.1. táj.'!#REF!</definedName>
    <definedName name="qewrqewr" localSheetId="17">'[1]4.1. táj.'!#REF!</definedName>
    <definedName name="qewrqewr" localSheetId="23">'[1]4.1. táj.'!#REF!</definedName>
    <definedName name="qewrqewr">'[1]4.1. táj.'!#REF!</definedName>
    <definedName name="Z_ABF21C5C_6078_4D03_96DF_78390D4F8F84_.wvu.Cols" localSheetId="4" hidden="1">'4. Átadott p.eszk.'!#REF!,'4. Átadott p.eszk.'!$HP:$IV</definedName>
    <definedName name="Z_ABF21C5C_6078_4D03_96DF_78390D4F8F84_.wvu.FilterData" localSheetId="1" hidden="1">'1.Bev-kiad.'!$B$1:$B$61</definedName>
    <definedName name="Z_ABF21C5C_6078_4D03_96DF_78390D4F8F84_.wvu.FilterData" localSheetId="20" hidden="1">'12. gördülő tervezés'!$B$1:$B$61</definedName>
    <definedName name="Z_ABF21C5C_6078_4D03_96DF_78390D4F8F84_.wvu.FilterData" localSheetId="2" hidden="1">'2.működés'!$B$1:$B$83</definedName>
    <definedName name="Z_ABF21C5C_6078_4D03_96DF_78390D4F8F84_.wvu.FilterData" localSheetId="3" hidden="1">'3.felh'!$B$1:$B$45</definedName>
    <definedName name="Z_ABF21C5C_6078_4D03_96DF_78390D4F8F84_.wvu.PrintArea" localSheetId="1" hidden="1">'1.Bev-kiad.'!$B$1:$B$79</definedName>
    <definedName name="Z_ABF21C5C_6078_4D03_96DF_78390D4F8F84_.wvu.PrintArea" localSheetId="20" hidden="1">'12. gördülő tervezés'!$B$1:$B$73</definedName>
    <definedName name="Z_ABF21C5C_6078_4D03_96DF_78390D4F8F84_.wvu.PrintArea" localSheetId="2" hidden="1">'2.működés'!$B$1:$B$103</definedName>
    <definedName name="Z_ABF21C5C_6078_4D03_96DF_78390D4F8F84_.wvu.PrintArea" localSheetId="3" hidden="1">'3.felh'!$B$1:$B$70</definedName>
    <definedName name="Z_ABF21C5C_6078_4D03_96DF_78390D4F8F84_.wvu.PrintArea" localSheetId="4" hidden="1">'4. Átadott p.eszk.'!$A$1:$A$67</definedName>
    <definedName name="Z_ABF21C5C_6078_4D03_96DF_78390D4F8F84_.wvu.PrintArea" localSheetId="16" hidden="1">'8.Önk jav. mód.. '!$B$1:$B$4</definedName>
    <definedName name="Z_ABF21C5C_6078_4D03_96DF_78390D4F8F84_.wvu.PrintArea" localSheetId="14" hidden="1">'8.Önk.'!$B$1:$B$3</definedName>
    <definedName name="Z_ABF21C5C_6078_4D03_96DF_78390D4F8F84_.wvu.PrintArea" localSheetId="15" hidden="1">'8.Önk. mód.'!$B$1:$B$4</definedName>
    <definedName name="Z_ABF21C5C_6078_4D03_96DF_78390D4F8F84_.wvu.PrintArea" localSheetId="17" hidden="1">'9.hivatal'!$B$1:$B$4</definedName>
    <definedName name="Z_ABF21C5C_6078_4D03_96DF_78390D4F8F84_.wvu.Rows" localSheetId="1" hidden="1">'1.Bev-kiad.'!#REF!</definedName>
    <definedName name="Z_ABF21C5C_6078_4D03_96DF_78390D4F8F84_.wvu.Rows" localSheetId="20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16" hidden="1">'8.Önk jav. mód.. '!#REF!,'8.Önk jav. mód.. '!#REF!</definedName>
    <definedName name="Z_ABF21C5C_6078_4D03_96DF_78390D4F8F84_.wvu.Rows" localSheetId="14" hidden="1">'8.Önk.'!#REF!,'8.Önk.'!#REF!</definedName>
    <definedName name="Z_ABF21C5C_6078_4D03_96DF_78390D4F8F84_.wvu.Rows" localSheetId="15" hidden="1">'8.Önk. mód.'!#REF!,'8.Önk. mód.'!#REF!</definedName>
    <definedName name="Z_ABF21C5C_6078_4D03_96DF_78390D4F8F84_.wvu.Rows" localSheetId="17" hidden="1">'9.hivatal'!#REF!,'9.hivatal'!#REF!</definedName>
  </definedNames>
  <calcPr fullCalcOnLoad="1"/>
</workbook>
</file>

<file path=xl/sharedStrings.xml><?xml version="1.0" encoding="utf-8"?>
<sst xmlns="http://schemas.openxmlformats.org/spreadsheetml/2006/main" count="2852" uniqueCount="1132">
  <si>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</si>
  <si>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</si>
  <si>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</si>
  <si>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</si>
  <si>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</si>
  <si>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</si>
  <si>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Költségvetési bevételek összesen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</si>
  <si>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</si>
  <si>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</si>
  <si>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</si>
  <si>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</si>
  <si>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</si>
  <si>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</si>
  <si>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</si>
  <si>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</si>
  <si>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</si>
  <si>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</si>
  <si>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</si>
  <si>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</si>
  <si>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</si>
  <si>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</si>
  <si>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</si>
  <si>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</si>
  <si>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</si>
  <si>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</si>
  <si>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</si>
  <si>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</si>
  <si>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</si>
  <si>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</si>
  <si>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</si>
  <si>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</si>
  <si>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</si>
  <si>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</si>
  <si>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</si>
  <si>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</si>
  <si>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</si>
  <si>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</si>
  <si>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</si>
  <si>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</si>
  <si>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</si>
  <si>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</si>
  <si>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</si>
  <si>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Munkaadót erhelő jár., szoc. hozzájárulási adó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</si>
  <si>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</si>
  <si>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</si>
  <si>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</si>
  <si>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</si>
  <si>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</si>
  <si>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</si>
  <si>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</si>
  <si>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</si>
  <si>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Önkormányzati Hivatal</t>
  </si>
  <si>
    <t>Közösségi Ház</t>
  </si>
  <si>
    <t xml:space="preserve">GAMESZ </t>
  </si>
  <si>
    <t>Önkormányzat
mindösszesen</t>
  </si>
  <si>
    <t>Bevételek / kiadások</t>
  </si>
  <si>
    <t>Összesen</t>
  </si>
  <si>
    <t>Önkormányzat 
mindösszesen</t>
  </si>
  <si>
    <t>Önkormányzati
 hivatal</t>
  </si>
  <si>
    <t>GAMESZ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</si>
  <si>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</si>
  <si>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</si>
  <si>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</si>
  <si>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</si>
  <si>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</si>
  <si>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</si>
  <si>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Intézményfinanszírozás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</si>
  <si>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</si>
  <si>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</si>
  <si>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</si>
  <si>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</si>
  <si>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</si>
  <si>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</si>
  <si>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</si>
  <si>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</si>
  <si>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</si>
  <si>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t>Működési célú átvett pénzeszköz</t>
  </si>
  <si>
    <t>Működési célú pénz
maradvány</t>
  </si>
  <si>
    <t>Felhalmozási célú pénz
maradvány</t>
  </si>
  <si>
    <t>Feladat
finanszírozás</t>
  </si>
  <si>
    <t>Egyéb állami támogatás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</si>
  <si>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</si>
  <si>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</si>
  <si>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>Összes kiadás</t>
  </si>
  <si>
    <t>1. Beruházások</t>
  </si>
  <si>
    <t>2. Felújítások</t>
  </si>
  <si>
    <t>-</t>
  </si>
  <si>
    <t>3. Egyéb felhalmozási kiadások</t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</si>
  <si>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Balatonföldvár Város </t>
    </r>
    <r>
      <rPr>
        <b/>
        <i/>
        <u val="single"/>
        <sz val="12"/>
        <rFont val="Arial CE"/>
        <family val="2"/>
      </rPr>
      <t xml:space="preserve">Önkormányzatának </t>
    </r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</si>
  <si>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</si>
  <si>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</si>
  <si>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</si>
  <si>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</si>
  <si>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</si>
  <si>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</si>
  <si>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</si>
  <si>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</si>
  <si>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</si>
  <si>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</si>
  <si>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</si>
  <si>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</si>
  <si>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</si>
  <si>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</si>
  <si>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</si>
  <si>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</si>
  <si>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</si>
  <si>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</si>
  <si>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</si>
  <si>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</si>
  <si>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</si>
  <si>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</si>
  <si>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</si>
  <si>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</si>
  <si>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</si>
  <si>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Fogorvosi alapellátás</t>
  </si>
  <si>
    <t xml:space="preserve">        Gyermekorvos</t>
  </si>
  <si>
    <t xml:space="preserve">        Felnőtt eü szolgáltatás</t>
  </si>
  <si>
    <t>Balatonföldvár Város Önkormányzata</t>
  </si>
  <si>
    <t xml:space="preserve">       Előirányzott támogatási keret (ebből polgármesteri keret:  1 500 e Ft)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</si>
  <si>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</si>
  <si>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</si>
  <si>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</si>
  <si>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</si>
  <si>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</si>
  <si>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</si>
  <si>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</si>
  <si>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 xml:space="preserve"> Állami támogatás (feladatfinanszírozás intézményi feladatokhoz)</t>
  </si>
  <si>
    <t>Intézmények 
összesen</t>
  </si>
  <si>
    <t xml:space="preserve">     Államigazgatási</t>
  </si>
  <si>
    <t xml:space="preserve">    Közös önkormányzati
    hivatal</t>
  </si>
  <si>
    <t xml:space="preserve">       Kötelező</t>
  </si>
  <si>
    <t xml:space="preserve">       Nem kötelező</t>
  </si>
  <si>
    <t xml:space="preserve">       Államigazgatási</t>
  </si>
  <si>
    <t xml:space="preserve">    Közösségi Ház</t>
  </si>
  <si>
    <t xml:space="preserve">    GAMESZ</t>
  </si>
  <si>
    <t>Felhalmozási célú tartalék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</si>
  <si>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</si>
  <si>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</si>
  <si>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</si>
  <si>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</si>
  <si>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</si>
  <si>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</si>
  <si>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</si>
  <si>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</si>
  <si>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</si>
  <si>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</si>
  <si>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</si>
  <si>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</si>
  <si>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</si>
  <si>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</si>
  <si>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</si>
  <si>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</si>
  <si>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</si>
  <si>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</si>
  <si>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 val="single"/>
        <sz val="12"/>
        <rFont val="Arial CE"/>
        <family val="2"/>
      </rPr>
      <t xml:space="preserve">Önkormányzatának </t>
    </r>
  </si>
  <si>
    <t xml:space="preserve">    Munkáltatót terhelő szja</t>
  </si>
  <si>
    <t>064010 Közvilágítás</t>
  </si>
  <si>
    <t>Közfoglalkoztatás</t>
  </si>
  <si>
    <t>107 051 Szociális étkeztetés</t>
  </si>
  <si>
    <t>072112 Háziorvosi ügyeleti ellátás</t>
  </si>
  <si>
    <t>Futamidő (fizetési kötelezettség)</t>
  </si>
  <si>
    <t>Adósságot keletkeztető ügylet
(kiadás)
Stabilitási tv. 3.§ (1) bek.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</si>
  <si>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</si>
  <si>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</si>
  <si>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</si>
  <si>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</si>
  <si>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</si>
  <si>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</si>
  <si>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</si>
  <si>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</si>
  <si>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</si>
  <si>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</si>
  <si>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</si>
  <si>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</si>
  <si>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</si>
  <si>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</si>
  <si>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</si>
  <si>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</si>
  <si>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</si>
  <si>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</si>
  <si>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</si>
  <si>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</si>
  <si>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</si>
  <si>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</si>
  <si>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</si>
  <si>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</si>
  <si>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</si>
  <si>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</si>
  <si>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</si>
  <si>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</si>
  <si>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</si>
  <si>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</si>
  <si>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</si>
  <si>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</si>
  <si>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</si>
  <si>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</si>
  <si>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</si>
  <si>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</si>
  <si>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</si>
  <si>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</si>
  <si>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</si>
  <si>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</si>
  <si>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</si>
  <si>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</si>
  <si>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</si>
  <si>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</si>
  <si>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</si>
  <si>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</si>
  <si>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</si>
  <si>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</si>
  <si>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</si>
  <si>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</si>
  <si>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</si>
  <si>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</si>
  <si>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</si>
  <si>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</si>
  <si>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</si>
  <si>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</si>
  <si>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</si>
  <si>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</si>
  <si>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</si>
  <si>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</si>
  <si>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</si>
  <si>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</si>
  <si>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</si>
  <si>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</si>
  <si>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</si>
  <si>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</si>
  <si>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</si>
  <si>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</si>
  <si>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</si>
  <si>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</si>
  <si>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</si>
  <si>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</si>
  <si>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</si>
  <si>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</si>
  <si>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</si>
  <si>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</si>
  <si>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</si>
  <si>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</si>
  <si>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</si>
  <si>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</si>
  <si>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</si>
  <si>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</si>
  <si>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</si>
  <si>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</si>
  <si>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</si>
  <si>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</si>
  <si>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</si>
  <si>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</si>
  <si>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</si>
  <si>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</si>
  <si>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</si>
  <si>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2. melléklet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</si>
  <si>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</si>
  <si>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</si>
  <si>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</si>
  <si>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</si>
  <si>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</si>
  <si>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</si>
  <si>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</si>
  <si>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</si>
  <si>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</si>
  <si>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</si>
  <si>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</si>
  <si>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</si>
  <si>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</si>
  <si>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</si>
  <si>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</si>
  <si>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</si>
  <si>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</si>
  <si>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</si>
  <si>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</si>
  <si>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</si>
  <si>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</si>
  <si>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 xml:space="preserve">   1. Költségvetési bevételek belső finanszírozására szolgáló eszközök</t>
  </si>
  <si>
    <t xml:space="preserve">   2. Költségvetési bevételek külső finanszírozására szolgáló eszközök</t>
  </si>
  <si>
    <t>II. Közhatalmi bevételek</t>
  </si>
  <si>
    <t xml:space="preserve">          1.1. Helyi önkormányzatok működésének általános támogatása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</si>
  <si>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</si>
  <si>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</si>
  <si>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</si>
  <si>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</si>
  <si>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</si>
  <si>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</si>
  <si>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</si>
  <si>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</si>
  <si>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</si>
  <si>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</si>
  <si>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</si>
  <si>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</si>
  <si>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</si>
  <si>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</si>
  <si>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</si>
  <si>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</si>
  <si>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</si>
  <si>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</si>
  <si>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</si>
  <si>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</si>
  <si>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</si>
  <si>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</si>
  <si>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</si>
  <si>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</si>
  <si>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</si>
  <si>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</si>
  <si>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</si>
  <si>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</si>
  <si>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4. melléklet</t>
  </si>
  <si>
    <t>2015. évi előirányzat</t>
  </si>
  <si>
    <t>2015. évi eredeti előirányzat (kiemelt előirányzatok)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</si>
  <si>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</si>
  <si>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</si>
  <si>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</si>
  <si>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</si>
  <si>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</si>
  <si>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</si>
  <si>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</si>
  <si>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</si>
  <si>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</si>
  <si>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</si>
  <si>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</si>
  <si>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</si>
  <si>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</si>
  <si>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</si>
  <si>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</si>
  <si>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</si>
  <si>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</si>
  <si>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</si>
  <si>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</si>
  <si>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</si>
  <si>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</si>
  <si>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</si>
  <si>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</si>
  <si>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</si>
  <si>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</si>
  <si>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</si>
  <si>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</si>
  <si>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</si>
  <si>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</si>
  <si>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</si>
  <si>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</si>
  <si>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</si>
  <si>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</si>
  <si>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</si>
  <si>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</si>
  <si>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</si>
  <si>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</si>
  <si>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</si>
  <si>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</si>
  <si>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</si>
  <si>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</si>
  <si>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</si>
  <si>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</si>
  <si>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</si>
  <si>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</si>
  <si>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</si>
  <si>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</si>
  <si>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</si>
  <si>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</si>
  <si>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</si>
  <si>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</si>
  <si>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</si>
  <si>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</si>
  <si>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</si>
  <si>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   Autópályadíj (LUX-009, LVB-309)</t>
  </si>
  <si>
    <t xml:space="preserve">        Postköltség</t>
  </si>
  <si>
    <t xml:space="preserve">        Kéményseprés</t>
  </si>
  <si>
    <t xml:space="preserve">        Rovarirtás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</si>
  <si>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</si>
  <si>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</si>
  <si>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</si>
  <si>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</si>
  <si>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 xml:space="preserve">        Fúvószenekar működtetés</t>
  </si>
  <si>
    <t>áfa</t>
  </si>
  <si>
    <t xml:space="preserve">        Szemétszállítás</t>
  </si>
  <si>
    <t xml:space="preserve">    Megbízási díj (Kapus János zenekari karmesteri feladatok)</t>
  </si>
  <si>
    <t xml:space="preserve">    IFA ellenőrök megbízási díja (jutalék)</t>
  </si>
  <si>
    <t xml:space="preserve">        Intarzia (Bálint Kálmán)</t>
  </si>
  <si>
    <t xml:space="preserve">        Biztosítások (vagyon, gépjármű)</t>
  </si>
  <si>
    <t xml:space="preserve">        Különféle adók, díjak, adójellegű befizetések, hozzájárulások</t>
  </si>
  <si>
    <t>074031 Család és nővédelmi
 egészségügyi gondozás</t>
  </si>
  <si>
    <t>Egészségügyi 
ellátások</t>
  </si>
  <si>
    <t>Ellátottak 
pénzbeni juttatásai</t>
  </si>
  <si>
    <t>011130 Önk. és önk.-i hivatalok 
jogalkotói és ált. igazgatási tevékenysége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</si>
  <si>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</si>
  <si>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</si>
  <si>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</si>
  <si>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</si>
  <si>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</si>
  <si>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</si>
  <si>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</si>
  <si>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</si>
  <si>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Informatikai szolgáltatások (internet)</t>
  </si>
  <si>
    <t xml:space="preserve">        Szúnyogirtás, kullancsirtás</t>
  </si>
  <si>
    <t xml:space="preserve">        Továbbképzés, oktatás</t>
  </si>
  <si>
    <t xml:space="preserve">    Megbízási díj (Kovács Zsolt műszaki ügyintéző)</t>
  </si>
  <si>
    <t>0460420 Vezetékes műsorelosztás, kábel TV</t>
  </si>
  <si>
    <t xml:space="preserve">        Főszerkesztői feladatok ellátása (Futó Zsófia)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</si>
  <si>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</si>
  <si>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</si>
  <si>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</si>
  <si>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</si>
  <si>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</si>
  <si>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</si>
  <si>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</si>
  <si>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</si>
  <si>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</si>
  <si>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</si>
  <si>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</si>
  <si>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</si>
  <si>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Hivatal működésének támogatása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</si>
  <si>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</si>
  <si>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</si>
  <si>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              Üdülőhelyi feladatok támogatása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</si>
  <si>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</si>
  <si>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</si>
  <si>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</si>
  <si>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</si>
  <si>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</rPr>
      <t xml:space="preserve"> </t>
    </r>
  </si>
  <si>
    <t xml:space="preserve">    Étkezési utalvány, cafeteria</t>
  </si>
  <si>
    <t xml:space="preserve">        Nyomtatvány, papír, irodaszer</t>
  </si>
  <si>
    <r>
      <t xml:space="preserve">          Infoway Kft. (rendszergazdai szolgáltatás </t>
    </r>
    <r>
      <rPr>
        <sz val="8"/>
        <rFont val="Times New Roman"/>
        <family val="1"/>
      </rPr>
      <t>(320 e Ft/hó + áfa))</t>
    </r>
  </si>
  <si>
    <r>
      <t xml:space="preserve">     Bérleti és lízingdíjak </t>
    </r>
    <r>
      <rPr>
        <sz val="8"/>
        <rFont val="Times New Roman"/>
        <family val="1"/>
      </rPr>
      <t>(Safe bérlet)</t>
    </r>
  </si>
  <si>
    <t xml:space="preserve">     2. Egyéb működési célú pénzeszközátadás</t>
  </si>
  <si>
    <t xml:space="preserve">          Balatonföldvári Mesevár Óvoda (munkaruha, munkacipő hozzájárulás)</t>
  </si>
  <si>
    <t xml:space="preserve">    Alkalmazottak illetménye </t>
  </si>
  <si>
    <t xml:space="preserve">        Szemétszállítás (szelektív)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</si>
  <si>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</si>
  <si>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</si>
  <si>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</si>
  <si>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</si>
  <si>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</si>
  <si>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</si>
  <si>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</si>
  <si>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</si>
  <si>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    Külföldi kapcsolatok, testvérvárosi kapcsolatok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</si>
  <si>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</si>
  <si>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</si>
  <si>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</si>
  <si>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</si>
  <si>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</si>
  <si>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</si>
  <si>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</si>
  <si>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</si>
  <si>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</si>
  <si>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</si>
  <si>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</si>
  <si>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</si>
  <si>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</si>
  <si>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</si>
  <si>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</si>
  <si>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</si>
  <si>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</si>
  <si>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</si>
  <si>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</si>
  <si>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</si>
  <si>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</si>
  <si>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</si>
  <si>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</si>
  <si>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</si>
  <si>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</si>
  <si>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</si>
  <si>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</si>
  <si>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</si>
  <si>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</si>
  <si>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Fejlesztési célú hitel</t>
  </si>
  <si>
    <t>2016. évi eredeti előirányzat</t>
  </si>
  <si>
    <t>2018. évi eredeti előirányzat</t>
  </si>
  <si>
    <t xml:space="preserve">      2. Önkormányzati intézmények működési kiadásai </t>
  </si>
  <si>
    <t>Önkormány
zati önerő összege</t>
  </si>
  <si>
    <t>Önerő</t>
  </si>
  <si>
    <t>Projekt megvalósítás költsége mindösszesen</t>
  </si>
  <si>
    <t>Működési bevételek, átvett pénzeszközök</t>
  </si>
  <si>
    <t>Működési célú támogatások áht-n belülről</t>
  </si>
  <si>
    <t>Működési célú bevételek/közhatalmi bevételek</t>
  </si>
  <si>
    <t>Felh. Célú támogaátsok áht-n belülről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</si>
  <si>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</si>
  <si>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</si>
  <si>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</si>
  <si>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</si>
  <si>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</si>
  <si>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</si>
  <si>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</si>
  <si>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</si>
  <si>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</si>
  <si>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</si>
  <si>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</si>
  <si>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</si>
  <si>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</si>
  <si>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</si>
  <si>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</si>
  <si>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t>Módosított előirányzat</t>
  </si>
  <si>
    <r>
      <t xml:space="preserve">     2. Intézményi beruházások</t>
    </r>
    <r>
      <rPr>
        <sz val="10"/>
        <rFont val="Times New Roman"/>
        <family val="1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</si>
  <si>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</si>
  <si>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</si>
  <si>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</si>
  <si>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</si>
  <si>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</si>
  <si>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</si>
  <si>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     2.1. OEP védőnő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</si>
  <si>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</si>
  <si>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</si>
  <si>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</si>
  <si>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</si>
  <si>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>2015. évi módosított előirányzat</t>
  </si>
  <si>
    <t>2016. évi költségvetési kiadásainak részletezése kormányzati funkciók szerint</t>
  </si>
  <si>
    <t xml:space="preserve">   riasztó és tűzjelző rendszer üzemeltetése</t>
  </si>
  <si>
    <t xml:space="preserve">   légkezelő éves karbantartása</t>
  </si>
  <si>
    <t xml:space="preserve">   hőszivattyúk éves karbantartása</t>
  </si>
  <si>
    <t xml:space="preserve">   épület őrzése</t>
  </si>
  <si>
    <t>Balatonföldvár Város Önkormányzatának 2016. évi kiadásai intézményenként, kiemelt előirányzatonként, 
feladatonkénti bontásban</t>
  </si>
  <si>
    <t>Balatonföldvár Város Önkormányzatának 2016. évi bevételei kiemelt előirányzatonként, feladatonként</t>
  </si>
  <si>
    <t xml:space="preserve">                             Közvilágítás fenntartásának támogatása</t>
  </si>
  <si>
    <t xml:space="preserve">      7.1. Felhalmozási célú visszatérítendő támogatások, kölcsönök visszatérülése ÁH-n kívülről</t>
  </si>
  <si>
    <t>br</t>
  </si>
  <si>
    <t>nettó</t>
  </si>
  <si>
    <t>Csigalépcső felújítás - kiviteli terv (Geoteszt Kft.)</t>
  </si>
  <si>
    <t>Csigalépcső felújítás - közbeszerzés</t>
  </si>
  <si>
    <t>Csigalépcső felújítás - műszaki ellenőr</t>
  </si>
  <si>
    <t>Hivatal épületének energetikai korszerűsítése - tervezés</t>
  </si>
  <si>
    <t>Kulipintyó tető és nyílászáró csere - tervezés</t>
  </si>
  <si>
    <t>Volt vízműtelepen parkoló létesítés - tervezés</t>
  </si>
  <si>
    <t>Volt vízműtelepen parkoló létesítés - közbeszerzés</t>
  </si>
  <si>
    <t>Volt vízműtelepen parkoló létesítés - műszaki ellenőr</t>
  </si>
  <si>
    <t>Bajor Gizi K. H. - konyha és pince felújítása - közbeszerzés</t>
  </si>
  <si>
    <t>Bajor Gizi K. H. - konyha és pince felújítása - műszaki ellenőrzés</t>
  </si>
  <si>
    <t xml:space="preserve">               Átadás TDM szervezet részére (TDM pályázat önrész)</t>
  </si>
  <si>
    <t>(PÜG-nél)</t>
  </si>
  <si>
    <t>Vizisport telep szigetése - műszaki szakértés</t>
  </si>
  <si>
    <t xml:space="preserve">        Egyéb pénzügyi műveletek kiadásai (bankköltség)</t>
  </si>
  <si>
    <t xml:space="preserve">        Beruházásokhoz kapcsolódó előkészítési 
        és egyéb járulékos költségek</t>
  </si>
  <si>
    <t>Beruházásokhoz kapcsolódó előkészítési és egyéb járulékos ktg</t>
  </si>
  <si>
    <t>Kilátó őrzés (2016. január 15-ig)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</si>
  <si>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</si>
  <si>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</si>
  <si>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Zöld város pályázat előkészítési költségei - tervezés</t>
  </si>
  <si>
    <t>Zöld város pályázat előkészítési költségei - egyéb</t>
  </si>
  <si>
    <t xml:space="preserve">        Együttműködési megállapodás DDRFÜ-vel</t>
  </si>
  <si>
    <t xml:space="preserve">        Együttműködési megállapodás MKM Multirateral Kft-vel</t>
  </si>
  <si>
    <t xml:space="preserve">        IVS felülvizsgálata</t>
  </si>
  <si>
    <t xml:space="preserve">        Kártyarendszer + kapcsolódó költségek (6+1)</t>
  </si>
  <si>
    <t>(Balatonföldvári Közös Önkormányzati Hivatal)</t>
  </si>
  <si>
    <t xml:space="preserve">    Költségtérítés (polgármester, képviselők)</t>
  </si>
  <si>
    <t xml:space="preserve">    Képviselői, bizottsági tagi tiszteletdíjak, alpolg.-i ktgtérítések</t>
  </si>
  <si>
    <t xml:space="preserve">        Rendezési terv módosítás (2015. évi önkorm.-i rész + 2016. évi)</t>
  </si>
  <si>
    <t>Óvoda épületének felújítása - tervezés</t>
  </si>
  <si>
    <t xml:space="preserve">    Jubileumi jutalom</t>
  </si>
  <si>
    <t>Beruházásokhoz, felújításokhoz kapcs. költségek tételesen</t>
  </si>
  <si>
    <t xml:space="preserve">        Fizikoterápiás szolgáltatás </t>
  </si>
  <si>
    <t xml:space="preserve">      1. Immateriális javak értékesítése </t>
  </si>
  <si>
    <t xml:space="preserve">        Városi honlap</t>
  </si>
  <si>
    <t xml:space="preserve">        Eszköznyilvántartó program</t>
  </si>
  <si>
    <r>
      <t xml:space="preserve">     Szakmai anyagok beszerzése </t>
    </r>
    <r>
      <rPr>
        <sz val="8"/>
        <rFont val="Times New Roman"/>
        <family val="1"/>
      </rPr>
      <t>(könyv, folyóirat, gyógyszer, egyéb)</t>
    </r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</si>
  <si>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</si>
  <si>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</si>
  <si>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</si>
  <si>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r>
      <t xml:space="preserve">          IRIS Rendszerház (OPAL iktatórendszer (</t>
    </r>
    <r>
      <rPr>
        <sz val="8"/>
        <rFont val="Times New Roman"/>
        <family val="1"/>
      </rPr>
      <t>67,9 e Ft/hó + áfa))</t>
    </r>
  </si>
  <si>
    <t xml:space="preserve">          1.3. Szociális, gyermekjóléti és gyermekétkeztetési feladatok támogatása</t>
  </si>
  <si>
    <t xml:space="preserve">                        Települési önkormányzatok szociális feladatainak egyéb támogatása</t>
  </si>
  <si>
    <t xml:space="preserve">                        Szociális étkeztetés</t>
  </si>
  <si>
    <t xml:space="preserve">          1.4. Települési önkormányzatok kulturális feladatainak támogatása</t>
  </si>
  <si>
    <t xml:space="preserve">    Kilátó projekt - projektvezetői díj (Karsai Anikó)</t>
  </si>
  <si>
    <t>Előző évi pénzmaradvány</t>
  </si>
  <si>
    <t xml:space="preserve">          2.2. Pénzeszközátvétel önkormányzatoktól (belső ellenőrzés, Hivatal)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</si>
  <si>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</si>
  <si>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</si>
  <si>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</si>
  <si>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</si>
  <si>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</si>
  <si>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</rPr>
      <t>(TKT felosztás külön táblán bemutatva)</t>
    </r>
  </si>
  <si>
    <t>intézményfinanszírozás</t>
  </si>
  <si>
    <t>Működési célú átvett pénzeszközök</t>
  </si>
  <si>
    <t>Működési bevételek</t>
  </si>
  <si>
    <t xml:space="preserve">        Tisztítószer (Kilátó is)</t>
  </si>
  <si>
    <t xml:space="preserve">        Nyomtatvány, irodaszer (Kilátó is)</t>
  </si>
  <si>
    <t>Finanszírozási bevétel</t>
  </si>
  <si>
    <t>közfoglalkoztatottak létszáma</t>
  </si>
  <si>
    <t>2019. évi eredeti előirányzat</t>
  </si>
  <si>
    <t>önkormányzati bevételek nettósítva</t>
  </si>
  <si>
    <t>önkormányzati kiadások nettósítva</t>
  </si>
  <si>
    <t>Költségfelosztás 2016. Összesítő (2016.02.08.)</t>
  </si>
  <si>
    <t>ezer Ft</t>
  </si>
  <si>
    <t>Települések</t>
  </si>
  <si>
    <t>Lakosságszám 
(fő)</t>
  </si>
  <si>
    <t xml:space="preserve">TKT </t>
  </si>
  <si>
    <t>Mind
összesen</t>
  </si>
  <si>
    <t>2015. évi hozzájárulás</t>
  </si>
  <si>
    <t>2015. évi
 hátralék</t>
  </si>
  <si>
    <t>2015. évi 
túlfizetés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</si>
  <si>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</si>
  <si>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</si>
  <si>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</si>
  <si>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</si>
  <si>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</si>
  <si>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</si>
  <si>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 xml:space="preserve">Házi segítség
nyújtás </t>
  </si>
  <si>
    <t xml:space="preserve"> 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</si>
  <si>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</si>
  <si>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</si>
  <si>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</si>
  <si>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</si>
  <si>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</si>
  <si>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ebből pénzeszköz átadás felújításhoz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</si>
  <si>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</si>
  <si>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</si>
  <si>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</si>
  <si>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</si>
  <si>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</si>
  <si>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</si>
  <si>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</si>
  <si>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</si>
  <si>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</si>
  <si>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</si>
  <si>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ebből 2014. évi 1057e + 2015. éviből 828 e</t>
  </si>
  <si>
    <t>Szántód</t>
  </si>
  <si>
    <t>önhikiből átutalva</t>
  </si>
  <si>
    <t>Szólád</t>
  </si>
  <si>
    <t>Teleki</t>
  </si>
  <si>
    <t>Balatonendréd</t>
  </si>
  <si>
    <t>Ügyelet</t>
  </si>
  <si>
    <t>Óvoda**</t>
  </si>
  <si>
    <t>Zamárdi *</t>
  </si>
  <si>
    <t>Mindösszesen</t>
  </si>
  <si>
    <t xml:space="preserve"> * A nyaraló vendégekkel együtt a Balaton parti települések között került felosztásra (1.896.000.- Ft.)</t>
  </si>
  <si>
    <t xml:space="preserve">** Társuláson kívüli (Kőröshegy, B.szárszó, Kötcse) településekről bejáró gyermekekre jutó kiadás (4.300.000.- Ft) Bföldvárhoz számolva. </t>
  </si>
  <si>
    <t xml:space="preserve">                 Működési célú maradvány</t>
  </si>
  <si>
    <t xml:space="preserve">                 Felhalmozási célú maradvány</t>
  </si>
  <si>
    <t xml:space="preserve">        1.1. Előző évi maradvány igénybevétele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</si>
  <si>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</si>
  <si>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</si>
  <si>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</si>
  <si>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</si>
  <si>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</si>
  <si>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</si>
  <si>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</si>
  <si>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</si>
  <si>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  Balatonföldvári Kulturális Szolgáltató és Fenntartó Nonprofit Kft. működési átadás</t>
  </si>
  <si>
    <t>2016. évi javasolt előirányzat (kiemelt előirányzatok)</t>
  </si>
  <si>
    <t>2016. évi javasolt módosítás</t>
  </si>
  <si>
    <t xml:space="preserve">            Intézményfinanszírozás módosítása Művelődési ház időarányos állami támogatása miatt</t>
  </si>
  <si>
    <t>Balatonföldvár Város Önkormányzatának 2016. évi intézményi szintű összes kiadásai, intézményfinanszírozása
javasolt módosítás</t>
  </si>
  <si>
    <t xml:space="preserve">   1. Belföldi finanszírozás bevételei</t>
  </si>
  <si>
    <t xml:space="preserve">        1.1. Előző év költségvetési maradványának igénybevétele</t>
  </si>
  <si>
    <t>10. melléklet</t>
  </si>
  <si>
    <t>2016. évi módosított előirányzat</t>
  </si>
  <si>
    <t>Ellátottak 
pénzbeli juttatásai</t>
  </si>
  <si>
    <t>Rendőrőrs épületének energiahatékonysági fejlesztése - terv</t>
  </si>
  <si>
    <t>Kápolna homlokzatának és Kápolna melletti közpark felújításának tervezése</t>
  </si>
  <si>
    <t>Kápolna homlokzatának és Kápolna melletti közpark felújítása - szakmai megalapozó tanulmány</t>
  </si>
  <si>
    <t xml:space="preserve">Nyugati strand fejlesztése - tervezés </t>
  </si>
  <si>
    <t>"Szemléletformálási programok" - megvalósíthatósági tanulmány</t>
  </si>
  <si>
    <t xml:space="preserve">        Bűnmegelőzési tábor résztvevőinek étkeztetése (135/2016.)</t>
  </si>
  <si>
    <t xml:space="preserve">        Széchenyi Imre Ált.Isk.-ból hulladék elszállítás (88/2016.)</t>
  </si>
  <si>
    <t>Partfal felújítás - kiviteli terv (Geoteszt Kft.)</t>
  </si>
  <si>
    <t>Partfal felújítás - közbeszerzés</t>
  </si>
  <si>
    <t>Partfal felújítás - műszaki ellenőr</t>
  </si>
  <si>
    <t>Közvilágítás korszerűsítése - közbeszerzési tanácsadás és eljárás lebonyolítás</t>
  </si>
  <si>
    <t>Villamos energia besz. - közbeszerzési tanácsadás és eljárás lebonyolítás</t>
  </si>
  <si>
    <t>Hivatal épületének energetikai korszerűsítése - projketterv</t>
  </si>
  <si>
    <t xml:space="preserve">    Megbízási díj - Karsai Anikó projektvezetői feladatok</t>
  </si>
  <si>
    <t xml:space="preserve">        Tisztítószer </t>
  </si>
  <si>
    <t xml:space="preserve">        Nyomtatvány, irodaszer </t>
  </si>
  <si>
    <t xml:space="preserve">        Kilátó irodaszer, tisztítószer</t>
  </si>
  <si>
    <t xml:space="preserve">      Kilátó számítógép beüzemelés mozi terem</t>
  </si>
  <si>
    <t xml:space="preserve">     Kilátó közüzemi díjak</t>
  </si>
  <si>
    <t xml:space="preserve">     Kilátó tűzjelzőrendszerek karbantartása</t>
  </si>
  <si>
    <t xml:space="preserve">        Kilátó személyi-és vagyonvédelem, műszaki ellenőr, tervezés, fa kivágás</t>
  </si>
  <si>
    <t xml:space="preserve">        Kilátó információs tábla</t>
  </si>
  <si>
    <t xml:space="preserve">     Kilátó hirdetési díjak</t>
  </si>
  <si>
    <t xml:space="preserve">    Kilátó kamatkiadás</t>
  </si>
  <si>
    <t xml:space="preserve">        Kilátó szakértői díj, jogi képviselet, eljárási illeték</t>
  </si>
  <si>
    <t xml:space="preserve">III. A helyi önkormányzatok előző évi elszámolásából származó kiadások </t>
  </si>
  <si>
    <t>Egyéb működési célú kiadások mindösszesen (I+II+III)</t>
  </si>
  <si>
    <t xml:space="preserve">    Egyéb személyi juttatás (bérkomp., betegszabadság, szab.megvált)</t>
  </si>
  <si>
    <t>Munkaadót terhelő jár., szoc. hozzájárulási adó</t>
  </si>
  <si>
    <t xml:space="preserve">                    Lakossági víz- és csatornaszolgáltatás támogatása</t>
  </si>
  <si>
    <t xml:space="preserve">              DRV Zrt. lakossági víz és csatornaszolgáltatás támogatás továbbutalása</t>
  </si>
  <si>
    <t xml:space="preserve">        Rovarirtás, kártevőírtás, gyepmesteri tevékenység</t>
  </si>
  <si>
    <t xml:space="preserve">     11. Egyéb működési bevételek </t>
  </si>
  <si>
    <t>IV. Ellátottak pénzbeli juttatásai</t>
  </si>
  <si>
    <t xml:space="preserve">    Megbízási díj (198/2016.(VIII.4))</t>
  </si>
  <si>
    <t>III.mód</t>
  </si>
  <si>
    <t>Keleti strand fejlesztése - tervezés</t>
  </si>
  <si>
    <t>Bajcsy-Zs.u. burkolatának felújítása - műszaki ellenőri feladat</t>
  </si>
  <si>
    <t xml:space="preserve">        Illemhely létesítés tervezési feladatai (26/2016.(XI.3.))</t>
  </si>
  <si>
    <t>Vidéki térségek feljesztése pályázat - pályázatírói feladatok</t>
  </si>
  <si>
    <t>Tó utca közvilágítási hálózatának tervezési és bonyolítás ktg.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</si>
  <si>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</si>
  <si>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</si>
  <si>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</si>
  <si>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</si>
  <si>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</si>
  <si>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     Humán eü. szolgáltatás</t>
  </si>
  <si>
    <t xml:space="preserve">    Reprezentációs kiadás (fúvószenekar étkeztetése)</t>
  </si>
  <si>
    <t xml:space="preserve">    Reprezentációs kiadás (testvérvárosi kapcsolatok)</t>
  </si>
  <si>
    <t xml:space="preserve">    Reprezentációs kiadás </t>
  </si>
  <si>
    <t xml:space="preserve">    Megbízási díjak</t>
  </si>
  <si>
    <t>Balatonföldvár Város Önkormányzatának 2016. évi intézményi szintű összes kiadásai, intézményfinanszírozása
módosított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</si>
  <si>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</si>
  <si>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</si>
  <si>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</rPr>
      <t xml:space="preserve"> </t>
    </r>
  </si>
  <si>
    <t xml:space="preserve">          1.1. Építményadó                                       </t>
  </si>
  <si>
    <t>Nonprofit Kft-nek</t>
  </si>
  <si>
    <t>TKT-nak</t>
  </si>
  <si>
    <r>
      <t xml:space="preserve">                             Zöldterület gazdálkodással kapcsolatos feladatok támogatása </t>
    </r>
    <r>
      <rPr>
        <sz val="8"/>
        <rFont val="Times New Roman"/>
        <family val="1"/>
      </rPr>
      <t>(Nonprofit Kft.)</t>
    </r>
  </si>
  <si>
    <r>
      <t xml:space="preserve">                             Köztemető fenntartással kapcsolatos feladatok</t>
    </r>
    <r>
      <rPr>
        <sz val="8"/>
        <rFont val="Times New Roman"/>
        <family val="1"/>
      </rPr>
      <t xml:space="preserve"> (Nonprofit Kft.)</t>
    </r>
  </si>
  <si>
    <r>
      <t xml:space="preserve">                             Közutak fenntartásának támogatása </t>
    </r>
    <r>
      <rPr>
        <sz val="8"/>
        <rFont val="Times New Roman"/>
        <family val="1"/>
      </rPr>
      <t>(Nonprofit Kft.)</t>
    </r>
  </si>
  <si>
    <r>
      <t xml:space="preserve">          1.2. Települési önkormányzatok egyes köznevelési feladatainak támogatása</t>
    </r>
    <r>
      <rPr>
        <sz val="8"/>
        <rFont val="Times New Roman"/>
        <family val="1"/>
      </rPr>
      <t xml:space="preserve"> (TKT)</t>
    </r>
  </si>
  <si>
    <r>
      <t xml:space="preserve">                        Házi segítségnyújtás </t>
    </r>
    <r>
      <rPr>
        <sz val="8"/>
        <rFont val="Times New Roman"/>
        <family val="1"/>
      </rPr>
      <t>(TKT)</t>
    </r>
  </si>
  <si>
    <r>
      <t xml:space="preserve">                        Család és Gyermekjóléti Szolgálat </t>
    </r>
    <r>
      <rPr>
        <sz val="8"/>
        <rFont val="Times New Roman"/>
        <family val="1"/>
      </rPr>
      <t>(TKT)</t>
    </r>
  </si>
  <si>
    <r>
      <t xml:space="preserve">                        Gyermekétkeztetés - elismert dolgozók bértámogatása</t>
    </r>
    <r>
      <rPr>
        <sz val="8"/>
        <rFont val="Times New Roman"/>
        <family val="1"/>
      </rPr>
      <t xml:space="preserve"> (TKT)</t>
    </r>
  </si>
  <si>
    <r>
      <t xml:space="preserve">                        Gyermekétkeztetés - üzemeltetési támogatás </t>
    </r>
    <r>
      <rPr>
        <sz val="8"/>
        <rFont val="Times New Roman"/>
        <family val="1"/>
      </rPr>
      <t>(TKT)</t>
    </r>
  </si>
  <si>
    <r>
      <t xml:space="preserve">                     Könyvtári és közművelődési feladatok támogatása </t>
    </r>
    <r>
      <rPr>
        <sz val="8"/>
        <rFont val="Times New Roman"/>
        <family val="1"/>
      </rPr>
      <t>(Nonprofit Kft.)</t>
    </r>
  </si>
  <si>
    <r>
      <t xml:space="preserve">                     Táncművészeti szervezet támogatása </t>
    </r>
    <r>
      <rPr>
        <sz val="8"/>
        <rFont val="Times New Roman"/>
        <family val="1"/>
      </rPr>
      <t>(Előadó és Alkotóművészetért Alapítvány)</t>
    </r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</si>
  <si>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</si>
  <si>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</si>
  <si>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</si>
  <si>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</si>
  <si>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</si>
  <si>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</si>
  <si>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</si>
  <si>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</si>
  <si>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Rendezési terv módosítása</t>
  </si>
  <si>
    <t xml:space="preserve">        Autópályadíj (éves, LVB-309, NST-950)</t>
  </si>
  <si>
    <t xml:space="preserve">    Reprezentációs kiadás (külföldi, testvérvárosi kapcsolatok)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</si>
  <si>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</si>
  <si>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</si>
  <si>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</si>
  <si>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Megbízási díj</t>
  </si>
  <si>
    <t xml:space="preserve">     Cafeteria</t>
  </si>
  <si>
    <t xml:space="preserve">        Egyéb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</si>
  <si>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mobil)</t>
    </r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</si>
  <si>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</si>
  <si>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</si>
  <si>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</si>
  <si>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Egyéb szakmai szolgáltatások</t>
  </si>
  <si>
    <t>Hivatal</t>
  </si>
  <si>
    <t>Önkorm.</t>
  </si>
  <si>
    <t xml:space="preserve">              Illemhely építése (posta melletti terület)</t>
  </si>
  <si>
    <t xml:space="preserve">              Hivatal épületében kábelhálózat korszerűsítése</t>
  </si>
  <si>
    <t>működési többlet (tartalékkal, előző évi pénzmaradvánnyal)</t>
  </si>
  <si>
    <r>
      <t xml:space="preserve">              TV stúdió eszközbeszerzés </t>
    </r>
    <r>
      <rPr>
        <sz val="8"/>
        <rFont val="Times New Roman"/>
        <family val="1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</si>
  <si>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</si>
  <si>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</si>
  <si>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</si>
  <si>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</si>
  <si>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r>
      <t xml:space="preserve">                             </t>
    </r>
    <r>
      <rPr>
        <sz val="8"/>
        <rFont val="Times New Roman"/>
        <family val="1"/>
      </rPr>
      <t xml:space="preserve">   (gépjármű: LVB-309, NST-950 + MJK-897, LUX-009 casco)</t>
    </r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</si>
  <si>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</si>
  <si>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</si>
  <si>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</si>
  <si>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</si>
  <si>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</si>
  <si>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</si>
  <si>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r>
      <t xml:space="preserve">          Informatikai biztonsági fel. ellátása </t>
    </r>
    <r>
      <rPr>
        <sz val="8"/>
        <rFont val="Times New Roman"/>
        <family val="1"/>
      </rPr>
      <t>(52,5 e Ft/hó + áfa)</t>
    </r>
  </si>
  <si>
    <t xml:space="preserve">          2.3. Pénzeszközátvétel Szántód Község Önkormányzatától (Hivatal) </t>
  </si>
  <si>
    <t>Állami</t>
  </si>
  <si>
    <t>Műk. tám.</t>
  </si>
  <si>
    <t>Nonprofit Kft. 2017. évi működésének finanszírozása</t>
  </si>
  <si>
    <t>Nonprofit Kft. mindösszesen</t>
  </si>
  <si>
    <t>Kilátó</t>
  </si>
  <si>
    <t>Bajor Gizi 
Közösségi Ház</t>
  </si>
  <si>
    <t>Önkormányzati támogatás</t>
  </si>
  <si>
    <t>Felhalmozási kiadások
 (beruházás, felújítás)</t>
  </si>
  <si>
    <t>Kulipintyó</t>
  </si>
  <si>
    <t>Város
üzemeltetés</t>
  </si>
  <si>
    <t>Temető</t>
  </si>
  <si>
    <t>Strandok</t>
  </si>
  <si>
    <t>Működési támogatás 
önkormányzati saját bevételből</t>
  </si>
  <si>
    <t xml:space="preserve"> Állami támogatás átadás 
(feladatfinanszírozás szerint)</t>
  </si>
  <si>
    <t>Parkolók</t>
  </si>
  <si>
    <t xml:space="preserve">          Bérbeadásból származó bevétel</t>
  </si>
  <si>
    <t xml:space="preserve">          Rendezvényszervezés</t>
  </si>
  <si>
    <r>
      <t xml:space="preserve">         </t>
    </r>
    <r>
      <rPr>
        <sz val="9"/>
        <rFont val="Times New Roman"/>
        <family val="1"/>
      </rPr>
      <t xml:space="preserve"> Üzemeltetés, értékesítés árbevétele</t>
    </r>
  </si>
  <si>
    <t xml:space="preserve">          Egyéb bevétel</t>
  </si>
  <si>
    <t xml:space="preserve">          Közvetített szolgáltatások</t>
  </si>
  <si>
    <t xml:space="preserve">          Bevételek ÁFA</t>
  </si>
  <si>
    <t xml:space="preserve">          Közvetített szolgáltatások ÁFA</t>
  </si>
  <si>
    <r>
      <t xml:space="preserve">Egyéb működési támogatás 
</t>
    </r>
    <r>
      <rPr>
        <sz val="9"/>
        <rFont val="Times New Roman"/>
        <family val="1"/>
      </rPr>
      <t>(Munkaügyi Központ)</t>
    </r>
  </si>
  <si>
    <t>2016. évi hozzájárulás</t>
  </si>
  <si>
    <t>2015-16. évi
 hátralék</t>
  </si>
  <si>
    <t>Házi s.nyújtás (térítési díj)</t>
  </si>
  <si>
    <t>*</t>
  </si>
  <si>
    <t>Házi segítség
nyújtás 
(térítési díj) *</t>
  </si>
  <si>
    <t>* a házi segítségnyújtás a fenti felosztást tartalmazó táblázatban nem szerepel, térítési díj formájában kerül számlázásra.</t>
  </si>
  <si>
    <t xml:space="preserve">Ha ehhez még hozzávesszük a házi segítségnyújtás költségét akkor </t>
  </si>
  <si>
    <t>e Ft-ot kapunk.</t>
  </si>
  <si>
    <t>Költségfelosztás 2017. Összesítő</t>
  </si>
  <si>
    <t>Települési önkormányzati átvállalás esetén a közös feladatellátáshoz szükséges "hozzájárulás" összegét növeli.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</si>
  <si>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</si>
  <si>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</si>
  <si>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</si>
  <si>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</si>
  <si>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</si>
  <si>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</si>
  <si>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2020. évi eredeti előirányzat</t>
  </si>
  <si>
    <t>Felhalmozási célú hitel</t>
  </si>
  <si>
    <t>107051 Szociális étkeztetés</t>
  </si>
  <si>
    <t xml:space="preserve">Beruházásokhoz, felújításokhoz kapcsolódó, </t>
  </si>
  <si>
    <t>működésben jelentkező költségek tételesen</t>
  </si>
  <si>
    <t>Hitel felvétel</t>
  </si>
  <si>
    <t xml:space="preserve">       Kötelező (eredeti)</t>
  </si>
  <si>
    <t>Önkormányzat (eredeti)</t>
  </si>
  <si>
    <t>Közös Önkormányzati Hivatal (eredeti)</t>
  </si>
  <si>
    <t xml:space="preserve">       Nem kötelező (eredeti)</t>
  </si>
  <si>
    <t>Önkormányzat
mindösszesen (eredeti)</t>
  </si>
  <si>
    <t>ezerFt</t>
  </si>
  <si>
    <t>Változás
(összeg)</t>
  </si>
  <si>
    <t xml:space="preserve">     Építményadó</t>
  </si>
  <si>
    <t xml:space="preserve">     Kommunális adó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</si>
  <si>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</si>
  <si>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</si>
  <si>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</si>
  <si>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</si>
  <si>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</si>
  <si>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</si>
  <si>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</si>
  <si>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 xml:space="preserve">    Felhalmozási célú hitel</t>
  </si>
  <si>
    <t>Költségvetési bevételek mindösszesen</t>
  </si>
  <si>
    <t>K1-K8</t>
  </si>
  <si>
    <t>K1113</t>
  </si>
  <si>
    <t>K321</t>
  </si>
  <si>
    <t>K334</t>
  </si>
  <si>
    <t>K336</t>
  </si>
  <si>
    <t>K351</t>
  </si>
  <si>
    <t xml:space="preserve">     Működési ÁFA</t>
  </si>
  <si>
    <t>K355</t>
  </si>
  <si>
    <t>K506</t>
  </si>
  <si>
    <t>K512</t>
  </si>
  <si>
    <t>K513</t>
  </si>
  <si>
    <t xml:space="preserve">    Működési célú tartalék</t>
  </si>
  <si>
    <t>K62</t>
  </si>
  <si>
    <t>K64</t>
  </si>
  <si>
    <t xml:space="preserve">     Egyéb felhalmozási célú kiadások</t>
  </si>
  <si>
    <t xml:space="preserve">     Felhalmozási célú pénzeszközátadás</t>
  </si>
  <si>
    <t xml:space="preserve">     Felhalmozási célú tartalék </t>
  </si>
  <si>
    <t>Költségvetési kiadások mindösszesen</t>
  </si>
  <si>
    <t xml:space="preserve">     Felhalmozási célú céltartalék </t>
  </si>
  <si>
    <t xml:space="preserve">              Siófok Város Semmelweis Alapítvány támogatása (95/2017.(IV.27.))</t>
  </si>
  <si>
    <t xml:space="preserve">      Ingatlan értékesítés Balatonföldvár 1589/1 hrsz. (87/2017.(IV.19.))</t>
  </si>
  <si>
    <t xml:space="preserve">    Készenléti, ügyeleti, helyettesítési díj, túlóra</t>
  </si>
  <si>
    <t xml:space="preserve">                        Ágazati pótlék (TKT)</t>
  </si>
  <si>
    <t>K1106</t>
  </si>
  <si>
    <t xml:space="preserve">     Szabadság megváltás, betegszabadság, változó bér </t>
  </si>
  <si>
    <t>Előirányzatok változása 
Bevételek/kiadások változása</t>
  </si>
  <si>
    <t xml:space="preserve">2017. évi költségvetésének módosítása - indoklás </t>
  </si>
  <si>
    <t>KÖH</t>
  </si>
  <si>
    <t xml:space="preserve">     Esküvői díjbevétel </t>
  </si>
  <si>
    <t xml:space="preserve">     Jubileumi jutalom </t>
  </si>
  <si>
    <t>Módosított előirányzat      2017. 07. havi</t>
  </si>
  <si>
    <t>Módosított előirányzat            2017. 07. havi</t>
  </si>
  <si>
    <t>Módosított előirányzat 2017.07. havi</t>
  </si>
  <si>
    <t xml:space="preserve">          1.5. Működési célú költségvetési tám.- és kiegészítő támogatás </t>
  </si>
  <si>
    <t>Módosított előirányzat      2017. 09. havi</t>
  </si>
  <si>
    <t>Módosított előirányzat 2017. 09. havi</t>
  </si>
  <si>
    <t>mód.ei. 2017.07.</t>
  </si>
  <si>
    <t xml:space="preserve">          "Kulipintyó villa turisztikai hasznosítása" TOP-1.2.1-15-15-SO1-2016-00008</t>
  </si>
  <si>
    <t xml:space="preserve">     "Balatonföldvár zöld város program megvalósítása" TOP-2.1.2-15-2016-00002 (várható előleg)</t>
  </si>
  <si>
    <t xml:space="preserve">     "Kulipintyó villa turisztikai hasznosítása" TOP-1.2.1-15-15-SO1-2016-00008 (kapott előleg)</t>
  </si>
  <si>
    <t xml:space="preserve">     "B.földváron a nyugati strand turisztikai infrastruktúrájának fejl." TOP-1.2.1-15-15-SO1-2016-00009</t>
  </si>
  <si>
    <t xml:space="preserve">                    A minimálbér és gar.bérmin., járulék csökk. miatti kompenzáció</t>
  </si>
  <si>
    <t xml:space="preserve">               A minimálbér és gar.bérmin., járulék csökk. miatti kompenzáció átadása TKT-nak</t>
  </si>
  <si>
    <t xml:space="preserve">               2016. évi normatíva elszámolásból származó támogatás átadása TKT-nak</t>
  </si>
  <si>
    <t xml:space="preserve">             Balatonföldvári Zenebarátok Köre Közhasznú Egyesület támogatása</t>
  </si>
  <si>
    <t xml:space="preserve">Ellátottak pénzbeli juttatásai </t>
  </si>
  <si>
    <t xml:space="preserve">    Jutalom</t>
  </si>
  <si>
    <t xml:space="preserve">     "Hivatal épületének energetikai korszerűsítése" TOP-3.2.1-15 (kapott előleg)</t>
  </si>
  <si>
    <t>K1107</t>
  </si>
  <si>
    <t>K1101</t>
  </si>
  <si>
    <t>K122</t>
  </si>
  <si>
    <t>K337</t>
  </si>
  <si>
    <t xml:space="preserve">              Emberi Erőforrás Támogatáskezelő (BURSA)</t>
  </si>
  <si>
    <t>K47</t>
  </si>
  <si>
    <t xml:space="preserve">Kulipinytó villa turisztikai hasznosítása </t>
  </si>
  <si>
    <t xml:space="preserve">Balatonföldváron a nyugati strand turisztikai infrastruktúrájának fejlesztése </t>
  </si>
  <si>
    <t xml:space="preserve">Balatonföldvár "Zöld város program" </t>
  </si>
  <si>
    <t xml:space="preserve">TOP-1.2.1-15-SO1-2016-00008   </t>
  </si>
  <si>
    <t xml:space="preserve"> TOP-1.2.1-15-SO1-2016-00009 </t>
  </si>
  <si>
    <t xml:space="preserve">TOP-2.1.2-15-SO1-2016-00002  </t>
  </si>
  <si>
    <t xml:space="preserve"> TOP-3.2.1-15-SO1-2016-00012</t>
  </si>
  <si>
    <t>100</t>
  </si>
  <si>
    <t>B75</t>
  </si>
  <si>
    <t xml:space="preserve">       Balatonföldvári Keleti strand családbarát fejlesztése BTSP-1.1.2016 átcsoportosítás B75-re</t>
  </si>
  <si>
    <t xml:space="preserve">       Balatonföldvári Keleti strand családbarát fejlesztése BTSP-1.1.2016 átcsoportosítás B21-ről</t>
  </si>
  <si>
    <t xml:space="preserve">       Felhalmozási célú hitel</t>
  </si>
  <si>
    <t xml:space="preserve">     BAHART tőkeemelés</t>
  </si>
  <si>
    <t>K66</t>
  </si>
  <si>
    <t>mód.ei   2017.09</t>
  </si>
  <si>
    <t>Módosított előirányzat 201.09. havi</t>
  </si>
  <si>
    <t>Módosított előirányzat            2017. 09. havi</t>
  </si>
  <si>
    <t xml:space="preserve">    "Közvilágítási lámpatestek rekonstrukciója" tervezési feladatok (174/2017.(X.12.))</t>
  </si>
  <si>
    <t xml:space="preserve">     Általános iskola tornatermének festése (181/2017.(X.12.))</t>
  </si>
  <si>
    <t xml:space="preserve">                    Szociális célú tűzifa támogatás</t>
  </si>
  <si>
    <t xml:space="preserve">     Szociális célú tűzifa támogatás (150/2017.(VIII.16.))</t>
  </si>
  <si>
    <t>K48</t>
  </si>
  <si>
    <t xml:space="preserve">     Szociális célú tűzifa vásárlás</t>
  </si>
  <si>
    <t xml:space="preserve">     OEP védőnő</t>
  </si>
  <si>
    <t xml:space="preserve">          2.6. Évközi állami támogatás módosítás miatti várható átadás (óvoda, szoc.)</t>
  </si>
  <si>
    <t>K42</t>
  </si>
  <si>
    <t xml:space="preserve">     Erzsébet utalvány természetbeni támogatása</t>
  </si>
  <si>
    <t>B351</t>
  </si>
  <si>
    <t>B354</t>
  </si>
  <si>
    <t xml:space="preserve">     Iparűzési adó</t>
  </si>
  <si>
    <t xml:space="preserve">     Gépjárműadó</t>
  </si>
  <si>
    <t xml:space="preserve">     Ellátási díjak</t>
  </si>
  <si>
    <t xml:space="preserve">     Kamatbevételek </t>
  </si>
  <si>
    <t xml:space="preserve">     Biztosító által fizetett kártérítés </t>
  </si>
  <si>
    <t xml:space="preserve">     Ösztöndíjak</t>
  </si>
  <si>
    <t xml:space="preserve">        Biztosítások  (vagyon, jogvédelem, felelősségbizt.)</t>
  </si>
  <si>
    <t xml:space="preserve">        Különféle adók, díjak, adójellegű befiz., hozzáj.ok, egyéb dologi</t>
  </si>
  <si>
    <t xml:space="preserve">     Egyéb szolgáltatások (tűzijáték, mobil WC kölcsönzés, fuvardíj)</t>
  </si>
  <si>
    <t xml:space="preserve">     Rovarirtás, kártevőirtás, szúnyogirtás, kullancsirtás </t>
  </si>
  <si>
    <t xml:space="preserve">     Bankköltség</t>
  </si>
  <si>
    <t xml:space="preserve">     Biztosítási díjak (jogvédelem, felelősségbizt.)</t>
  </si>
  <si>
    <r>
      <t xml:space="preserve">             Előadó és Alkotóművészetért Alapítvány</t>
    </r>
    <r>
      <rPr>
        <sz val="8"/>
        <rFont val="Times New Roman"/>
        <family val="1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</si>
  <si>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</si>
  <si>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Balatoni szövetség éves tagdíj</t>
  </si>
  <si>
    <t xml:space="preserve">     Ingatlan vásárlás (Balatonföldvári 013/6 hrsz. szántó és gazdasági épület) különbözet</t>
  </si>
  <si>
    <t xml:space="preserve">     Összecsukható műanyag székek (zeneiskola)</t>
  </si>
  <si>
    <t xml:space="preserve">     Vérnyomásmérő, paraván, vizsgálóasztal (védőnő)</t>
  </si>
  <si>
    <t xml:space="preserve">               DBRHÖT működési hozzájárulás</t>
  </si>
  <si>
    <t xml:space="preserve">               DBRHÖT pótbefizetés</t>
  </si>
  <si>
    <t xml:space="preserve">    Céltartalék</t>
  </si>
  <si>
    <t xml:space="preserve">     Cafeteria átadás (OVI, PÜG)</t>
  </si>
  <si>
    <t xml:space="preserve">     Illemhely építése (posta melletti terület)</t>
  </si>
  <si>
    <t xml:space="preserve">     Kwassay sétány felújítása I. ütem</t>
  </si>
  <si>
    <t xml:space="preserve">     Cafeteria (karácsonyi utalvány)</t>
  </si>
  <si>
    <t>K121</t>
  </si>
  <si>
    <t xml:space="preserve">     Polgármester (cafeteria karácsonyi utalvány)</t>
  </si>
  <si>
    <t xml:space="preserve">     Járulékok (cafeteria karácsonyi utalvány)</t>
  </si>
  <si>
    <t xml:space="preserve">     2017. évi bérkompenzáció (KÖH)</t>
  </si>
  <si>
    <t xml:space="preserve">     2017. évi bérkompenzáció </t>
  </si>
  <si>
    <t xml:space="preserve">     Alkalmazottak illetménye (átcsoportosítás K1113-ra)</t>
  </si>
  <si>
    <t xml:space="preserve">     ASP feladatok (átcsoportosítás K123 és K2-re)</t>
  </si>
  <si>
    <t xml:space="preserve">     Járulékok (megbízási díjak, bérkompenzáció, változó bérek, repi)</t>
  </si>
  <si>
    <t xml:space="preserve">     Fénymásolási díj, telefonköltség megtérítés</t>
  </si>
  <si>
    <t>K312</t>
  </si>
  <si>
    <t xml:space="preserve">     Inforatikai kellékek</t>
  </si>
  <si>
    <t xml:space="preserve">     Tisztítószer beszerzés </t>
  </si>
  <si>
    <t xml:space="preserve">     Informatikai szolgáltatás (adaptáció)</t>
  </si>
  <si>
    <t>K322</t>
  </si>
  <si>
    <t xml:space="preserve">     Telefon-, mobilköltség</t>
  </si>
  <si>
    <t>K331</t>
  </si>
  <si>
    <t xml:space="preserve">     Fénymásolók karbantartása</t>
  </si>
  <si>
    <t xml:space="preserve">     Adóértesítők</t>
  </si>
  <si>
    <t xml:space="preserve">     Postaköltség</t>
  </si>
  <si>
    <t xml:space="preserve">     Egyéb dologi kiadások (Anyatejes nap, köztemetés, intarzia szakkör, jegyzők tanácskozása, iratszekrény, rehab h.járulás)</t>
  </si>
  <si>
    <t>2018. évi összevont mérlege</t>
  </si>
  <si>
    <t>2018. évi működési célú bevételei, kiadásai</t>
  </si>
  <si>
    <t>2018. évi felhalmozási bevételei, kiadásai</t>
  </si>
  <si>
    <t>2018. évi működési célú támogatásai, pénzeszközátadásai, közvetetett támogatásai</t>
  </si>
  <si>
    <t xml:space="preserve">Balatonföldvár Város Önkormányzatának 2018. évi bevételei kiemelt előirányzatonként, feladatonként </t>
  </si>
  <si>
    <t>Balatonföldvár Város Önkormányzatának 2018. évi kiadásai intézményenként, kiemelt előirányzatonként, 
feladatonkénti bontásban</t>
  </si>
  <si>
    <t xml:space="preserve">Balatonföldvár Város Önkormányzatának 2018. évi intézményi szintű összes kiadásai, intézményfinanszírozása
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</si>
  <si>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>Balatonföldvár Város Önkormányzat 2018. évi bevétel-kiadási előirányzat-felhasználási ütemterve</t>
    </r>
  </si>
  <si>
    <t>2018. évi költségvetési kiadásainak részletezése kormányzati funkciók szerint</t>
  </si>
  <si>
    <t xml:space="preserve">      2. Ingatlanok értékesítése</t>
  </si>
  <si>
    <r>
      <t xml:space="preserve">          Balatonföldvári Keleti strand családbarát fejlesztése BTSP-1.1.2016 </t>
    </r>
    <r>
      <rPr>
        <sz val="9"/>
        <rFont val="Times New Roman"/>
        <family val="1"/>
      </rPr>
      <t>(elszámolás alapján, előlegen felül)</t>
    </r>
  </si>
  <si>
    <t>Csigaház előtti tér rendezése (tervezés)</t>
  </si>
  <si>
    <t>Posta melletti játszótér kialakítása (tervezés)</t>
  </si>
  <si>
    <t>Kwassay sétány pályázat (közbesz., műsz.ell.)
önerőből</t>
  </si>
  <si>
    <t>Villamosenergia közbeszerzés, szakértés</t>
  </si>
  <si>
    <t xml:space="preserve">         " Kulipintyó villa turisztikai hasznosítása" kivitelezés - zsaluk (önerőből)</t>
  </si>
  <si>
    <t xml:space="preserve">          "Nyugati strand turisztikai infrastruktúrájának fejl." (TOP-1.2.1-15-15-SO1-2016-00009)</t>
  </si>
  <si>
    <t xml:space="preserve">          "Zöld város program megvalósítása" (TOP-2.1.2-15-2016-00002)</t>
  </si>
  <si>
    <t xml:space="preserve">         " Nyugati strand turisztikai infrastruktúrájának fejl." kivitelezés (TOP-1.2.1-15-15-SO1-2016-00009)</t>
  </si>
  <si>
    <t xml:space="preserve">          "Hivatal épületének energetikai korszerűsítése" (TOP-3.2.1-15-SO-2016-00012)</t>
  </si>
  <si>
    <t>Közvilágítás korszerűsítés (tervezés)</t>
  </si>
  <si>
    <t>Járdák, utak jövőben lévő felújításához (tervezés)</t>
  </si>
  <si>
    <t xml:space="preserve">          1.6. Elszámolásból származó bevételek (állami támogatás elszámolás)</t>
  </si>
  <si>
    <t xml:space="preserve">          2.4. Pénzeszközátvétel Többcélú Társulástól (Hivatal)</t>
  </si>
  <si>
    <t xml:space="preserve">          3.3. Idegenforgalmi adó</t>
  </si>
  <si>
    <t xml:space="preserve">          1.2. Kommunális adó                                      </t>
  </si>
  <si>
    <t xml:space="preserve">          1.3. Telekadó                                                   </t>
  </si>
  <si>
    <t xml:space="preserve">                    Polgármesteri illetmény támogatása</t>
  </si>
  <si>
    <t>2017-ben 4062 e</t>
  </si>
  <si>
    <t xml:space="preserve">               Munka- és Tűzvédelmi Társulás tagdíj</t>
  </si>
  <si>
    <t xml:space="preserve">               Cafeteria átadás (Óvoda, PÜG)</t>
  </si>
  <si>
    <t xml:space="preserve">          2.5. Közfoglalkoztatás támogatása</t>
  </si>
  <si>
    <t xml:space="preserve">          2.6. Egyéb működési célú támogatások  (TV)</t>
  </si>
  <si>
    <t xml:space="preserve">             Polgárőr Egyesület ("Közbiztonság javítása" pályázati támogatás átadása)</t>
  </si>
  <si>
    <t xml:space="preserve">      2. Önkormányzati intézmények működési kiadásai (Közös Önkorm. Hivatal)</t>
  </si>
  <si>
    <t>BM támogatás közbiztonság javítására</t>
  </si>
  <si>
    <t xml:space="preserve">2017. évi pénzmaradvány részletezése </t>
  </si>
  <si>
    <t xml:space="preserve">        Strandokon Vöröskereszt elsősegély nyújtók étkezése (2-2 fő)</t>
  </si>
  <si>
    <t>Működési</t>
  </si>
  <si>
    <t>Felhalmozási</t>
  </si>
  <si>
    <t xml:space="preserve">                    ASP rendszer bevezetéséhez kapcsolódó egyszeri költségvetési támogatás</t>
  </si>
  <si>
    <t xml:space="preserve">                    2017. évről áthúzódó bérkompenzáció </t>
  </si>
  <si>
    <t>ASP egyszeri állami támogatás</t>
  </si>
  <si>
    <t>Átvett pénzeszközök (Szántódtól, TKT-tól, belső ellenőrzésre)</t>
  </si>
  <si>
    <t xml:space="preserve">     Egyéb személyi juttatás (bérkompenzáció, betegszabadság, szabadságmegváltás)</t>
  </si>
  <si>
    <t xml:space="preserve"> </t>
  </si>
  <si>
    <t>Beruházások</t>
  </si>
  <si>
    <t xml:space="preserve">   Szerver</t>
  </si>
  <si>
    <t xml:space="preserve">         2.1. Felhalmozási célú hitel BAHART részesedés növeléséhez</t>
  </si>
  <si>
    <t xml:space="preserve">           Gépbeszerzés pályázat támogatása</t>
  </si>
  <si>
    <t>Széchenyi, Vak Bottyán u. műszaki ell.</t>
  </si>
  <si>
    <t xml:space="preserve">        IFA bevallási szoftver rendszerkövetés</t>
  </si>
  <si>
    <t>Önk.</t>
  </si>
  <si>
    <t>BM út felújítás támogatás</t>
  </si>
  <si>
    <t>zöld város</t>
  </si>
  <si>
    <t>kulipintyó</t>
  </si>
  <si>
    <t>Ny. strand</t>
  </si>
  <si>
    <t>Városháza</t>
  </si>
  <si>
    <t>előleg</t>
  </si>
  <si>
    <t>br.</t>
  </si>
  <si>
    <t>Zöld város projekt</t>
  </si>
  <si>
    <t>Kulipintyó projekt</t>
  </si>
  <si>
    <t>Nyugati strand projekt</t>
  </si>
  <si>
    <t>leutalt</t>
  </si>
  <si>
    <t>2017-ben</t>
  </si>
  <si>
    <t>még várható
támogatás 2018-ban</t>
  </si>
  <si>
    <t>módosított szerz.
 szerinti tám.</t>
  </si>
  <si>
    <t>konz. parnter 
támogatása</t>
  </si>
  <si>
    <t>Támogatás 
összesen</t>
  </si>
  <si>
    <t xml:space="preserve">      3. Felhalmozási célú visszatérítendő támogatások, kölcsönök visszatérülése</t>
  </si>
  <si>
    <t xml:space="preserve">      4. Felhalmozási célú visszatérítendő támogatások, kölcsönök igénybevétele</t>
  </si>
  <si>
    <t xml:space="preserve">      5. Egyéb felhalmozási célú támogatások</t>
  </si>
  <si>
    <t xml:space="preserve">        Városi honlap rendszerkövetés</t>
  </si>
  <si>
    <t xml:space="preserve">        Kártyarendszer </t>
  </si>
  <si>
    <t xml:space="preserve">           Önkormányzati feladatellátás támogatása (Széchenyi utca járda és Vak Bottyán u. felújítása)</t>
  </si>
  <si>
    <t xml:space="preserve">              Széchenyi utca járda és Vak Bottyán u. felújítása (támogatás: 14 122 e Ft)</t>
  </si>
  <si>
    <t xml:space="preserve">           Humán szolgáltatások fejlesztése (konzorciumi pályázat EFOP-1.5.2.-16)</t>
  </si>
  <si>
    <t xml:space="preserve">        Vagyonkataszter felmérés, felülvizsgálat</t>
  </si>
  <si>
    <t>Állami támogatás (22,03 fő)</t>
  </si>
  <si>
    <t>011130 Önk. igazgatási tevékenysége</t>
  </si>
  <si>
    <t xml:space="preserve">    Egyéb személyi juttatás (bérkomp., betegszabi, táppénz)</t>
  </si>
  <si>
    <r>
      <t xml:space="preserve">        Önerős, hazai beruházásokhoz kapcsolódó dologi
        kiadások </t>
    </r>
    <r>
      <rPr>
        <sz val="8"/>
        <rFont val="Times New Roman"/>
        <family val="1"/>
      </rPr>
      <t>* részletezve alább</t>
    </r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</si>
  <si>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</si>
  <si>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</si>
  <si>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</si>
  <si>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</si>
  <si>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</si>
  <si>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</si>
  <si>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</si>
  <si>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</si>
  <si>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</si>
  <si>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</si>
  <si>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</si>
  <si>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</si>
  <si>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</si>
  <si>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</si>
  <si>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</si>
  <si>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</si>
  <si>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</si>
  <si>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</si>
  <si>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</si>
  <si>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</si>
  <si>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</si>
  <si>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</si>
  <si>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</si>
  <si>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</si>
  <si>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</si>
  <si>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</si>
  <si>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</si>
  <si>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</si>
  <si>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</si>
  <si>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</si>
  <si>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</si>
  <si>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EU-s pályázati projektekhez kapcsolódó dologi
        kiadások **  7 .sz. melléklet szerint</t>
  </si>
  <si>
    <t xml:space="preserve">        ASP migráció (Közinformatika, E-szoftverfejlesztő)</t>
  </si>
  <si>
    <t xml:space="preserve">        ASP migráció előkészítés (OPAL Rendszerház)</t>
  </si>
  <si>
    <t xml:space="preserve">         " Kulipintyó villa turisztikai hasznosítása" kivitelezés + eszköz  (TOP-1.2.1-15-15-SO1-2016-00008)</t>
  </si>
  <si>
    <t xml:space="preserve">         " Hivatal épületének energetikai korszerűsítése" (TOP-3.2.1-15-SO-2016-00012)</t>
  </si>
  <si>
    <t xml:space="preserve">        Fapótlások</t>
  </si>
  <si>
    <t>Nonprof.</t>
  </si>
  <si>
    <t xml:space="preserve">                     Közterületek, utak fenntartása (GAMESZ)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</si>
  <si>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</si>
  <si>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</si>
  <si>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   TDM Egyesület (működés + kártyarendszer működtetés)</t>
  </si>
  <si>
    <t xml:space="preserve">             Földvár Fieszta rendezvény támogatása </t>
  </si>
  <si>
    <t xml:space="preserve">          "Balatonföldvár zöld város program megvalósítása" (TOP-2.1.2-15-2016-00002) építés 50%-a 2018-ban</t>
  </si>
  <si>
    <t xml:space="preserve">          "Balatonföldvár zöld város program megvalósítása" (TOP-2.1.2-15-2016-00002) építés 50%-a 2019-ben</t>
  </si>
  <si>
    <t xml:space="preserve">         2.2. Felhalmozási célú hitel Nyugati strand opcionális fejlesztéséhez, parkolók kialakításához</t>
  </si>
  <si>
    <t xml:space="preserve">            Felhalmozási célra elkülönített tartalék (további évek, út- és járdafejlesztési program)</t>
  </si>
  <si>
    <t xml:space="preserve">      1. Egyéb működési célú átvett pénzeszközök (kártya értékesítés bevétele (5+20 millió Ft))</t>
  </si>
  <si>
    <t xml:space="preserve">      1.3.  Meglévő részesedések növeléséhez kapcsolódó kiadások (BAHART)</t>
  </si>
  <si>
    <t xml:space="preserve">              Gépbeszerzés pályázat</t>
  </si>
  <si>
    <t>BG+ Kul.</t>
  </si>
  <si>
    <t xml:space="preserve">               Évközi állami támogatás módosítás miatti várható átadás (óvoda)</t>
  </si>
  <si>
    <r>
      <t xml:space="preserve">               Bérkompenzáció, </t>
    </r>
    <r>
      <rPr>
        <b/>
        <sz val="10"/>
        <rFont val="Times New Roman"/>
        <family val="1"/>
      </rPr>
      <t>ágazati pótlék</t>
    </r>
  </si>
  <si>
    <t xml:space="preserve">          2.7.  Évközi állami támogatás módosítás miatti átadás (óvoda)</t>
  </si>
  <si>
    <t xml:space="preserve">            Céltartalékként ebből: 2018. évi állami támogatás korrekció 
                                                 TKT szoc. házi segítségnyújtás ellátotti létszám változás miatt)</t>
  </si>
  <si>
    <t xml:space="preserve">     Megbízási díj (1 fő 4 órában, iktatóban betanulás, kezdeti többletfeladatok 4 hó)</t>
  </si>
  <si>
    <t xml:space="preserve">   Számítástechnikai szoftverek, egyéb tárgyi eszközök beszerzése </t>
  </si>
  <si>
    <t>mód.ei   2018</t>
  </si>
  <si>
    <t>Nyilvános wc építés műszaki ellenőrzés</t>
  </si>
  <si>
    <t xml:space="preserve">              Zsolnay pirogránit kerámia stáció felirat (14 db)</t>
  </si>
  <si>
    <t xml:space="preserve">        Szúnyogirtás</t>
  </si>
  <si>
    <t>EFOP 1.5.2. 
projekt</t>
  </si>
  <si>
    <t xml:space="preserve">        Iskolai honlap készítés</t>
  </si>
  <si>
    <t xml:space="preserve">              Kelta túra táblák készítése (8 db)</t>
  </si>
  <si>
    <t xml:space="preserve">     Alkalmazottak illetménye, illetménykiegészítése (32+3+2 fő)</t>
  </si>
  <si>
    <t xml:space="preserve">        Munkaruha, egyenruha</t>
  </si>
  <si>
    <t xml:space="preserve">             Közös Önkormányzati Hivatal (szoftverek, szerver, egyéb tárgyi eszk. beszerzés)</t>
  </si>
  <si>
    <t>2018. évi adósságot keletkeztető ügyleteiből eredő fizetési kötelezettségek, várható saját bevételek</t>
  </si>
  <si>
    <t>2021 és 
további évek</t>
  </si>
  <si>
    <t>2018. évi Európai Uniós forrásból finanszírozott támogatással megvalósuló projektek kiadásai, 
projekt megvalósításhoz történő önkormányzati hozzájárulásai</t>
  </si>
  <si>
    <t>2018-2021. évi gördülő tervezése</t>
  </si>
  <si>
    <t>2018. évi költségvetés érintő kiadás</t>
  </si>
  <si>
    <t>9. melléklet</t>
  </si>
  <si>
    <t>11. melléklet</t>
  </si>
  <si>
    <t>13/1. melléklet</t>
  </si>
  <si>
    <t>13/2. melléklet</t>
  </si>
  <si>
    <t xml:space="preserve">        Kilátó tábla</t>
  </si>
  <si>
    <t xml:space="preserve">        Kilátó tábla kihelyezés</t>
  </si>
  <si>
    <t xml:space="preserve">    Célcsoport természetbeni juttatása</t>
  </si>
  <si>
    <t xml:space="preserve">        Helyi emberi erőforrás fejlesztési terv költsége</t>
  </si>
  <si>
    <t xml:space="preserve">        Közbeszerzési szakértői díj</t>
  </si>
  <si>
    <t xml:space="preserve">    Pr. menedzsment költség (EFOP)</t>
  </si>
  <si>
    <t xml:space="preserve">    Szakmai megvalósításban közreműködők bérköltsége (EFOP)</t>
  </si>
  <si>
    <t xml:space="preserve">        Oktatási anyagok</t>
  </si>
  <si>
    <t xml:space="preserve">        Célcsoport toborzása</t>
  </si>
  <si>
    <t xml:space="preserve">        Képzések, tréningek</t>
  </si>
  <si>
    <t>Közterület felügyelet
2018.06.01-től</t>
  </si>
  <si>
    <t xml:space="preserve">             Bajcsy-Zs. u., Vak Bottyán u. parkolók kialakítása</t>
  </si>
  <si>
    <t xml:space="preserve">             Nyugati strand önerős fejlesztése</t>
  </si>
  <si>
    <t>Működési költségvetési bevételek</t>
  </si>
  <si>
    <t>Felhalmozási célú költségvetési bevételek</t>
  </si>
  <si>
    <t>létszám</t>
  </si>
  <si>
    <t>2021. évi eredeti előirányzat</t>
  </si>
  <si>
    <t>2018. évi költségvetés érintő önerő összege</t>
  </si>
  <si>
    <t>Balatonföldvári önkormányzati hivatal épületének energetikai korszerűsítése</t>
  </si>
  <si>
    <t>EFOP-1.5.2.-16-2017-00005</t>
  </si>
  <si>
    <t>Humán közszolgáltatások fejlesztése Balatonföldvár és térségében</t>
  </si>
  <si>
    <t>Projekt összköltség
(Bföldvárra jutó)
további a konzorciumi partnereknél</t>
  </si>
  <si>
    <t>EU-s pályázati projektek részletezése</t>
  </si>
  <si>
    <t>2017 és korábbi évek</t>
  </si>
  <si>
    <t>Fejlesztési célú hitel (BAHART tőkeemelés)</t>
  </si>
  <si>
    <t>Parkolók, nyugati strand fejlesztés</t>
  </si>
  <si>
    <t xml:space="preserve">      1. Felhalmozási célú pénzeszközátadás Nonprofit Kft. részére</t>
  </si>
  <si>
    <t xml:space="preserve">   Felhalmozási célú pénzeszközátadás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</si>
</sst>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sz val="7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9"/>
      <name val="Arial CE"/>
      <family val="0"/>
    </font>
    <font>
      <b/>
      <i/>
      <sz val="8"/>
      <name val="Arial CE"/>
      <family val="2"/>
    </font>
    <font>
      <i/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0"/>
      <name val="Arial CE"/>
      <family val="0"/>
    </font>
    <font>
      <sz val="10"/>
      <color theme="0"/>
      <name val="Arial CE"/>
      <family val="0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Arial CE"/>
      <family val="0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2" borderId="7" applyNumberFormat="0" applyFont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</cellStyleXfs>
  <cellXfs count="11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2" fillId="33" borderId="0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2" fillId="0" borderId="0" xfId="0" applyFont="1" applyAlignment="1">
      <alignment horizontal="right"/>
    </xf>
    <xf numFmtId="0" fontId="2" fillId="35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5" fillId="0" borderId="16" xfId="0" applyFont="1" applyBorder="1" applyAlignment="1">
      <alignment/>
    </xf>
    <xf numFmtId="0" fontId="2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22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10" xfId="4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1" xfId="42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14" fillId="36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 horizontal="center" wrapText="1"/>
    </xf>
    <xf numFmtId="9" fontId="13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19" xfId="0" applyFont="1" applyBorder="1" applyAlignment="1">
      <alignment horizontal="right"/>
    </xf>
    <xf numFmtId="0" fontId="5" fillId="34" borderId="2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left"/>
    </xf>
    <xf numFmtId="3" fontId="14" fillId="0" borderId="22" xfId="0" applyNumberFormat="1" applyFont="1" applyFill="1" applyBorder="1" applyAlignment="1">
      <alignment horizontal="left" vertical="center" wrapText="1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12" xfId="0" applyFont="1" applyBorder="1" applyAlignment="1">
      <alignment horizontal="left"/>
    </xf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0" fillId="35" borderId="0" xfId="0" applyFont="1" applyFill="1" applyAlignment="1">
      <alignment vertical="center"/>
    </xf>
    <xf numFmtId="3" fontId="10" fillId="35" borderId="0" xfId="0" applyNumberFormat="1" applyFont="1" applyFill="1" applyAlignment="1">
      <alignment horizontal="center" vertical="center"/>
    </xf>
    <xf numFmtId="3" fontId="11" fillId="35" borderId="0" xfId="0" applyNumberFormat="1" applyFont="1" applyFill="1" applyAlignment="1">
      <alignment horizontal="center" vertical="center"/>
    </xf>
    <xf numFmtId="3" fontId="10" fillId="35" borderId="0" xfId="0" applyNumberFormat="1" applyFont="1" applyFill="1" applyAlignment="1">
      <alignment horizontal="right" vertical="center"/>
    </xf>
    <xf numFmtId="3" fontId="26" fillId="35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3" fontId="20" fillId="35" borderId="0" xfId="0" applyNumberFormat="1" applyFont="1" applyFill="1" applyBorder="1" applyAlignment="1">
      <alignment horizontal="right" vertical="center"/>
    </xf>
    <xf numFmtId="3" fontId="5" fillId="37" borderId="12" xfId="0" applyNumberFormat="1" applyFont="1" applyFill="1" applyBorder="1" applyAlignment="1">
      <alignment horizontal="left" vertical="center"/>
    </xf>
    <xf numFmtId="3" fontId="5" fillId="37" borderId="1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14" fillId="37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0" fillId="35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0" fontId="29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31" fillId="36" borderId="13" xfId="0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3" fontId="0" fillId="33" borderId="0" xfId="0" applyNumberFormat="1" applyFill="1" applyAlignment="1">
      <alignment/>
    </xf>
    <xf numFmtId="0" fontId="22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3" fillId="33" borderId="0" xfId="0" applyFont="1" applyFill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9" fillId="0" borderId="20" xfId="0" applyFont="1" applyBorder="1" applyAlignment="1">
      <alignment wrapText="1"/>
    </xf>
    <xf numFmtId="0" fontId="6" fillId="0" borderId="25" xfId="0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3" fontId="5" fillId="38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0" fillId="38" borderId="10" xfId="0" applyFill="1" applyBorder="1" applyAlignment="1">
      <alignment/>
    </xf>
    <xf numFmtId="0" fontId="35" fillId="38" borderId="10" xfId="0" applyFont="1" applyFill="1" applyBorder="1" applyAlignment="1">
      <alignment/>
    </xf>
    <xf numFmtId="0" fontId="14" fillId="36" borderId="25" xfId="0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right"/>
    </xf>
    <xf numFmtId="3" fontId="5" fillId="34" borderId="29" xfId="0" applyNumberFormat="1" applyFont="1" applyFill="1" applyBorder="1" applyAlignment="1">
      <alignment horizontal="right"/>
    </xf>
    <xf numFmtId="3" fontId="5" fillId="34" borderId="21" xfId="0" applyNumberFormat="1" applyFont="1" applyFill="1" applyBorder="1" applyAlignment="1">
      <alignment horizontal="right"/>
    </xf>
    <xf numFmtId="3" fontId="5" fillId="34" borderId="23" xfId="0" applyNumberFormat="1" applyFont="1" applyFill="1" applyBorder="1" applyAlignment="1">
      <alignment horizontal="right"/>
    </xf>
    <xf numFmtId="3" fontId="5" fillId="34" borderId="30" xfId="0" applyNumberFormat="1" applyFont="1" applyFill="1" applyBorder="1" applyAlignment="1">
      <alignment horizontal="right"/>
    </xf>
    <xf numFmtId="3" fontId="5" fillId="34" borderId="31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 horizontal="center" vertical="center" wrapText="1"/>
    </xf>
    <xf numFmtId="3" fontId="0" fillId="38" borderId="10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0" borderId="20" xfId="0" applyBorder="1" applyAlignment="1">
      <alignment wrapText="1"/>
    </xf>
    <xf numFmtId="3" fontId="5" fillId="36" borderId="0" xfId="0" applyNumberFormat="1" applyFont="1" applyFill="1" applyBorder="1" applyAlignment="1">
      <alignment vertical="center"/>
    </xf>
    <xf numFmtId="3" fontId="5" fillId="0" borderId="11" xfId="42" applyNumberFormat="1" applyFont="1" applyFill="1" applyBorder="1" applyAlignment="1">
      <alignment horizontal="right" vertical="center"/>
    </xf>
    <xf numFmtId="3" fontId="5" fillId="37" borderId="12" xfId="42" applyNumberFormat="1" applyFont="1" applyFill="1" applyBorder="1" applyAlignment="1">
      <alignment horizontal="right" vertical="center"/>
    </xf>
    <xf numFmtId="3" fontId="5" fillId="37" borderId="13" xfId="0" applyNumberFormat="1" applyFont="1" applyFill="1" applyBorder="1" applyAlignment="1">
      <alignment horizontal="left" vertical="center"/>
    </xf>
    <xf numFmtId="3" fontId="5" fillId="37" borderId="14" xfId="42" applyNumberFormat="1" applyFont="1" applyFill="1" applyBorder="1" applyAlignment="1">
      <alignment horizontal="right" vertical="center"/>
    </xf>
    <xf numFmtId="3" fontId="5" fillId="37" borderId="15" xfId="0" applyNumberFormat="1" applyFont="1" applyFill="1" applyBorder="1" applyAlignment="1">
      <alignment vertical="center"/>
    </xf>
    <xf numFmtId="3" fontId="5" fillId="37" borderId="14" xfId="42" applyNumberFormat="1" applyFont="1" applyFill="1" applyBorder="1" applyAlignment="1">
      <alignment horizontal="right" vertical="center"/>
    </xf>
    <xf numFmtId="3" fontId="5" fillId="37" borderId="15" xfId="42" applyNumberFormat="1" applyFont="1" applyFill="1" applyBorder="1" applyAlignment="1">
      <alignment horizontal="right" vertical="center"/>
    </xf>
    <xf numFmtId="3" fontId="2" fillId="0" borderId="12" xfId="42" applyNumberFormat="1" applyFont="1" applyFill="1" applyBorder="1" applyAlignment="1">
      <alignment horizontal="right" vertical="center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horizontal="left" vertical="center"/>
    </xf>
    <xf numFmtId="3" fontId="5" fillId="37" borderId="12" xfId="0" applyNumberFormat="1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/>
    </xf>
    <xf numFmtId="3" fontId="14" fillId="37" borderId="12" xfId="0" applyNumberFormat="1" applyFont="1" applyFill="1" applyBorder="1" applyAlignment="1">
      <alignment vertical="center"/>
    </xf>
    <xf numFmtId="3" fontId="5" fillId="37" borderId="14" xfId="0" applyNumberFormat="1" applyFont="1" applyFill="1" applyBorder="1" applyAlignment="1">
      <alignment vertical="center"/>
    </xf>
    <xf numFmtId="3" fontId="24" fillId="37" borderId="13" xfId="0" applyNumberFormat="1" applyFont="1" applyFill="1" applyBorder="1" applyAlignment="1">
      <alignment horizontal="left" vertical="center" wrapText="1"/>
    </xf>
    <xf numFmtId="3" fontId="24" fillId="37" borderId="14" xfId="0" applyNumberFormat="1" applyFont="1" applyFill="1" applyBorder="1" applyAlignment="1">
      <alignment vertical="center"/>
    </xf>
    <xf numFmtId="3" fontId="24" fillId="37" borderId="15" xfId="0" applyNumberFormat="1" applyFont="1" applyFill="1" applyBorder="1" applyAlignment="1">
      <alignment vertical="center"/>
    </xf>
    <xf numFmtId="3" fontId="5" fillId="0" borderId="10" xfId="42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5" fillId="37" borderId="10" xfId="42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left" vertical="center"/>
    </xf>
    <xf numFmtId="3" fontId="5" fillId="0" borderId="12" xfId="42" applyNumberFormat="1" applyFont="1" applyFill="1" applyBorder="1" applyAlignment="1">
      <alignment horizontal="right" vertical="center"/>
    </xf>
    <xf numFmtId="3" fontId="5" fillId="37" borderId="15" xfId="42" applyNumberFormat="1" applyFont="1" applyFill="1" applyBorder="1" applyAlignment="1">
      <alignment horizontal="right" vertical="center"/>
    </xf>
    <xf numFmtId="3" fontId="10" fillId="35" borderId="0" xfId="0" applyNumberFormat="1" applyFont="1" applyFill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36" borderId="32" xfId="0" applyNumberFormat="1" applyFont="1" applyFill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3" fontId="5" fillId="39" borderId="34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22" fillId="35" borderId="0" xfId="0" applyFont="1" applyFill="1" applyAlignment="1">
      <alignment/>
    </xf>
    <xf numFmtId="0" fontId="29" fillId="33" borderId="0" xfId="0" applyFont="1" applyFill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4" fillId="0" borderId="37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6" fillId="0" borderId="37" xfId="0" applyFont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3" fillId="38" borderId="13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3" fillId="38" borderId="38" xfId="0" applyFont="1" applyFill="1" applyBorder="1" applyAlignment="1">
      <alignment horizontal="center" vertical="center" wrapText="1"/>
    </xf>
    <xf numFmtId="0" fontId="26" fillId="38" borderId="3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38" borderId="11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0" fontId="7" fillId="38" borderId="13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3" fontId="5" fillId="38" borderId="12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3" fillId="38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3" fontId="27" fillId="0" borderId="26" xfId="0" applyNumberFormat="1" applyFont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2" fillId="36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3" fontId="5" fillId="40" borderId="15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 horizontal="left" wrapText="1"/>
    </xf>
    <xf numFmtId="0" fontId="27" fillId="34" borderId="2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32" fillId="36" borderId="24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/>
    </xf>
    <xf numFmtId="3" fontId="7" fillId="34" borderId="14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/>
    </xf>
    <xf numFmtId="0" fontId="2" fillId="0" borderId="11" xfId="0" applyFont="1" applyBorder="1" applyAlignment="1">
      <alignment horizontal="left" wrapText="1"/>
    </xf>
    <xf numFmtId="3" fontId="15" fillId="0" borderId="14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6" fillId="38" borderId="12" xfId="0" applyNumberFormat="1" applyFont="1" applyFill="1" applyBorder="1" applyAlignment="1">
      <alignment horizontal="right"/>
    </xf>
    <xf numFmtId="3" fontId="6" fillId="38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31" fillId="38" borderId="4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3" fontId="1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27" fillId="34" borderId="2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3" fontId="1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40" fillId="0" borderId="0" xfId="0" applyNumberFormat="1" applyFont="1" applyAlignment="1">
      <alignment/>
    </xf>
    <xf numFmtId="0" fontId="40" fillId="40" borderId="39" xfId="0" applyFont="1" applyFill="1" applyBorder="1" applyAlignment="1">
      <alignment/>
    </xf>
    <xf numFmtId="3" fontId="0" fillId="40" borderId="33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8" borderId="42" xfId="0" applyFont="1" applyFill="1" applyBorder="1" applyAlignment="1">
      <alignment horizontal="left"/>
    </xf>
    <xf numFmtId="3" fontId="3" fillId="38" borderId="43" xfId="0" applyNumberFormat="1" applyFont="1" applyFill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05" fillId="35" borderId="0" xfId="0" applyFont="1" applyFill="1" applyAlignment="1">
      <alignment/>
    </xf>
    <xf numFmtId="0" fontId="5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0" fillId="40" borderId="44" xfId="0" applyNumberFormat="1" applyFill="1" applyBorder="1" applyAlignment="1">
      <alignment/>
    </xf>
    <xf numFmtId="0" fontId="4" fillId="38" borderId="17" xfId="0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27" fillId="0" borderId="20" xfId="0" applyFont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3" fontId="39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4" fillId="36" borderId="18" xfId="0" applyNumberFormat="1" applyFont="1" applyFill="1" applyBorder="1" applyAlignment="1">
      <alignment horizontal="center" vertical="center"/>
    </xf>
    <xf numFmtId="3" fontId="14" fillId="36" borderId="18" xfId="0" applyNumberFormat="1" applyFont="1" applyFill="1" applyBorder="1" applyAlignment="1">
      <alignment horizontal="center" vertical="center"/>
    </xf>
    <xf numFmtId="3" fontId="14" fillId="36" borderId="18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/>
    </xf>
    <xf numFmtId="0" fontId="2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18" fillId="35" borderId="0" xfId="59" applyFill="1">
      <alignment/>
      <protection/>
    </xf>
    <xf numFmtId="0" fontId="43" fillId="35" borderId="0" xfId="59" applyFont="1" applyFill="1">
      <alignment/>
      <protection/>
    </xf>
    <xf numFmtId="3" fontId="18" fillId="0" borderId="0" xfId="59" applyNumberFormat="1">
      <alignment/>
      <protection/>
    </xf>
    <xf numFmtId="0" fontId="18" fillId="0" borderId="0" xfId="59">
      <alignment/>
      <protection/>
    </xf>
    <xf numFmtId="0" fontId="43" fillId="35" borderId="0" xfId="59" applyFont="1" applyFill="1" applyBorder="1">
      <alignment/>
      <protection/>
    </xf>
    <xf numFmtId="3" fontId="19" fillId="35" borderId="0" xfId="59" applyNumberFormat="1" applyFont="1" applyFill="1">
      <alignment/>
      <protection/>
    </xf>
    <xf numFmtId="0" fontId="18" fillId="35" borderId="0" xfId="59" applyFont="1" applyFill="1" applyAlignment="1">
      <alignment horizontal="right"/>
      <protection/>
    </xf>
    <xf numFmtId="0" fontId="44" fillId="37" borderId="45" xfId="59" applyFont="1" applyFill="1" applyBorder="1" applyAlignment="1">
      <alignment horizontal="center" vertical="center" wrapText="1"/>
      <protection/>
    </xf>
    <xf numFmtId="0" fontId="44" fillId="37" borderId="46" xfId="59" applyFont="1" applyFill="1" applyBorder="1" applyAlignment="1">
      <alignment horizontal="center" vertical="center" wrapText="1"/>
      <protection/>
    </xf>
    <xf numFmtId="0" fontId="44" fillId="37" borderId="47" xfId="59" applyFont="1" applyFill="1" applyBorder="1" applyAlignment="1">
      <alignment horizontal="center" vertical="center" wrapText="1"/>
      <protection/>
    </xf>
    <xf numFmtId="0" fontId="44" fillId="37" borderId="38" xfId="59" applyFont="1" applyFill="1" applyBorder="1" applyAlignment="1">
      <alignment horizontal="center" vertical="center" wrapText="1"/>
      <protection/>
    </xf>
    <xf numFmtId="0" fontId="43" fillId="37" borderId="45" xfId="59" applyFont="1" applyFill="1" applyBorder="1" applyAlignment="1">
      <alignment horizontal="center" vertical="center" wrapText="1"/>
      <protection/>
    </xf>
    <xf numFmtId="0" fontId="43" fillId="37" borderId="46" xfId="59" applyFont="1" applyFill="1" applyBorder="1" applyAlignment="1">
      <alignment horizontal="center" vertical="center" wrapText="1"/>
      <protection/>
    </xf>
    <xf numFmtId="0" fontId="43" fillId="37" borderId="47" xfId="59" applyFont="1" applyFill="1" applyBorder="1" applyAlignment="1">
      <alignment horizontal="center" vertical="center" wrapText="1"/>
      <protection/>
    </xf>
    <xf numFmtId="0" fontId="43" fillId="37" borderId="38" xfId="59" applyFont="1" applyFill="1" applyBorder="1" applyAlignment="1">
      <alignment horizontal="center" vertical="center" wrapText="1"/>
      <protection/>
    </xf>
    <xf numFmtId="3" fontId="45" fillId="0" borderId="0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18" fillId="0" borderId="0" xfId="59" applyAlignment="1">
      <alignment horizontal="center" vertical="center"/>
      <protection/>
    </xf>
    <xf numFmtId="0" fontId="43" fillId="37" borderId="48" xfId="59" applyFont="1" applyFill="1" applyBorder="1">
      <alignment/>
      <protection/>
    </xf>
    <xf numFmtId="3" fontId="18" fillId="0" borderId="49" xfId="59" applyNumberFormat="1" applyBorder="1">
      <alignment/>
      <protection/>
    </xf>
    <xf numFmtId="3" fontId="18" fillId="0" borderId="37" xfId="59" applyNumberFormat="1" applyFont="1" applyBorder="1">
      <alignment/>
      <protection/>
    </xf>
    <xf numFmtId="3" fontId="18" fillId="0" borderId="12" xfId="59" applyNumberFormat="1" applyFont="1" applyBorder="1">
      <alignment/>
      <protection/>
    </xf>
    <xf numFmtId="3" fontId="18" fillId="0" borderId="12" xfId="59" applyNumberFormat="1" applyBorder="1">
      <alignment/>
      <protection/>
    </xf>
    <xf numFmtId="3" fontId="18" fillId="0" borderId="32" xfId="59" applyNumberFormat="1" applyBorder="1">
      <alignment/>
      <protection/>
    </xf>
    <xf numFmtId="3" fontId="43" fillId="0" borderId="49" xfId="59" applyNumberFormat="1" applyFont="1" applyBorder="1">
      <alignment/>
      <protection/>
    </xf>
    <xf numFmtId="0" fontId="43" fillId="37" borderId="50" xfId="59" applyFont="1" applyFill="1" applyBorder="1">
      <alignment/>
      <protection/>
    </xf>
    <xf numFmtId="3" fontId="18" fillId="0" borderId="36" xfId="59" applyNumberFormat="1" applyBorder="1">
      <alignment/>
      <protection/>
    </xf>
    <xf numFmtId="3" fontId="43" fillId="37" borderId="49" xfId="59" applyNumberFormat="1" applyFont="1" applyFill="1" applyBorder="1">
      <alignment/>
      <protection/>
    </xf>
    <xf numFmtId="3" fontId="19" fillId="0" borderId="50" xfId="59" applyNumberFormat="1" applyFont="1" applyBorder="1">
      <alignment/>
      <protection/>
    </xf>
    <xf numFmtId="3" fontId="19" fillId="0" borderId="0" xfId="59" applyNumberFormat="1" applyFont="1" applyFill="1" applyBorder="1">
      <alignment/>
      <protection/>
    </xf>
    <xf numFmtId="1" fontId="18" fillId="0" borderId="0" xfId="59" applyNumberFormat="1" applyFill="1" applyBorder="1">
      <alignment/>
      <protection/>
    </xf>
    <xf numFmtId="3" fontId="18" fillId="37" borderId="12" xfId="59" applyNumberFormat="1" applyFill="1" applyBorder="1">
      <alignment/>
      <protection/>
    </xf>
    <xf numFmtId="0" fontId="43" fillId="37" borderId="51" xfId="59" applyFont="1" applyFill="1" applyBorder="1">
      <alignment/>
      <protection/>
    </xf>
    <xf numFmtId="3" fontId="18" fillId="0" borderId="52" xfId="59" applyNumberFormat="1" applyBorder="1">
      <alignment/>
      <protection/>
    </xf>
    <xf numFmtId="0" fontId="43" fillId="37" borderId="52" xfId="59" applyFont="1" applyFill="1" applyBorder="1">
      <alignment/>
      <protection/>
    </xf>
    <xf numFmtId="3" fontId="18" fillId="0" borderId="10" xfId="59" applyNumberFormat="1" applyBorder="1">
      <alignment/>
      <protection/>
    </xf>
    <xf numFmtId="3" fontId="19" fillId="0" borderId="52" xfId="59" applyNumberFormat="1" applyFont="1" applyBorder="1">
      <alignment/>
      <protection/>
    </xf>
    <xf numFmtId="0" fontId="18" fillId="0" borderId="0" xfId="59" applyBorder="1">
      <alignment/>
      <protection/>
    </xf>
    <xf numFmtId="3" fontId="18" fillId="37" borderId="10" xfId="59" applyNumberFormat="1" applyFill="1" applyBorder="1">
      <alignment/>
      <protection/>
    </xf>
    <xf numFmtId="1" fontId="18" fillId="0" borderId="0" xfId="59" applyNumberFormat="1" applyFont="1" applyFill="1" applyBorder="1">
      <alignment/>
      <protection/>
    </xf>
    <xf numFmtId="0" fontId="46" fillId="0" borderId="0" xfId="59" applyFont="1">
      <alignment/>
      <protection/>
    </xf>
    <xf numFmtId="1" fontId="18" fillId="0" borderId="0" xfId="59" applyNumberFormat="1" applyBorder="1">
      <alignment/>
      <protection/>
    </xf>
    <xf numFmtId="0" fontId="43" fillId="37" borderId="16" xfId="59" applyFont="1" applyFill="1" applyBorder="1">
      <alignment/>
      <protection/>
    </xf>
    <xf numFmtId="3" fontId="18" fillId="0" borderId="10" xfId="59" applyNumberFormat="1" applyFont="1" applyBorder="1">
      <alignment/>
      <protection/>
    </xf>
    <xf numFmtId="3" fontId="18" fillId="0" borderId="16" xfId="59" applyNumberFormat="1" applyBorder="1">
      <alignment/>
      <protection/>
    </xf>
    <xf numFmtId="3" fontId="43" fillId="0" borderId="52" xfId="59" applyNumberFormat="1" applyFont="1" applyBorder="1">
      <alignment/>
      <protection/>
    </xf>
    <xf numFmtId="3" fontId="18" fillId="0" borderId="37" xfId="59" applyNumberFormat="1" applyBorder="1">
      <alignment/>
      <protection/>
    </xf>
    <xf numFmtId="3" fontId="43" fillId="37" borderId="52" xfId="59" applyNumberFormat="1" applyFont="1" applyFill="1" applyBorder="1">
      <alignment/>
      <protection/>
    </xf>
    <xf numFmtId="0" fontId="18" fillId="0" borderId="0" xfId="59" applyFill="1" applyBorder="1">
      <alignment/>
      <protection/>
    </xf>
    <xf numFmtId="0" fontId="43" fillId="37" borderId="53" xfId="59" applyFont="1" applyFill="1" applyBorder="1">
      <alignment/>
      <protection/>
    </xf>
    <xf numFmtId="3" fontId="43" fillId="37" borderId="54" xfId="59" applyNumberFormat="1" applyFont="1" applyFill="1" applyBorder="1">
      <alignment/>
      <protection/>
    </xf>
    <xf numFmtId="3" fontId="43" fillId="37" borderId="45" xfId="59" applyNumberFormat="1" applyFont="1" applyFill="1" applyBorder="1">
      <alignment/>
      <protection/>
    </xf>
    <xf numFmtId="3" fontId="43" fillId="37" borderId="46" xfId="59" applyNumberFormat="1" applyFont="1" applyFill="1" applyBorder="1">
      <alignment/>
      <protection/>
    </xf>
    <xf numFmtId="3" fontId="43" fillId="37" borderId="55" xfId="59" applyNumberFormat="1" applyFont="1" applyFill="1" applyBorder="1">
      <alignment/>
      <protection/>
    </xf>
    <xf numFmtId="0" fontId="43" fillId="37" borderId="54" xfId="59" applyFont="1" applyFill="1" applyBorder="1">
      <alignment/>
      <protection/>
    </xf>
    <xf numFmtId="3" fontId="43" fillId="37" borderId="47" xfId="59" applyNumberFormat="1" applyFont="1" applyFill="1" applyBorder="1">
      <alignment/>
      <protection/>
    </xf>
    <xf numFmtId="3" fontId="45" fillId="37" borderId="54" xfId="59" applyNumberFormat="1" applyFont="1" applyFill="1" applyBorder="1">
      <alignment/>
      <protection/>
    </xf>
    <xf numFmtId="3" fontId="19" fillId="0" borderId="0" xfId="59" applyNumberFormat="1" applyFont="1" applyBorder="1">
      <alignment/>
      <protection/>
    </xf>
    <xf numFmtId="0" fontId="43" fillId="0" borderId="0" xfId="59" applyFont="1" applyFill="1" applyBorder="1">
      <alignment/>
      <protection/>
    </xf>
    <xf numFmtId="3" fontId="43" fillId="0" borderId="0" xfId="59" applyNumberFormat="1" applyFont="1" applyFill="1" applyBorder="1">
      <alignment/>
      <protection/>
    </xf>
    <xf numFmtId="3" fontId="45" fillId="0" borderId="0" xfId="59" applyNumberFormat="1" applyFont="1" applyFill="1" applyBorder="1">
      <alignment/>
      <protection/>
    </xf>
    <xf numFmtId="0" fontId="18" fillId="0" borderId="0" xfId="59" applyFill="1">
      <alignment/>
      <protection/>
    </xf>
    <xf numFmtId="3" fontId="18" fillId="37" borderId="56" xfId="59" applyNumberFormat="1" applyFont="1" applyFill="1" applyBorder="1">
      <alignment/>
      <protection/>
    </xf>
    <xf numFmtId="3" fontId="18" fillId="37" borderId="31" xfId="59" applyNumberFormat="1" applyFont="1" applyFill="1" applyBorder="1">
      <alignment/>
      <protection/>
    </xf>
    <xf numFmtId="3" fontId="18" fillId="37" borderId="57" xfId="59" applyNumberFormat="1" applyFont="1" applyFill="1" applyBorder="1">
      <alignment/>
      <protection/>
    </xf>
    <xf numFmtId="3" fontId="43" fillId="37" borderId="50" xfId="59" applyNumberFormat="1" applyFont="1" applyFill="1" applyBorder="1">
      <alignment/>
      <protection/>
    </xf>
    <xf numFmtId="3" fontId="19" fillId="0" borderId="58" xfId="59" applyNumberFormat="1" applyFont="1" applyFill="1" applyBorder="1">
      <alignment/>
      <protection/>
    </xf>
    <xf numFmtId="3" fontId="18" fillId="0" borderId="0" xfId="59" applyNumberFormat="1" applyFill="1" applyBorder="1">
      <alignment/>
      <protection/>
    </xf>
    <xf numFmtId="3" fontId="18" fillId="0" borderId="37" xfId="59" applyNumberFormat="1" applyFont="1" applyFill="1" applyBorder="1">
      <alignment/>
      <protection/>
    </xf>
    <xf numFmtId="3" fontId="18" fillId="0" borderId="10" xfId="59" applyNumberFormat="1" applyFont="1" applyFill="1" applyBorder="1">
      <alignment/>
      <protection/>
    </xf>
    <xf numFmtId="3" fontId="18" fillId="0" borderId="16" xfId="59" applyNumberFormat="1" applyFont="1" applyFill="1" applyBorder="1">
      <alignment/>
      <protection/>
    </xf>
    <xf numFmtId="3" fontId="43" fillId="0" borderId="52" xfId="59" applyNumberFormat="1" applyFont="1" applyFill="1" applyBorder="1">
      <alignment/>
      <protection/>
    </xf>
    <xf numFmtId="3" fontId="19" fillId="0" borderId="59" xfId="59" applyNumberFormat="1" applyFont="1" applyFill="1" applyBorder="1">
      <alignment/>
      <protection/>
    </xf>
    <xf numFmtId="3" fontId="18" fillId="37" borderId="11" xfId="59" applyNumberFormat="1" applyFill="1" applyBorder="1">
      <alignment/>
      <protection/>
    </xf>
    <xf numFmtId="0" fontId="43" fillId="37" borderId="38" xfId="59" applyFont="1" applyFill="1" applyBorder="1" applyAlignment="1">
      <alignment vertical="center"/>
      <protection/>
    </xf>
    <xf numFmtId="3" fontId="43" fillId="37" borderId="60" xfId="59" applyNumberFormat="1" applyFont="1" applyFill="1" applyBorder="1" applyAlignment="1">
      <alignment vertical="center"/>
      <protection/>
    </xf>
    <xf numFmtId="3" fontId="43" fillId="37" borderId="33" xfId="59" applyNumberFormat="1" applyFont="1" applyFill="1" applyBorder="1" applyAlignment="1">
      <alignment vertical="center"/>
      <protection/>
    </xf>
    <xf numFmtId="3" fontId="43" fillId="37" borderId="38" xfId="59" applyNumberFormat="1" applyFont="1" applyFill="1" applyBorder="1" applyAlignment="1">
      <alignment vertical="center"/>
      <protection/>
    </xf>
    <xf numFmtId="3" fontId="43" fillId="37" borderId="14" xfId="59" applyNumberFormat="1" applyFont="1" applyFill="1" applyBorder="1" applyAlignment="1">
      <alignment vertical="center"/>
      <protection/>
    </xf>
    <xf numFmtId="3" fontId="45" fillId="37" borderId="44" xfId="59" applyNumberFormat="1" applyFont="1" applyFill="1" applyBorder="1" applyAlignment="1">
      <alignment vertical="center"/>
      <protection/>
    </xf>
    <xf numFmtId="3" fontId="18" fillId="0" borderId="0" xfId="59" applyNumberFormat="1" applyFill="1" applyBorder="1" applyAlignment="1">
      <alignment vertical="center"/>
      <protection/>
    </xf>
    <xf numFmtId="0" fontId="18" fillId="0" borderId="0" xfId="59" applyBorder="1" applyAlignment="1">
      <alignment vertical="center"/>
      <protection/>
    </xf>
    <xf numFmtId="3" fontId="43" fillId="37" borderId="44" xfId="59" applyNumberFormat="1" applyFont="1" applyFill="1" applyBorder="1" applyAlignment="1">
      <alignment vertical="center"/>
      <protection/>
    </xf>
    <xf numFmtId="0" fontId="18" fillId="0" borderId="0" xfId="59" applyAlignment="1">
      <alignment vertical="center"/>
      <protection/>
    </xf>
    <xf numFmtId="0" fontId="18" fillId="0" borderId="0" xfId="59" applyFont="1" applyFill="1" applyBorder="1" applyAlignment="1">
      <alignment/>
      <protection/>
    </xf>
    <xf numFmtId="3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0" fontId="18" fillId="0" borderId="0" xfId="59" applyFill="1" applyBorder="1" applyAlignment="1">
      <alignment vertical="center"/>
      <protection/>
    </xf>
    <xf numFmtId="0" fontId="18" fillId="0" borderId="0" xfId="59" applyFill="1" applyAlignment="1">
      <alignment vertical="center"/>
      <protection/>
    </xf>
    <xf numFmtId="0" fontId="18" fillId="0" borderId="0" xfId="59" applyFont="1" applyFill="1" applyBorder="1">
      <alignment/>
      <protection/>
    </xf>
    <xf numFmtId="1" fontId="18" fillId="0" borderId="0" xfId="59" applyNumberFormat="1">
      <alignment/>
      <protection/>
    </xf>
    <xf numFmtId="4" fontId="18" fillId="0" borderId="0" xfId="59" applyNumberFormat="1">
      <alignment/>
      <protection/>
    </xf>
    <xf numFmtId="0" fontId="43" fillId="0" borderId="0" xfId="59" applyFont="1" applyBorder="1">
      <alignment/>
      <protection/>
    </xf>
    <xf numFmtId="0" fontId="43" fillId="0" borderId="0" xfId="59" applyFont="1">
      <alignment/>
      <protection/>
    </xf>
    <xf numFmtId="3" fontId="9" fillId="0" borderId="24" xfId="0" applyNumberFormat="1" applyFont="1" applyFill="1" applyBorder="1" applyAlignment="1">
      <alignment/>
    </xf>
    <xf numFmtId="3" fontId="18" fillId="0" borderId="61" xfId="59" applyNumberFormat="1" applyFill="1" applyBorder="1">
      <alignment/>
      <protection/>
    </xf>
    <xf numFmtId="3" fontId="18" fillId="0" borderId="16" xfId="59" applyNumberFormat="1" applyFill="1" applyBorder="1">
      <alignment/>
      <protection/>
    </xf>
    <xf numFmtId="3" fontId="18" fillId="0" borderId="12" xfId="59" applyNumberFormat="1" applyFont="1" applyFill="1" applyBorder="1">
      <alignment/>
      <protection/>
    </xf>
    <xf numFmtId="3" fontId="14" fillId="36" borderId="18" xfId="0" applyNumberFormat="1" applyFont="1" applyFill="1" applyBorder="1" applyAlignment="1">
      <alignment horizontal="center" vertical="center" wrapText="1"/>
    </xf>
    <xf numFmtId="3" fontId="24" fillId="37" borderId="14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left" vertical="center"/>
    </xf>
    <xf numFmtId="0" fontId="20" fillId="35" borderId="2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37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24" fillId="37" borderId="14" xfId="0" applyNumberFormat="1" applyFont="1" applyFill="1" applyBorder="1" applyAlignment="1">
      <alignment horizontal="right" vertical="center"/>
    </xf>
    <xf numFmtId="3" fontId="24" fillId="37" borderId="1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38" borderId="10" xfId="0" applyNumberFormat="1" applyFont="1" applyFill="1" applyBorder="1" applyAlignment="1">
      <alignment horizontal="right"/>
    </xf>
    <xf numFmtId="3" fontId="5" fillId="38" borderId="11" xfId="0" applyNumberFormat="1" applyFont="1" applyFill="1" applyBorder="1" applyAlignment="1">
      <alignment horizontal="right"/>
    </xf>
    <xf numFmtId="3" fontId="3" fillId="38" borderId="14" xfId="0" applyNumberFormat="1" applyFont="1" applyFill="1" applyBorder="1" applyAlignment="1">
      <alignment horizontal="right"/>
    </xf>
    <xf numFmtId="3" fontId="5" fillId="38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5" fillId="40" borderId="15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27" fillId="0" borderId="26" xfId="0" applyNumberFormat="1" applyFont="1" applyBorder="1" applyAlignment="1">
      <alignment/>
    </xf>
    <xf numFmtId="3" fontId="7" fillId="34" borderId="15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3" fontId="7" fillId="34" borderId="15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right"/>
    </xf>
    <xf numFmtId="3" fontId="3" fillId="34" borderId="15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2" fillId="40" borderId="10" xfId="0" applyNumberFormat="1" applyFont="1" applyFill="1" applyBorder="1" applyAlignment="1">
      <alignment/>
    </xf>
    <xf numFmtId="3" fontId="13" fillId="0" borderId="37" xfId="0" applyNumberFormat="1" applyFont="1" applyBorder="1" applyAlignment="1">
      <alignment vertical="center"/>
    </xf>
    <xf numFmtId="3" fontId="2" fillId="40" borderId="1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/>
    </xf>
    <xf numFmtId="0" fontId="106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7" fillId="35" borderId="0" xfId="0" applyFont="1" applyFill="1" applyAlignment="1">
      <alignment/>
    </xf>
    <xf numFmtId="3" fontId="26" fillId="0" borderId="12" xfId="0" applyNumberFormat="1" applyFont="1" applyFill="1" applyBorder="1" applyAlignment="1">
      <alignment horizontal="right"/>
    </xf>
    <xf numFmtId="0" fontId="5" fillId="40" borderId="13" xfId="0" applyFont="1" applyFill="1" applyBorder="1" applyAlignment="1">
      <alignment wrapText="1"/>
    </xf>
    <xf numFmtId="3" fontId="5" fillId="40" borderId="15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" fillId="34" borderId="15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7" fillId="0" borderId="12" xfId="0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3" fontId="108" fillId="0" borderId="10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wrapText="1"/>
    </xf>
    <xf numFmtId="3" fontId="20" fillId="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right"/>
    </xf>
    <xf numFmtId="0" fontId="27" fillId="0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wrapText="1"/>
    </xf>
    <xf numFmtId="3" fontId="20" fillId="0" borderId="62" xfId="0" applyNumberFormat="1" applyFont="1" applyBorder="1" applyAlignment="1">
      <alignment/>
    </xf>
    <xf numFmtId="0" fontId="25" fillId="0" borderId="0" xfId="0" applyFont="1" applyAlignment="1">
      <alignment/>
    </xf>
    <xf numFmtId="0" fontId="39" fillId="0" borderId="0" xfId="0" applyFont="1" applyAlignment="1">
      <alignment/>
    </xf>
    <xf numFmtId="9" fontId="25" fillId="0" borderId="0" xfId="0" applyNumberFormat="1" applyFont="1" applyAlignment="1">
      <alignment/>
    </xf>
    <xf numFmtId="0" fontId="18" fillId="35" borderId="0" xfId="60" applyFill="1">
      <alignment/>
      <protection/>
    </xf>
    <xf numFmtId="0" fontId="43" fillId="35" borderId="0" xfId="60" applyFont="1" applyFill="1">
      <alignment/>
      <protection/>
    </xf>
    <xf numFmtId="3" fontId="18" fillId="0" borderId="0" xfId="60" applyNumberFormat="1">
      <alignment/>
      <protection/>
    </xf>
    <xf numFmtId="0" fontId="18" fillId="0" borderId="0" xfId="60">
      <alignment/>
      <protection/>
    </xf>
    <xf numFmtId="0" fontId="43" fillId="35" borderId="0" xfId="60" applyFont="1" applyFill="1" applyBorder="1">
      <alignment/>
      <protection/>
    </xf>
    <xf numFmtId="3" fontId="19" fillId="35" borderId="0" xfId="60" applyNumberFormat="1" applyFont="1" applyFill="1">
      <alignment/>
      <protection/>
    </xf>
    <xf numFmtId="0" fontId="18" fillId="35" borderId="0" xfId="60" applyFont="1" applyFill="1" applyAlignment="1">
      <alignment horizontal="right"/>
      <protection/>
    </xf>
    <xf numFmtId="0" fontId="44" fillId="37" borderId="45" xfId="60" applyFont="1" applyFill="1" applyBorder="1" applyAlignment="1">
      <alignment horizontal="center" vertical="center" wrapText="1"/>
      <protection/>
    </xf>
    <xf numFmtId="0" fontId="44" fillId="37" borderId="46" xfId="60" applyFont="1" applyFill="1" applyBorder="1" applyAlignment="1">
      <alignment horizontal="center" vertical="center" wrapText="1"/>
      <protection/>
    </xf>
    <xf numFmtId="0" fontId="44" fillId="37" borderId="47" xfId="60" applyFont="1" applyFill="1" applyBorder="1" applyAlignment="1">
      <alignment horizontal="center" vertical="center" wrapText="1"/>
      <protection/>
    </xf>
    <xf numFmtId="0" fontId="44" fillId="37" borderId="38" xfId="60" applyFont="1" applyFill="1" applyBorder="1" applyAlignment="1">
      <alignment horizontal="center" vertical="center" wrapText="1"/>
      <protection/>
    </xf>
    <xf numFmtId="0" fontId="43" fillId="37" borderId="45" xfId="60" applyFont="1" applyFill="1" applyBorder="1" applyAlignment="1">
      <alignment horizontal="center" vertical="center" wrapText="1"/>
      <protection/>
    </xf>
    <xf numFmtId="0" fontId="18" fillId="0" borderId="0" xfId="60" applyAlignment="1">
      <alignment horizontal="center" vertical="center"/>
      <protection/>
    </xf>
    <xf numFmtId="0" fontId="43" fillId="37" borderId="46" xfId="60" applyFont="1" applyFill="1" applyBorder="1" applyAlignment="1">
      <alignment horizontal="center" vertical="center" wrapText="1"/>
      <protection/>
    </xf>
    <xf numFmtId="0" fontId="43" fillId="37" borderId="47" xfId="60" applyFont="1" applyFill="1" applyBorder="1" applyAlignment="1">
      <alignment horizontal="center" vertical="center" wrapText="1"/>
      <protection/>
    </xf>
    <xf numFmtId="0" fontId="43" fillId="37" borderId="38" xfId="60" applyFont="1" applyFill="1" applyBorder="1" applyAlignment="1">
      <alignment horizontal="center" vertical="center" wrapText="1"/>
      <protection/>
    </xf>
    <xf numFmtId="3" fontId="45" fillId="0" borderId="0" xfId="60" applyNumberFormat="1" applyFont="1" applyFill="1" applyBorder="1" applyAlignment="1">
      <alignment horizontal="center" vertical="center" wrapText="1"/>
      <protection/>
    </xf>
    <xf numFmtId="0" fontId="43" fillId="37" borderId="48" xfId="60" applyFont="1" applyFill="1" applyBorder="1">
      <alignment/>
      <protection/>
    </xf>
    <xf numFmtId="3" fontId="18" fillId="0" borderId="49" xfId="60" applyNumberFormat="1" applyBorder="1">
      <alignment/>
      <protection/>
    </xf>
    <xf numFmtId="3" fontId="18" fillId="0" borderId="37" xfId="60" applyNumberFormat="1" applyFont="1" applyBorder="1">
      <alignment/>
      <protection/>
    </xf>
    <xf numFmtId="3" fontId="18" fillId="0" borderId="12" xfId="60" applyNumberFormat="1" applyFont="1" applyBorder="1">
      <alignment/>
      <protection/>
    </xf>
    <xf numFmtId="3" fontId="18" fillId="0" borderId="12" xfId="60" applyNumberFormat="1" applyBorder="1">
      <alignment/>
      <protection/>
    </xf>
    <xf numFmtId="3" fontId="18" fillId="0" borderId="32" xfId="60" applyNumberFormat="1" applyBorder="1">
      <alignment/>
      <protection/>
    </xf>
    <xf numFmtId="3" fontId="43" fillId="0" borderId="49" xfId="60" applyNumberFormat="1" applyFont="1" applyBorder="1">
      <alignment/>
      <protection/>
    </xf>
    <xf numFmtId="0" fontId="43" fillId="37" borderId="50" xfId="60" applyFont="1" applyFill="1" applyBorder="1">
      <alignment/>
      <protection/>
    </xf>
    <xf numFmtId="3" fontId="18" fillId="0" borderId="36" xfId="60" applyNumberFormat="1" applyBorder="1">
      <alignment/>
      <protection/>
    </xf>
    <xf numFmtId="3" fontId="18" fillId="0" borderId="12" xfId="60" applyNumberFormat="1" applyFont="1" applyFill="1" applyBorder="1">
      <alignment/>
      <protection/>
    </xf>
    <xf numFmtId="3" fontId="18" fillId="0" borderId="12" xfId="60" applyNumberFormat="1" applyFill="1" applyBorder="1">
      <alignment/>
      <protection/>
    </xf>
    <xf numFmtId="3" fontId="18" fillId="0" borderId="61" xfId="60" applyNumberFormat="1" applyFill="1" applyBorder="1">
      <alignment/>
      <protection/>
    </xf>
    <xf numFmtId="3" fontId="43" fillId="37" borderId="49" xfId="60" applyNumberFormat="1" applyFont="1" applyFill="1" applyBorder="1">
      <alignment/>
      <protection/>
    </xf>
    <xf numFmtId="3" fontId="19" fillId="0" borderId="50" xfId="60" applyNumberFormat="1" applyFont="1" applyBorder="1">
      <alignment/>
      <protection/>
    </xf>
    <xf numFmtId="3" fontId="19" fillId="0" borderId="0" xfId="60" applyNumberFormat="1" applyFont="1" applyFill="1" applyBorder="1">
      <alignment/>
      <protection/>
    </xf>
    <xf numFmtId="3" fontId="18" fillId="37" borderId="12" xfId="60" applyNumberFormat="1" applyFill="1" applyBorder="1">
      <alignment/>
      <protection/>
    </xf>
    <xf numFmtId="0" fontId="43" fillId="37" borderId="51" xfId="60" applyFont="1" applyFill="1" applyBorder="1">
      <alignment/>
      <protection/>
    </xf>
    <xf numFmtId="0" fontId="43" fillId="37" borderId="52" xfId="60" applyFont="1" applyFill="1" applyBorder="1">
      <alignment/>
      <protection/>
    </xf>
    <xf numFmtId="3" fontId="18" fillId="0" borderId="10" xfId="60" applyNumberFormat="1" applyFill="1" applyBorder="1">
      <alignment/>
      <protection/>
    </xf>
    <xf numFmtId="3" fontId="19" fillId="0" borderId="52" xfId="60" applyNumberFormat="1" applyFont="1" applyBorder="1">
      <alignment/>
      <protection/>
    </xf>
    <xf numFmtId="3" fontId="18" fillId="37" borderId="10" xfId="60" applyNumberFormat="1" applyFill="1" applyBorder="1">
      <alignment/>
      <protection/>
    </xf>
    <xf numFmtId="0" fontId="46" fillId="0" borderId="0" xfId="60" applyFont="1">
      <alignment/>
      <protection/>
    </xf>
    <xf numFmtId="0" fontId="43" fillId="37" borderId="16" xfId="60" applyFont="1" applyFill="1" applyBorder="1">
      <alignment/>
      <protection/>
    </xf>
    <xf numFmtId="3" fontId="18" fillId="0" borderId="10" xfId="60" applyNumberFormat="1" applyFont="1" applyBorder="1">
      <alignment/>
      <protection/>
    </xf>
    <xf numFmtId="3" fontId="18" fillId="0" borderId="10" xfId="60" applyNumberFormat="1" applyBorder="1">
      <alignment/>
      <protection/>
    </xf>
    <xf numFmtId="3" fontId="18" fillId="0" borderId="16" xfId="60" applyNumberFormat="1" applyBorder="1">
      <alignment/>
      <protection/>
    </xf>
    <xf numFmtId="3" fontId="43" fillId="0" borderId="52" xfId="60" applyNumberFormat="1" applyFont="1" applyBorder="1">
      <alignment/>
      <protection/>
    </xf>
    <xf numFmtId="3" fontId="18" fillId="0" borderId="37" xfId="60" applyNumberFormat="1" applyBorder="1">
      <alignment/>
      <protection/>
    </xf>
    <xf numFmtId="3" fontId="18" fillId="0" borderId="10" xfId="60" applyNumberFormat="1" applyFont="1" applyFill="1" applyBorder="1">
      <alignment/>
      <protection/>
    </xf>
    <xf numFmtId="3" fontId="18" fillId="0" borderId="16" xfId="60" applyNumberFormat="1" applyFill="1" applyBorder="1">
      <alignment/>
      <protection/>
    </xf>
    <xf numFmtId="3" fontId="43" fillId="37" borderId="52" xfId="60" applyNumberFormat="1" applyFont="1" applyFill="1" applyBorder="1">
      <alignment/>
      <protection/>
    </xf>
    <xf numFmtId="3" fontId="18" fillId="0" borderId="52" xfId="60" applyNumberFormat="1" applyBorder="1">
      <alignment/>
      <protection/>
    </xf>
    <xf numFmtId="0" fontId="43" fillId="37" borderId="53" xfId="60" applyFont="1" applyFill="1" applyBorder="1">
      <alignment/>
      <protection/>
    </xf>
    <xf numFmtId="3" fontId="43" fillId="37" borderId="54" xfId="60" applyNumberFormat="1" applyFont="1" applyFill="1" applyBorder="1">
      <alignment/>
      <protection/>
    </xf>
    <xf numFmtId="3" fontId="43" fillId="37" borderId="45" xfId="60" applyNumberFormat="1" applyFont="1" applyFill="1" applyBorder="1">
      <alignment/>
      <protection/>
    </xf>
    <xf numFmtId="3" fontId="43" fillId="37" borderId="46" xfId="60" applyNumberFormat="1" applyFont="1" applyFill="1" applyBorder="1">
      <alignment/>
      <protection/>
    </xf>
    <xf numFmtId="3" fontId="43" fillId="37" borderId="55" xfId="60" applyNumberFormat="1" applyFont="1" applyFill="1" applyBorder="1">
      <alignment/>
      <protection/>
    </xf>
    <xf numFmtId="0" fontId="43" fillId="37" borderId="54" xfId="60" applyFont="1" applyFill="1" applyBorder="1">
      <alignment/>
      <protection/>
    </xf>
    <xf numFmtId="3" fontId="43" fillId="37" borderId="47" xfId="60" applyNumberFormat="1" applyFont="1" applyFill="1" applyBorder="1">
      <alignment/>
      <protection/>
    </xf>
    <xf numFmtId="3" fontId="45" fillId="37" borderId="54" xfId="60" applyNumberFormat="1" applyFont="1" applyFill="1" applyBorder="1">
      <alignment/>
      <protection/>
    </xf>
    <xf numFmtId="3" fontId="43" fillId="37" borderId="10" xfId="60" applyNumberFormat="1" applyFont="1" applyFill="1" applyBorder="1">
      <alignment/>
      <protection/>
    </xf>
    <xf numFmtId="0" fontId="43" fillId="0" borderId="0" xfId="60" applyFont="1" applyFill="1" applyBorder="1">
      <alignment/>
      <protection/>
    </xf>
    <xf numFmtId="3" fontId="43" fillId="0" borderId="0" xfId="60" applyNumberFormat="1" applyFont="1" applyFill="1" applyBorder="1">
      <alignment/>
      <protection/>
    </xf>
    <xf numFmtId="3" fontId="45" fillId="0" borderId="0" xfId="60" applyNumberFormat="1" applyFont="1" applyFill="1" applyBorder="1">
      <alignment/>
      <protection/>
    </xf>
    <xf numFmtId="0" fontId="18" fillId="0" borderId="0" xfId="60" applyFill="1">
      <alignment/>
      <protection/>
    </xf>
    <xf numFmtId="3" fontId="43" fillId="0" borderId="33" xfId="60" applyNumberFormat="1" applyFont="1" applyFill="1" applyBorder="1">
      <alignment/>
      <protection/>
    </xf>
    <xf numFmtId="0" fontId="43" fillId="0" borderId="33" xfId="60" applyFont="1" applyFill="1" applyBorder="1">
      <alignment/>
      <protection/>
    </xf>
    <xf numFmtId="3" fontId="45" fillId="0" borderId="44" xfId="60" applyNumberFormat="1" applyFont="1" applyFill="1" applyBorder="1">
      <alignment/>
      <protection/>
    </xf>
    <xf numFmtId="3" fontId="18" fillId="37" borderId="0" xfId="60" applyNumberFormat="1" applyFill="1" applyBorder="1">
      <alignment/>
      <protection/>
    </xf>
    <xf numFmtId="0" fontId="44" fillId="0" borderId="0" xfId="60" applyFont="1" applyFill="1" applyBorder="1" applyAlignment="1">
      <alignment horizontal="center" vertical="center" wrapText="1"/>
      <protection/>
    </xf>
    <xf numFmtId="0" fontId="43" fillId="0" borderId="0" xfId="60" applyFont="1" applyBorder="1">
      <alignment/>
      <protection/>
    </xf>
    <xf numFmtId="0" fontId="18" fillId="0" borderId="0" xfId="60" applyBorder="1">
      <alignment/>
      <protection/>
    </xf>
    <xf numFmtId="1" fontId="18" fillId="0" borderId="0" xfId="60" applyNumberFormat="1">
      <alignment/>
      <protection/>
    </xf>
    <xf numFmtId="0" fontId="109" fillId="0" borderId="0" xfId="60" applyFont="1">
      <alignment/>
      <protection/>
    </xf>
    <xf numFmtId="3" fontId="109" fillId="0" borderId="0" xfId="60" applyNumberFormat="1" applyFont="1">
      <alignment/>
      <protection/>
    </xf>
    <xf numFmtId="3" fontId="18" fillId="0" borderId="23" xfId="60" applyNumberFormat="1" applyFont="1" applyBorder="1">
      <alignment/>
      <protection/>
    </xf>
    <xf numFmtId="0" fontId="110" fillId="0" borderId="0" xfId="60" applyFont="1">
      <alignment/>
      <protection/>
    </xf>
    <xf numFmtId="0" fontId="43" fillId="0" borderId="0" xfId="60" applyFont="1">
      <alignment/>
      <protection/>
    </xf>
    <xf numFmtId="3" fontId="18" fillId="0" borderId="21" xfId="60" applyNumberFormat="1" applyFont="1" applyBorder="1">
      <alignment/>
      <protection/>
    </xf>
    <xf numFmtId="3" fontId="43" fillId="37" borderId="63" xfId="60" applyNumberFormat="1" applyFont="1" applyFill="1" applyBorder="1">
      <alignment/>
      <protection/>
    </xf>
    <xf numFmtId="0" fontId="43" fillId="38" borderId="39" xfId="60" applyFont="1" applyFill="1" applyBorder="1">
      <alignment/>
      <protection/>
    </xf>
    <xf numFmtId="3" fontId="43" fillId="38" borderId="44" xfId="60" applyNumberFormat="1" applyFont="1" applyFill="1" applyBorder="1">
      <alignment/>
      <protection/>
    </xf>
    <xf numFmtId="0" fontId="22" fillId="0" borderId="20" xfId="0" applyFont="1" applyBorder="1" applyAlignment="1">
      <alignment/>
    </xf>
    <xf numFmtId="0" fontId="22" fillId="35" borderId="0" xfId="0" applyFont="1" applyFill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5" fillId="34" borderId="19" xfId="0" applyFont="1" applyFill="1" applyBorder="1" applyAlignment="1">
      <alignment horizontal="left"/>
    </xf>
    <xf numFmtId="0" fontId="18" fillId="35" borderId="0" xfId="60" applyFont="1" applyFill="1">
      <alignment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14" fillId="36" borderId="64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1" fontId="31" fillId="36" borderId="14" xfId="0" applyNumberFormat="1" applyFont="1" applyFill="1" applyBorder="1" applyAlignment="1">
      <alignment horizontal="center" vertical="center" wrapText="1"/>
    </xf>
    <xf numFmtId="1" fontId="31" fillId="38" borderId="14" xfId="0" applyNumberFormat="1" applyFont="1" applyFill="1" applyBorder="1" applyAlignment="1">
      <alignment horizontal="center" vertical="center" wrapText="1"/>
    </xf>
    <xf numFmtId="1" fontId="31" fillId="36" borderId="15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6" fillId="40" borderId="44" xfId="0" applyNumberFormat="1" applyFont="1" applyFill="1" applyBorder="1" applyAlignment="1">
      <alignment horizontal="right"/>
    </xf>
    <xf numFmtId="3" fontId="26" fillId="4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22" fillId="0" borderId="59" xfId="0" applyFont="1" applyBorder="1" applyAlignment="1">
      <alignment/>
    </xf>
    <xf numFmtId="0" fontId="23" fillId="37" borderId="38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vertical="center" wrapText="1"/>
    </xf>
    <xf numFmtId="3" fontId="2" fillId="37" borderId="12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" fillId="34" borderId="20" xfId="0" applyFont="1" applyFill="1" applyBorder="1" applyAlignment="1">
      <alignment horizontal="center" wrapText="1"/>
    </xf>
    <xf numFmtId="3" fontId="5" fillId="37" borderId="13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2" fillId="35" borderId="0" xfId="0" applyNumberFormat="1" applyFont="1" applyFill="1" applyBorder="1" applyAlignment="1">
      <alignment horizontal="right" vertical="center"/>
    </xf>
    <xf numFmtId="3" fontId="37" fillId="0" borderId="37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 horizontal="left" vertical="center" wrapText="1"/>
    </xf>
    <xf numFmtId="3" fontId="5" fillId="0" borderId="23" xfId="42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left" vertical="center" wrapText="1"/>
    </xf>
    <xf numFmtId="3" fontId="2" fillId="0" borderId="29" xfId="42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5" fillId="37" borderId="12" xfId="0" applyNumberFormat="1" applyFont="1" applyFill="1" applyBorder="1" applyAlignment="1">
      <alignment horizontal="right" vertical="center" wrapText="1"/>
    </xf>
    <xf numFmtId="3" fontId="2" fillId="37" borderId="12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3" fontId="3" fillId="38" borderId="15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0" fontId="26" fillId="0" borderId="2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34" borderId="39" xfId="0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11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1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38" borderId="12" xfId="0" applyNumberFormat="1" applyFont="1" applyFill="1" applyBorder="1" applyAlignment="1">
      <alignment vertical="center"/>
    </xf>
    <xf numFmtId="0" fontId="3" fillId="34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34" borderId="65" xfId="0" applyFont="1" applyFill="1" applyBorder="1" applyAlignment="1">
      <alignment horizontal="left"/>
    </xf>
    <xf numFmtId="3" fontId="5" fillId="40" borderId="3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3" fontId="111" fillId="0" borderId="10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0" fontId="23" fillId="38" borderId="3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3" fillId="38" borderId="12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0" fillId="0" borderId="0" xfId="0" applyFont="1" applyFill="1" applyBorder="1" applyAlignment="1">
      <alignment/>
    </xf>
    <xf numFmtId="0" fontId="23" fillId="38" borderId="39" xfId="0" applyFont="1" applyFill="1" applyBorder="1" applyAlignment="1">
      <alignment vertical="center" wrapText="1"/>
    </xf>
    <xf numFmtId="0" fontId="40" fillId="40" borderId="39" xfId="0" applyFont="1" applyFill="1" applyBorder="1" applyAlignment="1">
      <alignment vertical="center" wrapText="1"/>
    </xf>
    <xf numFmtId="0" fontId="40" fillId="40" borderId="33" xfId="0" applyFont="1" applyFill="1" applyBorder="1" applyAlignment="1">
      <alignment vertical="center"/>
    </xf>
    <xf numFmtId="0" fontId="0" fillId="35" borderId="0" xfId="0" applyFill="1" applyAlignment="1">
      <alignment wrapText="1"/>
    </xf>
    <xf numFmtId="0" fontId="0" fillId="0" borderId="10" xfId="0" applyBorder="1" applyAlignment="1">
      <alignment horizontal="center"/>
    </xf>
    <xf numFmtId="3" fontId="112" fillId="0" borderId="10" xfId="0" applyNumberFormat="1" applyFont="1" applyBorder="1" applyAlignment="1">
      <alignment/>
    </xf>
    <xf numFmtId="3" fontId="40" fillId="40" borderId="33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23" fillId="38" borderId="66" xfId="0" applyFont="1" applyFill="1" applyBorder="1" applyAlignment="1">
      <alignment vertical="center" wrapText="1"/>
    </xf>
    <xf numFmtId="0" fontId="23" fillId="38" borderId="66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38" borderId="31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wrapText="1"/>
    </xf>
    <xf numFmtId="3" fontId="5" fillId="41" borderId="35" xfId="0" applyNumberFormat="1" applyFont="1" applyFill="1" applyBorder="1" applyAlignment="1">
      <alignment vertical="center"/>
    </xf>
    <xf numFmtId="3" fontId="5" fillId="41" borderId="15" xfId="0" applyNumberFormat="1" applyFont="1" applyFill="1" applyBorder="1" applyAlignment="1">
      <alignment vertical="center"/>
    </xf>
    <xf numFmtId="0" fontId="113" fillId="0" borderId="0" xfId="58" applyFont="1">
      <alignment/>
      <protection/>
    </xf>
    <xf numFmtId="0" fontId="114" fillId="0" borderId="0" xfId="58" applyFont="1">
      <alignment/>
      <protection/>
    </xf>
    <xf numFmtId="0" fontId="113" fillId="0" borderId="0" xfId="58" applyFont="1" applyAlignment="1">
      <alignment/>
      <protection/>
    </xf>
    <xf numFmtId="0" fontId="113" fillId="0" borderId="0" xfId="58" applyFont="1" applyAlignment="1">
      <alignment wrapText="1"/>
      <protection/>
    </xf>
    <xf numFmtId="0" fontId="115" fillId="34" borderId="18" xfId="58" applyFont="1" applyFill="1" applyBorder="1" applyAlignment="1">
      <alignment horizontal="center"/>
      <protection/>
    </xf>
    <xf numFmtId="0" fontId="115" fillId="34" borderId="26" xfId="58" applyFont="1" applyFill="1" applyBorder="1" applyAlignment="1">
      <alignment horizontal="center"/>
      <protection/>
    </xf>
    <xf numFmtId="0" fontId="116" fillId="0" borderId="12" xfId="58" applyFont="1" applyFill="1" applyBorder="1">
      <alignment/>
      <protection/>
    </xf>
    <xf numFmtId="3" fontId="117" fillId="0" borderId="12" xfId="58" applyNumberFormat="1" applyFont="1" applyFill="1" applyBorder="1" applyAlignment="1">
      <alignment horizontal="right"/>
      <protection/>
    </xf>
    <xf numFmtId="3" fontId="118" fillId="0" borderId="0" xfId="58" applyNumberFormat="1" applyFont="1">
      <alignment/>
      <protection/>
    </xf>
    <xf numFmtId="3" fontId="117" fillId="0" borderId="10" xfId="58" applyNumberFormat="1" applyFont="1" applyFill="1" applyBorder="1" applyAlignment="1">
      <alignment horizontal="right"/>
      <protection/>
    </xf>
    <xf numFmtId="0" fontId="116" fillId="0" borderId="17" xfId="58" applyFont="1" applyFill="1" applyBorder="1">
      <alignment/>
      <protection/>
    </xf>
    <xf numFmtId="3" fontId="117" fillId="0" borderId="11" xfId="58" applyNumberFormat="1" applyFont="1" applyBorder="1" applyAlignment="1">
      <alignment horizontal="right"/>
      <protection/>
    </xf>
    <xf numFmtId="3" fontId="117" fillId="0" borderId="11" xfId="58" applyNumberFormat="1" applyFont="1" applyFill="1" applyBorder="1" applyAlignment="1">
      <alignment horizontal="right"/>
      <protection/>
    </xf>
    <xf numFmtId="0" fontId="119" fillId="38" borderId="10" xfId="58" applyFont="1" applyFill="1" applyBorder="1">
      <alignment/>
      <protection/>
    </xf>
    <xf numFmtId="3" fontId="118" fillId="38" borderId="10" xfId="58" applyNumberFormat="1" applyFont="1" applyFill="1" applyBorder="1" applyAlignment="1">
      <alignment horizontal="right"/>
      <protection/>
    </xf>
    <xf numFmtId="0" fontId="119" fillId="37" borderId="10" xfId="58" applyFont="1" applyFill="1" applyBorder="1">
      <alignment/>
      <protection/>
    </xf>
    <xf numFmtId="3" fontId="118" fillId="37" borderId="10" xfId="58" applyNumberFormat="1" applyFont="1" applyFill="1" applyBorder="1" applyAlignment="1">
      <alignment horizontal="right"/>
      <protection/>
    </xf>
    <xf numFmtId="0" fontId="119" fillId="0" borderId="12" xfId="58" applyFont="1" applyFill="1" applyBorder="1">
      <alignment/>
      <protection/>
    </xf>
    <xf numFmtId="3" fontId="118" fillId="0" borderId="12" xfId="58" applyNumberFormat="1" applyFont="1" applyFill="1" applyBorder="1" applyAlignment="1">
      <alignment horizontal="right"/>
      <protection/>
    </xf>
    <xf numFmtId="0" fontId="119" fillId="0" borderId="10" xfId="58" applyFont="1" applyFill="1" applyBorder="1">
      <alignment/>
      <protection/>
    </xf>
    <xf numFmtId="3" fontId="118" fillId="0" borderId="10" xfId="58" applyNumberFormat="1" applyFont="1" applyFill="1" applyBorder="1" applyAlignment="1">
      <alignment horizontal="right"/>
      <protection/>
    </xf>
    <xf numFmtId="3" fontId="118" fillId="0" borderId="0" xfId="58" applyNumberFormat="1" applyFont="1" applyAlignment="1">
      <alignment/>
      <protection/>
    </xf>
    <xf numFmtId="0" fontId="120" fillId="0" borderId="10" xfId="58" applyFont="1" applyFill="1" applyBorder="1" applyAlignment="1">
      <alignment wrapText="1"/>
      <protection/>
    </xf>
    <xf numFmtId="0" fontId="119" fillId="0" borderId="10" xfId="58" applyFont="1" applyFill="1" applyBorder="1" applyAlignment="1">
      <alignment wrapText="1"/>
      <protection/>
    </xf>
    <xf numFmtId="0" fontId="119" fillId="0" borderId="10" xfId="58" applyFont="1" applyFill="1" applyBorder="1" applyAlignment="1">
      <alignment vertical="center" wrapText="1"/>
      <protection/>
    </xf>
    <xf numFmtId="0" fontId="119" fillId="38" borderId="10" xfId="58" applyFont="1" applyFill="1" applyBorder="1" applyAlignment="1">
      <alignment vertical="center" wrapText="1"/>
      <protection/>
    </xf>
    <xf numFmtId="3" fontId="115" fillId="38" borderId="10" xfId="58" applyNumberFormat="1" applyFont="1" applyFill="1" applyBorder="1" applyAlignment="1">
      <alignment horizontal="right"/>
      <protection/>
    </xf>
    <xf numFmtId="0" fontId="119" fillId="37" borderId="11" xfId="58" applyFont="1" applyFill="1" applyBorder="1" applyAlignment="1">
      <alignment wrapText="1"/>
      <protection/>
    </xf>
    <xf numFmtId="3" fontId="118" fillId="37" borderId="11" xfId="58" applyNumberFormat="1" applyFont="1" applyFill="1" applyBorder="1" applyAlignment="1">
      <alignment horizontal="right"/>
      <protection/>
    </xf>
    <xf numFmtId="3" fontId="117" fillId="37" borderId="11" xfId="58" applyNumberFormat="1" applyFont="1" applyFill="1" applyBorder="1" applyAlignment="1">
      <alignment horizontal="right"/>
      <protection/>
    </xf>
    <xf numFmtId="0" fontId="113" fillId="38" borderId="13" xfId="58" applyFont="1" applyFill="1" applyBorder="1">
      <alignment/>
      <protection/>
    </xf>
    <xf numFmtId="3" fontId="119" fillId="38" borderId="14" xfId="58" applyNumberFormat="1" applyFont="1" applyFill="1" applyBorder="1" applyAlignment="1">
      <alignment horizontal="right"/>
      <protection/>
    </xf>
    <xf numFmtId="3" fontId="119" fillId="38" borderId="15" xfId="58" applyNumberFormat="1" applyFont="1" applyFill="1" applyBorder="1" applyAlignment="1">
      <alignment horizontal="right"/>
      <protection/>
    </xf>
    <xf numFmtId="3" fontId="114" fillId="0" borderId="0" xfId="58" applyNumberFormat="1" applyFont="1">
      <alignment/>
      <protection/>
    </xf>
    <xf numFmtId="0" fontId="121" fillId="0" borderId="12" xfId="58" applyFont="1" applyBorder="1" applyAlignment="1">
      <alignment wrapText="1"/>
      <protection/>
    </xf>
    <xf numFmtId="3" fontId="118" fillId="0" borderId="57" xfId="58" applyNumberFormat="1" applyFont="1" applyBorder="1" applyAlignment="1">
      <alignment/>
      <protection/>
    </xf>
    <xf numFmtId="3" fontId="118" fillId="0" borderId="56" xfId="58" applyNumberFormat="1" applyFont="1" applyBorder="1" applyAlignment="1">
      <alignment/>
      <protection/>
    </xf>
    <xf numFmtId="3" fontId="121" fillId="0" borderId="57" xfId="58" applyNumberFormat="1" applyFont="1" applyBorder="1" applyAlignment="1">
      <alignment/>
      <protection/>
    </xf>
    <xf numFmtId="3" fontId="121" fillId="0" borderId="56" xfId="58" applyNumberFormat="1" applyFont="1" applyBorder="1" applyAlignment="1">
      <alignment/>
      <protection/>
    </xf>
    <xf numFmtId="3" fontId="121" fillId="0" borderId="12" xfId="58" applyNumberFormat="1" applyFont="1" applyBorder="1" applyAlignment="1">
      <alignment horizontal="center"/>
      <protection/>
    </xf>
    <xf numFmtId="0" fontId="119" fillId="0" borderId="10" xfId="58" applyFont="1" applyBorder="1">
      <alignment/>
      <protection/>
    </xf>
    <xf numFmtId="3" fontId="115" fillId="0" borderId="16" xfId="58" applyNumberFormat="1" applyFont="1" applyBorder="1" applyAlignment="1">
      <alignment/>
      <protection/>
    </xf>
    <xf numFmtId="3" fontId="115" fillId="0" borderId="37" xfId="58" applyNumberFormat="1" applyFont="1" applyBorder="1" applyAlignment="1">
      <alignment/>
      <protection/>
    </xf>
    <xf numFmtId="3" fontId="119" fillId="0" borderId="10" xfId="58" applyNumberFormat="1" applyFont="1" applyBorder="1" applyAlignment="1">
      <alignment horizontal="center"/>
      <protection/>
    </xf>
    <xf numFmtId="3" fontId="119" fillId="0" borderId="16" xfId="58" applyNumberFormat="1" applyFont="1" applyBorder="1" applyAlignment="1">
      <alignment/>
      <protection/>
    </xf>
    <xf numFmtId="3" fontId="119" fillId="0" borderId="37" xfId="58" applyNumberFormat="1" applyFont="1" applyBorder="1" applyAlignment="1">
      <alignment/>
      <protection/>
    </xf>
    <xf numFmtId="0" fontId="118" fillId="0" borderId="0" xfId="58" applyFont="1">
      <alignment/>
      <protection/>
    </xf>
    <xf numFmtId="0" fontId="121" fillId="0" borderId="10" xfId="58" applyFont="1" applyBorder="1">
      <alignment/>
      <protection/>
    </xf>
    <xf numFmtId="3" fontId="118" fillId="0" borderId="16" xfId="58" applyNumberFormat="1" applyFont="1" applyBorder="1" applyAlignment="1">
      <alignment/>
      <protection/>
    </xf>
    <xf numFmtId="3" fontId="118" fillId="0" borderId="37" xfId="58" applyNumberFormat="1" applyFont="1" applyBorder="1" applyAlignment="1">
      <alignment/>
      <protection/>
    </xf>
    <xf numFmtId="3" fontId="121" fillId="0" borderId="10" xfId="58" applyNumberFormat="1" applyFont="1" applyBorder="1" applyAlignment="1">
      <alignment horizontal="center"/>
      <protection/>
    </xf>
    <xf numFmtId="3" fontId="121" fillId="0" borderId="16" xfId="58" applyNumberFormat="1" applyFont="1" applyBorder="1" applyAlignment="1">
      <alignment/>
      <protection/>
    </xf>
    <xf numFmtId="3" fontId="121" fillId="0" borderId="37" xfId="58" applyNumberFormat="1" applyFont="1" applyBorder="1" applyAlignment="1">
      <alignment/>
      <protection/>
    </xf>
    <xf numFmtId="3" fontId="121" fillId="0" borderId="0" xfId="58" applyNumberFormat="1" applyFont="1">
      <alignment/>
      <protection/>
    </xf>
    <xf numFmtId="3" fontId="122" fillId="0" borderId="0" xfId="58" applyNumberFormat="1" applyFont="1">
      <alignment/>
      <protection/>
    </xf>
    <xf numFmtId="0" fontId="118" fillId="0" borderId="0" xfId="58" applyFont="1" applyAlignment="1">
      <alignment wrapText="1"/>
      <protection/>
    </xf>
    <xf numFmtId="0" fontId="114" fillId="35" borderId="0" xfId="58" applyFont="1" applyFill="1">
      <alignment/>
      <protection/>
    </xf>
    <xf numFmtId="0" fontId="115" fillId="0" borderId="0" xfId="58" applyFont="1" applyAlignment="1">
      <alignment wrapText="1"/>
      <protection/>
    </xf>
    <xf numFmtId="3" fontId="115" fillId="0" borderId="0" xfId="58" applyNumberFormat="1" applyFont="1" applyBorder="1">
      <alignment/>
      <protection/>
    </xf>
    <xf numFmtId="3" fontId="115" fillId="0" borderId="39" xfId="58" applyNumberFormat="1" applyFont="1" applyBorder="1" applyAlignment="1">
      <alignment/>
      <protection/>
    </xf>
    <xf numFmtId="3" fontId="115" fillId="0" borderId="44" xfId="58" applyNumberFormat="1" applyFont="1" applyBorder="1" applyAlignment="1">
      <alignment/>
      <protection/>
    </xf>
    <xf numFmtId="3" fontId="115" fillId="0" borderId="38" xfId="58" applyNumberFormat="1" applyFont="1" applyBorder="1" applyAlignment="1">
      <alignment/>
      <protection/>
    </xf>
    <xf numFmtId="0" fontId="47" fillId="0" borderId="0" xfId="0" applyFont="1" applyAlignment="1">
      <alignment/>
    </xf>
    <xf numFmtId="3" fontId="3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40" borderId="10" xfId="0" applyNumberFormat="1" applyFont="1" applyFill="1" applyBorder="1" applyAlignment="1">
      <alignment horizontal="right"/>
    </xf>
    <xf numFmtId="3" fontId="123" fillId="0" borderId="0" xfId="0" applyNumberFormat="1" applyFont="1" applyBorder="1" applyAlignment="1">
      <alignment/>
    </xf>
    <xf numFmtId="0" fontId="10" fillId="38" borderId="57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5" fillId="38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wrapText="1"/>
    </xf>
    <xf numFmtId="3" fontId="2" fillId="37" borderId="17" xfId="0" applyNumberFormat="1" applyFont="1" applyFill="1" applyBorder="1" applyAlignment="1">
      <alignment horizontal="right" vertical="center" wrapText="1"/>
    </xf>
    <xf numFmtId="3" fontId="3" fillId="37" borderId="15" xfId="0" applyNumberFormat="1" applyFont="1" applyFill="1" applyBorder="1" applyAlignment="1">
      <alignment horizontal="right"/>
    </xf>
    <xf numFmtId="3" fontId="3" fillId="37" borderId="15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0" fontId="118" fillId="0" borderId="10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18" fillId="0" borderId="11" xfId="0" applyFont="1" applyBorder="1" applyAlignment="1">
      <alignment wrapText="1"/>
    </xf>
    <xf numFmtId="0" fontId="118" fillId="0" borderId="12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32" fillId="36" borderId="43" xfId="0" applyFont="1" applyFill="1" applyBorder="1" applyAlignment="1">
      <alignment horizontal="center" vertical="center" wrapText="1"/>
    </xf>
    <xf numFmtId="0" fontId="32" fillId="36" borderId="67" xfId="0" applyFont="1" applyFill="1" applyBorder="1" applyAlignment="1">
      <alignment horizontal="center" vertical="center" wrapText="1"/>
    </xf>
    <xf numFmtId="0" fontId="32" fillId="36" borderId="46" xfId="0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3" fillId="34" borderId="6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4" fillId="34" borderId="42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35" borderId="0" xfId="0" applyFill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111" fillId="0" borderId="11" xfId="0" applyNumberFormat="1" applyFont="1" applyFill="1" applyBorder="1" applyAlignment="1">
      <alignment horizontal="right" vertical="center"/>
    </xf>
    <xf numFmtId="3" fontId="111" fillId="0" borderId="17" xfId="0" applyNumberFormat="1" applyFont="1" applyFill="1" applyBorder="1" applyAlignment="1">
      <alignment horizontal="right" vertical="center"/>
    </xf>
    <xf numFmtId="3" fontId="111" fillId="0" borderId="12" xfId="0" applyNumberFormat="1" applyFont="1" applyFill="1" applyBorder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0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3" fontId="5" fillId="36" borderId="37" xfId="0" applyNumberFormat="1" applyFont="1" applyFill="1" applyBorder="1" applyAlignment="1">
      <alignment horizontal="center" vertical="center"/>
    </xf>
    <xf numFmtId="3" fontId="14" fillId="36" borderId="10" xfId="0" applyNumberFormat="1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3" fontId="5" fillId="36" borderId="27" xfId="0" applyNumberFormat="1" applyFont="1" applyFill="1" applyBorder="1" applyAlignment="1">
      <alignment horizontal="center" vertical="center" wrapText="1"/>
    </xf>
    <xf numFmtId="3" fontId="5" fillId="36" borderId="20" xfId="0" applyNumberFormat="1" applyFont="1" applyFill="1" applyBorder="1" applyAlignment="1">
      <alignment horizontal="center" vertical="center" wrapText="1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21" xfId="0" applyNumberFormat="1" applyFont="1" applyFill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3" fontId="5" fillId="36" borderId="41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3" fontId="5" fillId="36" borderId="18" xfId="0" applyNumberFormat="1" applyFont="1" applyFill="1" applyBorder="1" applyAlignment="1">
      <alignment horizontal="center" vertical="center" wrapText="1"/>
    </xf>
    <xf numFmtId="3" fontId="5" fillId="36" borderId="31" xfId="0" applyNumberFormat="1" applyFont="1" applyFill="1" applyBorder="1" applyAlignment="1">
      <alignment horizontal="center" vertical="center"/>
    </xf>
    <xf numFmtId="3" fontId="5" fillId="36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3" fontId="5" fillId="36" borderId="25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3" fontId="14" fillId="36" borderId="37" xfId="0" applyNumberFormat="1" applyFont="1" applyFill="1" applyBorder="1" applyAlignment="1">
      <alignment horizontal="center" vertical="center" wrapText="1"/>
    </xf>
    <xf numFmtId="3" fontId="5" fillId="36" borderId="26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5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5" fillId="36" borderId="57" xfId="0" applyNumberFormat="1" applyFont="1" applyFill="1" applyBorder="1" applyAlignment="1">
      <alignment horizontal="center" vertical="center" wrapText="1"/>
    </xf>
    <xf numFmtId="3" fontId="5" fillId="36" borderId="70" xfId="0" applyNumberFormat="1" applyFont="1" applyFill="1" applyBorder="1" applyAlignment="1">
      <alignment horizontal="center" vertical="center" wrapText="1"/>
    </xf>
    <xf numFmtId="3" fontId="5" fillId="36" borderId="56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6" fillId="35" borderId="0" xfId="0" applyFont="1" applyFill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14" fillId="36" borderId="67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/>
    </xf>
    <xf numFmtId="0" fontId="14" fillId="36" borderId="58" xfId="0" applyFont="1" applyFill="1" applyBorder="1" applyAlignment="1">
      <alignment horizontal="center" vertical="center" wrapText="1"/>
    </xf>
    <xf numFmtId="0" fontId="14" fillId="36" borderId="7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/>
    </xf>
    <xf numFmtId="0" fontId="14" fillId="36" borderId="72" xfId="0" applyFont="1" applyFill="1" applyBorder="1" applyAlignment="1">
      <alignment horizontal="center" vertical="center" wrapText="1"/>
    </xf>
    <xf numFmtId="0" fontId="14" fillId="36" borderId="63" xfId="0" applyFont="1" applyFill="1" applyBorder="1" applyAlignment="1">
      <alignment horizontal="center" vertical="center" wrapText="1"/>
    </xf>
    <xf numFmtId="0" fontId="14" fillId="36" borderId="64" xfId="0" applyFont="1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14" fillId="36" borderId="73" xfId="0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top" wrapText="1"/>
    </xf>
    <xf numFmtId="0" fontId="16" fillId="35" borderId="0" xfId="0" applyFont="1" applyFill="1" applyAlignment="1">
      <alignment horizontal="center" vertical="top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/>
    </xf>
    <xf numFmtId="0" fontId="23" fillId="38" borderId="7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8" borderId="7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38" borderId="42" xfId="0" applyFont="1" applyFill="1" applyBorder="1" applyAlignment="1">
      <alignment horizontal="center" vertical="center"/>
    </xf>
    <xf numFmtId="0" fontId="5" fillId="38" borderId="69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8" borderId="73" xfId="0" applyFont="1" applyFill="1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36" borderId="62" xfId="0" applyFont="1" applyFill="1" applyBorder="1" applyAlignment="1">
      <alignment horizontal="center" vertical="center" wrapText="1"/>
    </xf>
    <xf numFmtId="0" fontId="31" fillId="36" borderId="74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75" xfId="0" applyFont="1" applyFill="1" applyBorder="1" applyAlignment="1">
      <alignment horizontal="center" vertical="center" wrapText="1"/>
    </xf>
    <xf numFmtId="0" fontId="31" fillId="36" borderId="61" xfId="0" applyFont="1" applyFill="1" applyBorder="1" applyAlignment="1">
      <alignment horizontal="center" vertical="center" wrapText="1"/>
    </xf>
    <xf numFmtId="0" fontId="31" fillId="36" borderId="32" xfId="0" applyFont="1" applyFill="1" applyBorder="1" applyAlignment="1">
      <alignment horizontal="center" vertical="center" wrapText="1"/>
    </xf>
    <xf numFmtId="0" fontId="31" fillId="36" borderId="3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1" fillId="38" borderId="41" xfId="0" applyNumberFormat="1" applyFont="1" applyFill="1" applyBorder="1" applyAlignment="1">
      <alignment horizontal="center" vertical="center" wrapText="1"/>
    </xf>
    <xf numFmtId="3" fontId="31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46" xfId="0" applyFont="1" applyFill="1" applyBorder="1" applyAlignment="1">
      <alignment horizontal="center" vertical="center" wrapText="1"/>
    </xf>
    <xf numFmtId="0" fontId="32" fillId="36" borderId="57" xfId="0" applyFont="1" applyFill="1" applyBorder="1" applyAlignment="1">
      <alignment horizontal="center" vertical="center" wrapText="1"/>
    </xf>
    <xf numFmtId="0" fontId="32" fillId="36" borderId="70" xfId="0" applyFont="1" applyFill="1" applyBorder="1" applyAlignment="1">
      <alignment horizontal="center" vertical="center" wrapText="1"/>
    </xf>
    <xf numFmtId="0" fontId="32" fillId="36" borderId="5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0" fontId="41" fillId="36" borderId="72" xfId="0" applyFont="1" applyFill="1" applyBorder="1" applyAlignment="1">
      <alignment horizontal="center" vertical="center" wrapText="1"/>
    </xf>
    <xf numFmtId="0" fontId="41" fillId="36" borderId="30" xfId="0" applyFont="1" applyFill="1" applyBorder="1" applyAlignment="1">
      <alignment horizontal="center" vertical="center" wrapText="1"/>
    </xf>
    <xf numFmtId="0" fontId="41" fillId="36" borderId="63" xfId="0" applyFont="1" applyFill="1" applyBorder="1" applyAlignment="1">
      <alignment horizontal="center" vertical="center" wrapText="1"/>
    </xf>
    <xf numFmtId="0" fontId="38" fillId="36" borderId="43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38" fillId="36" borderId="46" xfId="0" applyFont="1" applyFill="1" applyBorder="1" applyAlignment="1">
      <alignment horizontal="center" vertical="center" wrapText="1"/>
    </xf>
    <xf numFmtId="0" fontId="32" fillId="36" borderId="61" xfId="0" applyFont="1" applyFill="1" applyBorder="1" applyAlignment="1">
      <alignment horizontal="center" vertical="center" wrapText="1"/>
    </xf>
    <xf numFmtId="0" fontId="32" fillId="36" borderId="36" xfId="0" applyFont="1" applyFill="1" applyBorder="1" applyAlignment="1">
      <alignment horizontal="center" vertical="center" wrapText="1"/>
    </xf>
    <xf numFmtId="0" fontId="32" fillId="36" borderId="42" xfId="0" applyFont="1" applyFill="1" applyBorder="1" applyAlignment="1">
      <alignment horizontal="center" vertical="center" wrapText="1"/>
    </xf>
    <xf numFmtId="0" fontId="32" fillId="36" borderId="65" xfId="0" applyFont="1" applyFill="1" applyBorder="1" applyAlignment="1">
      <alignment horizontal="center" vertical="center" wrapText="1"/>
    </xf>
    <xf numFmtId="0" fontId="32" fillId="36" borderId="69" xfId="0" applyFont="1" applyFill="1" applyBorder="1" applyAlignment="1">
      <alignment horizontal="center" vertical="center" wrapText="1"/>
    </xf>
    <xf numFmtId="0" fontId="32" fillId="36" borderId="43" xfId="0" applyFont="1" applyFill="1" applyBorder="1" applyAlignment="1">
      <alignment horizontal="center" vertical="center" wrapText="1"/>
    </xf>
    <xf numFmtId="0" fontId="43" fillId="37" borderId="64" xfId="60" applyFont="1" applyFill="1" applyBorder="1" applyAlignment="1">
      <alignment horizontal="center" vertical="center"/>
      <protection/>
    </xf>
    <xf numFmtId="0" fontId="43" fillId="37" borderId="76" xfId="60" applyFont="1" applyFill="1" applyBorder="1" applyAlignment="1">
      <alignment horizontal="center" vertical="center"/>
      <protection/>
    </xf>
    <xf numFmtId="0" fontId="44" fillId="37" borderId="50" xfId="60" applyFont="1" applyFill="1" applyBorder="1" applyAlignment="1">
      <alignment horizontal="center" vertical="center" wrapText="1"/>
      <protection/>
    </xf>
    <xf numFmtId="0" fontId="44" fillId="37" borderId="77" xfId="60" applyFont="1" applyFill="1" applyBorder="1" applyAlignment="1">
      <alignment horizontal="center" vertical="center" wrapText="1"/>
      <protection/>
    </xf>
    <xf numFmtId="0" fontId="43" fillId="37" borderId="33" xfId="60" applyFont="1" applyFill="1" applyBorder="1" applyAlignment="1">
      <alignment horizontal="center"/>
      <protection/>
    </xf>
    <xf numFmtId="0" fontId="43" fillId="37" borderId="71" xfId="60" applyFont="1" applyFill="1" applyBorder="1" applyAlignment="1">
      <alignment horizontal="center" vertical="center"/>
      <protection/>
    </xf>
    <xf numFmtId="0" fontId="43" fillId="37" borderId="13" xfId="60" applyFont="1" applyFill="1" applyBorder="1" applyAlignment="1">
      <alignment horizontal="center"/>
      <protection/>
    </xf>
    <xf numFmtId="0" fontId="43" fillId="37" borderId="14" xfId="60" applyFont="1" applyFill="1" applyBorder="1" applyAlignment="1">
      <alignment horizontal="center"/>
      <protection/>
    </xf>
    <xf numFmtId="0" fontId="43" fillId="37" borderId="35" xfId="60" applyFont="1" applyFill="1" applyBorder="1" applyAlignment="1">
      <alignment horizontal="center"/>
      <protection/>
    </xf>
    <xf numFmtId="0" fontId="43" fillId="37" borderId="50" xfId="60" applyFont="1" applyFill="1" applyBorder="1" applyAlignment="1">
      <alignment horizontal="center" vertical="center" wrapText="1"/>
      <protection/>
    </xf>
    <xf numFmtId="0" fontId="43" fillId="37" borderId="77" xfId="60" applyFont="1" applyFill="1" applyBorder="1" applyAlignment="1">
      <alignment horizontal="center" vertical="center" wrapText="1"/>
      <protection/>
    </xf>
    <xf numFmtId="0" fontId="18" fillId="0" borderId="78" xfId="60" applyFont="1" applyBorder="1" applyAlignment="1">
      <alignment horizontal="right"/>
      <protection/>
    </xf>
    <xf numFmtId="0" fontId="18" fillId="0" borderId="0" xfId="60" applyFont="1" applyAlignment="1">
      <alignment horizontal="right"/>
      <protection/>
    </xf>
    <xf numFmtId="0" fontId="45" fillId="37" borderId="58" xfId="60" applyFont="1" applyFill="1" applyBorder="1" applyAlignment="1">
      <alignment horizontal="center" vertical="center" wrapText="1"/>
      <protection/>
    </xf>
    <xf numFmtId="0" fontId="45" fillId="37" borderId="71" xfId="60" applyFont="1" applyFill="1" applyBorder="1" applyAlignment="1">
      <alignment horizontal="center" vertical="center" wrapText="1"/>
      <protection/>
    </xf>
    <xf numFmtId="0" fontId="45" fillId="37" borderId="50" xfId="60" applyFont="1" applyFill="1" applyBorder="1" applyAlignment="1">
      <alignment horizontal="center" vertical="center" wrapText="1"/>
      <protection/>
    </xf>
    <xf numFmtId="0" fontId="45" fillId="37" borderId="77" xfId="60" applyFont="1" applyFill="1" applyBorder="1" applyAlignment="1">
      <alignment horizontal="center" vertical="center" wrapText="1"/>
      <protection/>
    </xf>
    <xf numFmtId="0" fontId="45" fillId="37" borderId="39" xfId="60" applyFont="1" applyFill="1" applyBorder="1" applyAlignment="1">
      <alignment horizontal="center" vertical="center" wrapText="1"/>
      <protection/>
    </xf>
    <xf numFmtId="0" fontId="44" fillId="37" borderId="33" xfId="60" applyFont="1" applyFill="1" applyBorder="1" applyAlignment="1">
      <alignment horizontal="center" vertical="center" wrapText="1"/>
      <protection/>
    </xf>
    <xf numFmtId="0" fontId="44" fillId="37" borderId="39" xfId="60" applyFont="1" applyFill="1" applyBorder="1" applyAlignment="1">
      <alignment horizontal="center" vertical="center" wrapText="1"/>
      <protection/>
    </xf>
    <xf numFmtId="0" fontId="43" fillId="37" borderId="73" xfId="60" applyFont="1" applyFill="1" applyBorder="1" applyAlignment="1">
      <alignment horizontal="center" vertical="center" wrapText="1"/>
      <protection/>
    </xf>
    <xf numFmtId="0" fontId="43" fillId="37" borderId="54" xfId="60" applyFont="1" applyFill="1" applyBorder="1" applyAlignment="1">
      <alignment horizontal="center" vertical="center" wrapText="1"/>
      <protection/>
    </xf>
    <xf numFmtId="0" fontId="18" fillId="0" borderId="78" xfId="60" applyFont="1" applyBorder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5" fillId="36" borderId="31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79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/>
    </xf>
    <xf numFmtId="0" fontId="45" fillId="37" borderId="58" xfId="59" applyFont="1" applyFill="1" applyBorder="1" applyAlignment="1">
      <alignment horizontal="center" vertical="center" wrapText="1"/>
      <protection/>
    </xf>
    <xf numFmtId="0" fontId="45" fillId="37" borderId="71" xfId="59" applyFont="1" applyFill="1" applyBorder="1" applyAlignment="1">
      <alignment horizontal="center" vertical="center" wrapText="1"/>
      <protection/>
    </xf>
    <xf numFmtId="0" fontId="45" fillId="37" borderId="50" xfId="59" applyFont="1" applyFill="1" applyBorder="1" applyAlignment="1">
      <alignment horizontal="center" vertical="center" wrapText="1"/>
      <protection/>
    </xf>
    <xf numFmtId="0" fontId="45" fillId="37" borderId="77" xfId="59" applyFont="1" applyFill="1" applyBorder="1" applyAlignment="1">
      <alignment horizontal="center" vertical="center" wrapText="1"/>
      <protection/>
    </xf>
    <xf numFmtId="0" fontId="43" fillId="37" borderId="64" xfId="59" applyFont="1" applyFill="1" applyBorder="1" applyAlignment="1">
      <alignment horizontal="center" vertical="center"/>
      <protection/>
    </xf>
    <xf numFmtId="0" fontId="43" fillId="37" borderId="76" xfId="59" applyFont="1" applyFill="1" applyBorder="1" applyAlignment="1">
      <alignment horizontal="center" vertical="center"/>
      <protection/>
    </xf>
    <xf numFmtId="0" fontId="44" fillId="37" borderId="50" xfId="59" applyFont="1" applyFill="1" applyBorder="1" applyAlignment="1">
      <alignment horizontal="center" vertical="center" wrapText="1"/>
      <protection/>
    </xf>
    <xf numFmtId="0" fontId="44" fillId="37" borderId="77" xfId="59" applyFont="1" applyFill="1" applyBorder="1" applyAlignment="1">
      <alignment horizontal="center" vertical="center" wrapText="1"/>
      <protection/>
    </xf>
    <xf numFmtId="0" fontId="43" fillId="37" borderId="33" xfId="59" applyFont="1" applyFill="1" applyBorder="1" applyAlignment="1">
      <alignment horizontal="center"/>
      <protection/>
    </xf>
    <xf numFmtId="0" fontId="43" fillId="37" borderId="71" xfId="59" applyFont="1" applyFill="1" applyBorder="1" applyAlignment="1">
      <alignment horizontal="center" vertical="center"/>
      <protection/>
    </xf>
    <xf numFmtId="0" fontId="43" fillId="37" borderId="13" xfId="59" applyFont="1" applyFill="1" applyBorder="1" applyAlignment="1">
      <alignment horizontal="center"/>
      <protection/>
    </xf>
    <xf numFmtId="0" fontId="43" fillId="37" borderId="14" xfId="59" applyFont="1" applyFill="1" applyBorder="1" applyAlignment="1">
      <alignment horizontal="center"/>
      <protection/>
    </xf>
    <xf numFmtId="0" fontId="43" fillId="37" borderId="35" xfId="59" applyFont="1" applyFill="1" applyBorder="1" applyAlignment="1">
      <alignment horizontal="center"/>
      <protection/>
    </xf>
    <xf numFmtId="0" fontId="43" fillId="37" borderId="50" xfId="59" applyFont="1" applyFill="1" applyBorder="1" applyAlignment="1">
      <alignment horizontal="center" vertical="center" wrapText="1"/>
      <protection/>
    </xf>
    <xf numFmtId="0" fontId="43" fillId="37" borderId="77" xfId="59" applyFont="1" applyFill="1" applyBorder="1" applyAlignment="1">
      <alignment horizontal="center" vertical="center" wrapText="1"/>
      <protection/>
    </xf>
    <xf numFmtId="3" fontId="118" fillId="0" borderId="12" xfId="58" applyNumberFormat="1" applyFont="1" applyFill="1" applyBorder="1" applyAlignment="1">
      <alignment horizontal="right"/>
      <protection/>
    </xf>
    <xf numFmtId="3" fontId="118" fillId="0" borderId="10" xfId="58" applyNumberFormat="1" applyFont="1" applyFill="1" applyBorder="1" applyAlignment="1">
      <alignment horizontal="right"/>
      <protection/>
    </xf>
    <xf numFmtId="3" fontId="121" fillId="0" borderId="61" xfId="58" applyNumberFormat="1" applyFont="1" applyBorder="1" applyAlignment="1">
      <alignment horizontal="center"/>
      <protection/>
    </xf>
    <xf numFmtId="3" fontId="121" fillId="0" borderId="36" xfId="58" applyNumberFormat="1" applyFont="1" applyBorder="1" applyAlignment="1">
      <alignment horizontal="center"/>
      <protection/>
    </xf>
    <xf numFmtId="0" fontId="124" fillId="35" borderId="0" xfId="58" applyFont="1" applyFill="1" applyAlignment="1">
      <alignment horizontal="center"/>
      <protection/>
    </xf>
    <xf numFmtId="0" fontId="115" fillId="34" borderId="42" xfId="58" applyFont="1" applyFill="1" applyBorder="1" applyAlignment="1">
      <alignment horizontal="center" vertical="center" wrapText="1"/>
      <protection/>
    </xf>
    <xf numFmtId="0" fontId="115" fillId="34" borderId="69" xfId="58" applyFont="1" applyFill="1" applyBorder="1" applyAlignment="1">
      <alignment horizontal="center" vertical="center"/>
      <protection/>
    </xf>
    <xf numFmtId="0" fontId="115" fillId="34" borderId="57" xfId="58" applyFont="1" applyFill="1" applyBorder="1" applyAlignment="1">
      <alignment horizontal="center"/>
      <protection/>
    </xf>
    <xf numFmtId="0" fontId="115" fillId="34" borderId="70" xfId="58" applyFont="1" applyFill="1" applyBorder="1" applyAlignment="1">
      <alignment horizontal="center"/>
      <protection/>
    </xf>
    <xf numFmtId="0" fontId="115" fillId="34" borderId="56" xfId="58" applyFont="1" applyFill="1" applyBorder="1" applyAlignment="1">
      <alignment horizontal="center"/>
      <protection/>
    </xf>
    <xf numFmtId="0" fontId="115" fillId="34" borderId="31" xfId="58" applyFont="1" applyFill="1" applyBorder="1" applyAlignment="1">
      <alignment horizontal="center"/>
      <protection/>
    </xf>
    <xf numFmtId="0" fontId="115" fillId="34" borderId="28" xfId="58" applyFont="1" applyFill="1" applyBorder="1" applyAlignment="1">
      <alignment horizontal="center"/>
      <protection/>
    </xf>
    <xf numFmtId="0" fontId="6" fillId="35" borderId="0" xfId="0" applyFont="1" applyFill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" xfId="60"/>
    <cellStyle name="Normál 8" xfId="61"/>
    <cellStyle name="Normal_KARSZJ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ist&#233;rs&#233;g\2016\K&#246;lts&#233;gvet&#233;s_2016_kist&#233;rs&#233;g\2016.02.15\Ktgfeloszt&#225;s_2016_T&#225;rsul&#225;s%2002.15-re_02.12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246;nkorm&#225;nyzat_2012.07.16-t&#243;l\2016\2016.%20&#233;vi%20k&#246;lts&#233;gvet&#233;s_&#246;nkorm&#225;nyzatok\Balatonf&#246;ldv&#225;r\II.%20fordul&#243;\K&#246;lts&#233;gvet&#233;s_2016_Bf&#246;ldv&#225;r_II.%20fordul&#243;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gy&#233;b\kist&#233;rs&#233;g\2017_kist&#233;rs&#233;g\K&#246;lts&#233;gvet&#233;s%202017\2017.01.27._k&#246;lts&#233;gvet&#233;s%20I.%20fordul&#243;\07%20Ktgfeloszt&#225;s_2017_T&#225;rsul&#225;s_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munka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házi segítségnyújtás bér"/>
    </sheetNames>
    <sheetDataSet>
      <sheetData sheetId="0">
        <row r="19">
          <cell r="I19">
            <v>1532.013888888889</v>
          </cell>
        </row>
        <row r="20">
          <cell r="I20">
            <v>2150.0694444444443</v>
          </cell>
        </row>
        <row r="21">
          <cell r="I21">
            <v>430.0138888888889</v>
          </cell>
        </row>
        <row r="22">
          <cell r="I22">
            <v>3870.125</v>
          </cell>
        </row>
        <row r="23">
          <cell r="I23">
            <v>19780.63888888889</v>
          </cell>
        </row>
        <row r="27">
          <cell r="I27">
            <v>4300.138888888889</v>
          </cell>
        </row>
      </sheetData>
      <sheetData sheetId="1">
        <row r="30">
          <cell r="E30">
            <v>4435</v>
          </cell>
        </row>
        <row r="31">
          <cell r="E31">
            <v>814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724</v>
          </cell>
        </row>
        <row r="35">
          <cell r="E35">
            <v>1448</v>
          </cell>
        </row>
        <row r="36">
          <cell r="E36">
            <v>814</v>
          </cell>
        </row>
        <row r="37">
          <cell r="E37">
            <v>1448</v>
          </cell>
        </row>
        <row r="38">
          <cell r="E38">
            <v>724</v>
          </cell>
        </row>
        <row r="39">
          <cell r="E39">
            <v>724</v>
          </cell>
        </row>
        <row r="40">
          <cell r="E40">
            <v>814</v>
          </cell>
        </row>
        <row r="41">
          <cell r="E41">
            <v>1719</v>
          </cell>
        </row>
        <row r="42">
          <cell r="E42">
            <v>362</v>
          </cell>
        </row>
      </sheetData>
      <sheetData sheetId="4">
        <row r="19">
          <cell r="E19">
            <v>9217</v>
          </cell>
          <cell r="G19">
            <v>2700</v>
          </cell>
          <cell r="H19">
            <v>2555.931733098437</v>
          </cell>
          <cell r="I19">
            <v>571.973936348846</v>
          </cell>
        </row>
        <row r="20">
          <cell r="E20">
            <v>0</v>
          </cell>
          <cell r="G20">
            <v>120</v>
          </cell>
          <cell r="H20">
            <v>0</v>
          </cell>
          <cell r="I20">
            <v>130.5854564031485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173.53763615672247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146.99658592098845</v>
          </cell>
        </row>
        <row r="23">
          <cell r="E23">
            <v>140</v>
          </cell>
          <cell r="G23">
            <v>120</v>
          </cell>
          <cell r="H23">
            <v>624.4483593922045</v>
          </cell>
          <cell r="I23">
            <v>139.74089430595228</v>
          </cell>
        </row>
        <row r="24">
          <cell r="E24">
            <v>0</v>
          </cell>
          <cell r="G24">
            <v>120</v>
          </cell>
          <cell r="H24">
            <v>588.9194010129928</v>
          </cell>
          <cell r="I24">
            <v>131.79011928509635</v>
          </cell>
        </row>
        <row r="25">
          <cell r="E25">
            <v>413</v>
          </cell>
          <cell r="G25">
            <v>0</v>
          </cell>
          <cell r="H25">
            <v>0</v>
          </cell>
          <cell r="I25">
            <v>341.8833258968039</v>
          </cell>
        </row>
        <row r="26">
          <cell r="E26">
            <v>0</v>
          </cell>
          <cell r="G26">
            <v>120</v>
          </cell>
          <cell r="H26">
            <v>0</v>
          </cell>
          <cell r="I26">
            <v>128.41706321564234</v>
          </cell>
        </row>
        <row r="27">
          <cell r="E27">
            <v>0</v>
          </cell>
          <cell r="G27">
            <v>120</v>
          </cell>
          <cell r="H27">
            <v>0</v>
          </cell>
          <cell r="I27">
            <v>97.57769343777701</v>
          </cell>
        </row>
        <row r="28">
          <cell r="E28">
            <v>0</v>
          </cell>
          <cell r="G28">
            <v>120</v>
          </cell>
          <cell r="H28">
            <v>403.7381634001322</v>
          </cell>
          <cell r="I28">
            <v>90.34971614608983</v>
          </cell>
        </row>
        <row r="29">
          <cell r="E29">
            <v>0</v>
          </cell>
          <cell r="G29">
            <v>120</v>
          </cell>
          <cell r="H29">
            <v>715.9623430962343</v>
          </cell>
          <cell r="I29">
            <v>160.22016329906594</v>
          </cell>
        </row>
        <row r="30">
          <cell r="E30">
            <v>0</v>
          </cell>
          <cell r="G30">
            <v>0</v>
          </cell>
          <cell r="H30">
            <v>0</v>
          </cell>
          <cell r="I30">
            <v>136.84970338927738</v>
          </cell>
        </row>
        <row r="31">
          <cell r="E31">
            <v>0</v>
          </cell>
          <cell r="G31">
            <v>0</v>
          </cell>
          <cell r="H31">
            <v>0</v>
          </cell>
          <cell r="I31">
            <v>51.07770619458945</v>
          </cell>
        </row>
      </sheetData>
      <sheetData sheetId="5">
        <row r="9">
          <cell r="F9">
            <v>1187</v>
          </cell>
        </row>
        <row r="10">
          <cell r="F10">
            <v>271</v>
          </cell>
        </row>
        <row r="11">
          <cell r="F11">
            <v>1105</v>
          </cell>
        </row>
        <row r="12">
          <cell r="F12">
            <v>936</v>
          </cell>
        </row>
        <row r="13">
          <cell r="F13">
            <v>290</v>
          </cell>
        </row>
        <row r="14">
          <cell r="F14">
            <v>273</v>
          </cell>
        </row>
        <row r="15">
          <cell r="F15">
            <v>709</v>
          </cell>
        </row>
        <row r="16">
          <cell r="F16">
            <v>267</v>
          </cell>
        </row>
        <row r="17">
          <cell r="F17">
            <v>203</v>
          </cell>
        </row>
        <row r="18">
          <cell r="F18">
            <v>187</v>
          </cell>
        </row>
        <row r="19">
          <cell r="F19">
            <v>333</v>
          </cell>
        </row>
        <row r="20">
          <cell r="F20">
            <v>284</v>
          </cell>
        </row>
        <row r="21">
          <cell r="F21">
            <v>106</v>
          </cell>
        </row>
      </sheetData>
      <sheetData sheetId="6">
        <row r="26">
          <cell r="E26">
            <v>6606.720913200166</v>
          </cell>
        </row>
        <row r="27">
          <cell r="E27">
            <v>1270.384851532849</v>
          </cell>
        </row>
        <row r="28">
          <cell r="E28">
            <v>5140.275808284833</v>
          </cell>
        </row>
        <row r="29">
          <cell r="E29">
            <v>3789.178076782681</v>
          </cell>
        </row>
        <row r="30">
          <cell r="E30">
            <v>366.00397614314113</v>
          </cell>
        </row>
        <row r="31">
          <cell r="E31">
            <v>270.8429423459244</v>
          </cell>
        </row>
        <row r="32">
          <cell r="E32">
            <v>1515.2564612326044</v>
          </cell>
        </row>
        <row r="33">
          <cell r="E33">
            <v>409.92445328031806</v>
          </cell>
        </row>
        <row r="34">
          <cell r="E34">
            <v>190.3220675944334</v>
          </cell>
        </row>
        <row r="35">
          <cell r="E35">
            <v>278.16302186878727</v>
          </cell>
        </row>
        <row r="36">
          <cell r="E36">
            <v>1486.3190778336634</v>
          </cell>
        </row>
        <row r="37">
          <cell r="E37">
            <v>446.5248508946322</v>
          </cell>
        </row>
        <row r="38">
          <cell r="E38">
            <v>322.0834990059642</v>
          </cell>
        </row>
      </sheetData>
      <sheetData sheetId="7">
        <row r="27">
          <cell r="D27">
            <v>3972.975485790436</v>
          </cell>
        </row>
        <row r="28">
          <cell r="D28">
            <v>907.0567452815569</v>
          </cell>
        </row>
        <row r="29">
          <cell r="D29">
            <v>3698.5155112033967</v>
          </cell>
        </row>
        <row r="30">
          <cell r="D30">
            <v>3132.86019772523</v>
          </cell>
        </row>
        <row r="31">
          <cell r="D31">
            <v>647.1007530913937</v>
          </cell>
        </row>
        <row r="32">
          <cell r="D32">
            <v>610.2829516224007</v>
          </cell>
        </row>
        <row r="33">
          <cell r="D33">
            <v>1583.165463166703</v>
          </cell>
        </row>
        <row r="34">
          <cell r="D34">
            <v>594.6632782719187</v>
          </cell>
        </row>
        <row r="35">
          <cell r="D35">
            <v>451.8548362103697</v>
          </cell>
        </row>
        <row r="36">
          <cell r="D36">
            <v>418.3841076021942</v>
          </cell>
        </row>
        <row r="37">
          <cell r="D37">
            <v>1112.9017262218365</v>
          </cell>
        </row>
        <row r="38">
          <cell r="D38">
            <v>633.7124616481235</v>
          </cell>
        </row>
        <row r="39">
          <cell r="D39">
            <v>236.52648216444044</v>
          </cell>
        </row>
      </sheetData>
      <sheetData sheetId="9">
        <row r="39">
          <cell r="F39">
            <v>4337.5680875326125</v>
          </cell>
        </row>
        <row r="40">
          <cell r="F40">
            <v>144.76196438191909</v>
          </cell>
        </row>
        <row r="41">
          <cell r="F41">
            <v>15.808811575353602</v>
          </cell>
        </row>
        <row r="42">
          <cell r="F42">
            <v>13.39099333441717</v>
          </cell>
        </row>
        <row r="43">
          <cell r="F43">
            <v>154.9113271983636</v>
          </cell>
        </row>
        <row r="44">
          <cell r="F44">
            <v>146.09740685776706</v>
          </cell>
        </row>
        <row r="45">
          <cell r="F45">
            <v>10.150544626889936</v>
          </cell>
        </row>
        <row r="46">
          <cell r="F46">
            <v>3.812713379938222</v>
          </cell>
        </row>
        <row r="47">
          <cell r="F47">
            <v>2.8970899040806373</v>
          </cell>
        </row>
        <row r="48">
          <cell r="F48">
            <v>100.15818568859716</v>
          </cell>
        </row>
        <row r="49">
          <cell r="F49">
            <v>177.61384928777898</v>
          </cell>
        </row>
        <row r="50">
          <cell r="F50">
            <v>151.70626525632852</v>
          </cell>
        </row>
        <row r="51">
          <cell r="F51">
            <v>56.6227609759536</v>
          </cell>
        </row>
      </sheetData>
      <sheetData sheetId="10">
        <row r="41">
          <cell r="V41">
            <v>520.3849187844162</v>
          </cell>
        </row>
        <row r="42">
          <cell r="V42">
            <v>362.1350290068098</v>
          </cell>
        </row>
        <row r="43">
          <cell r="V43">
            <v>255.1405886184342</v>
          </cell>
        </row>
        <row r="44">
          <cell r="V44">
            <v>106.99444038837574</v>
          </cell>
        </row>
        <row r="45">
          <cell r="V45">
            <v>127.20520236952395</v>
          </cell>
        </row>
        <row r="46">
          <cell r="V46">
            <v>360.3308127379277</v>
          </cell>
        </row>
        <row r="47">
          <cell r="V47">
            <v>527.4270583634043</v>
          </cell>
        </row>
        <row r="49">
          <cell r="V49">
            <v>820.5843512550781</v>
          </cell>
        </row>
        <row r="50">
          <cell r="V50">
            <v>369.40621679163354</v>
          </cell>
        </row>
        <row r="51">
          <cell r="V51">
            <v>369.40621679163354</v>
          </cell>
        </row>
        <row r="53">
          <cell r="V53">
            <v>-189.20243305212784</v>
          </cell>
        </row>
        <row r="54">
          <cell r="V54">
            <v>-53.724147656776864</v>
          </cell>
        </row>
        <row r="56">
          <cell r="V56">
            <v>-48.74203084154669</v>
          </cell>
        </row>
        <row r="57">
          <cell r="V57">
            <v>394.7414064432139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Bev-kiad."/>
      <sheetName val="2.működés"/>
      <sheetName val="3.felh"/>
      <sheetName val="pályázatok"/>
      <sheetName val="4. Átadott p.eszk."/>
      <sheetName val="5.Bev.össz."/>
      <sheetName val="6.Kiad.össz."/>
      <sheetName val="7.finanszírozás"/>
      <sheetName val="8.Önk."/>
      <sheetName val="9.hivatal"/>
      <sheetName val="10. közösségi ház"/>
      <sheetName val="11.GAMESZ"/>
      <sheetName val="12.Adósság"/>
      <sheetName val="13.Likviditás"/>
      <sheetName val="14.Eu projekt"/>
      <sheetName val="15. gördülő tervezés"/>
      <sheetName val="2.Műk.régi"/>
      <sheetName val="3.Felh.régi"/>
      <sheetName val="8.1.Önk.1.régi"/>
      <sheetName val="8.2.Önk.2.régi"/>
      <sheetName val="8.3.Önk.3.régi"/>
      <sheetName val="9.1.Hiv.1.régi"/>
      <sheetName val="9.2.Hiv.2.régi"/>
      <sheetName val="10.Közösségi Ház régi"/>
      <sheetName val="11.1.GAMESZ 1.régi"/>
      <sheetName val="11.2. GAMESZ 2.régi"/>
      <sheetName val="Hivatal hj. felosztás"/>
      <sheetName val="TKT feloszt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munka"/>
      <sheetName val="Összesítő"/>
      <sheetName val="házi segítségnyújtás bér"/>
    </sheetNames>
    <sheetDataSet>
      <sheetData sheetId="9">
        <row r="57">
          <cell r="V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0"/>
  <sheetViews>
    <sheetView zoomScalePageLayoutView="0" workbookViewId="0" topLeftCell="A1">
      <selection activeCell="A101" sqref="A101"/>
    </sheetView>
  </sheetViews>
  <sheetFormatPr defaultColWidth="9.00390625" defaultRowHeight="12.75"/>
  <cols>
    <col min="1" max="1" width="8.00390625" style="2" customWidth="1"/>
    <col min="2" max="2" width="77.25390625" style="0" customWidth="1"/>
    <col min="3" max="3" width="16.375" style="0" customWidth="1"/>
    <col min="4" max="4" width="13.00390625" style="0" customWidth="1"/>
    <col min="5" max="5" width="13.375" style="51" customWidth="1"/>
    <col min="6" max="6" width="6.375" style="0" hidden="1" customWidth="1"/>
    <col min="7" max="7" width="9.125" style="0" hidden="1" customWidth="1"/>
  </cols>
  <sheetData>
    <row r="1" spans="1:34" ht="4.5" customHeight="1">
      <c r="A1" s="72"/>
      <c r="B1" s="48"/>
      <c r="C1" s="48"/>
      <c r="D1" s="48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.75" customHeight="1">
      <c r="A2" s="72"/>
      <c r="B2" s="955" t="s">
        <v>29</v>
      </c>
      <c r="C2" s="955"/>
      <c r="D2" s="955"/>
      <c r="E2" s="9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.75" customHeight="1">
      <c r="A3" s="72"/>
      <c r="B3" s="955" t="s">
        <v>844</v>
      </c>
      <c r="C3" s="955"/>
      <c r="D3" s="955"/>
      <c r="E3" s="9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0.5" customHeight="1" thickBot="1">
      <c r="A4" s="72"/>
      <c r="B4" s="1"/>
      <c r="C4" s="1"/>
      <c r="D4" s="1"/>
      <c r="E4" s="73" t="s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2.25" customHeight="1" thickBot="1">
      <c r="A5" s="957" t="s">
        <v>162</v>
      </c>
      <c r="B5" s="953" t="s">
        <v>843</v>
      </c>
      <c r="C5" s="952" t="s">
        <v>806</v>
      </c>
      <c r="D5" s="953"/>
      <c r="E5" s="95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30.75" customHeight="1" thickBot="1">
      <c r="A6" s="958"/>
      <c r="B6" s="959"/>
      <c r="C6" s="183" t="s">
        <v>49</v>
      </c>
      <c r="D6" s="60" t="s">
        <v>845</v>
      </c>
      <c r="E6" s="801" t="s">
        <v>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 customHeight="1">
      <c r="A7" s="779" t="s">
        <v>164</v>
      </c>
      <c r="B7" s="533" t="s">
        <v>438</v>
      </c>
      <c r="C7" s="323">
        <f>SUM(C8+C13+C19+C25+C34+C37+C39)</f>
        <v>39018</v>
      </c>
      <c r="D7" s="323">
        <f>SUM(D8+D13+D19+D25+D34+D37+D39)</f>
        <v>120</v>
      </c>
      <c r="E7" s="323">
        <f>SUM(E8+E13+E19+E25+E34+E37+E39)</f>
        <v>39138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 customHeight="1">
      <c r="A8" s="780" t="s">
        <v>165</v>
      </c>
      <c r="B8" s="35" t="s">
        <v>268</v>
      </c>
      <c r="C8" s="52">
        <f>SUM(C9:C12)</f>
        <v>1766</v>
      </c>
      <c r="D8" s="52">
        <f>SUM(D9:D12)</f>
        <v>0</v>
      </c>
      <c r="E8" s="52">
        <f>SUM(E9:E12)</f>
        <v>1766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>
      <c r="A9" s="10" t="s">
        <v>261</v>
      </c>
      <c r="B9" s="545" t="s">
        <v>892</v>
      </c>
      <c r="C9" s="18">
        <v>1049</v>
      </c>
      <c r="D9" s="18"/>
      <c r="E9" s="18">
        <f>C9+D9</f>
        <v>1049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10" t="s">
        <v>261</v>
      </c>
      <c r="B10" s="10" t="s">
        <v>929</v>
      </c>
      <c r="C10" s="18">
        <v>18</v>
      </c>
      <c r="D10" s="18"/>
      <c r="E10" s="18">
        <f>C10+D10</f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10" t="s">
        <v>170</v>
      </c>
      <c r="B11" s="10" t="s">
        <v>898</v>
      </c>
      <c r="C11" s="18">
        <v>102</v>
      </c>
      <c r="D11" s="18"/>
      <c r="E11" s="18">
        <f>C11+D11</f>
        <v>102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s="10" t="s">
        <v>170</v>
      </c>
      <c r="B12" s="10" t="s">
        <v>895</v>
      </c>
      <c r="C12" s="18">
        <v>597</v>
      </c>
      <c r="D12" s="18"/>
      <c r="E12" s="18">
        <f>C12+D12</f>
        <v>597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3.5" customHeight="1">
      <c r="A13" s="20" t="s">
        <v>176</v>
      </c>
      <c r="B13" s="35" t="s">
        <v>269</v>
      </c>
      <c r="C13" s="52">
        <f>SUM(C14:C18)</f>
        <v>0</v>
      </c>
      <c r="D13" s="52">
        <f>SUM(D14:D18)</f>
        <v>0</v>
      </c>
      <c r="E13" s="52">
        <f>SUM(E14:E18)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 hidden="1">
      <c r="A14" s="10" t="s">
        <v>177</v>
      </c>
      <c r="B14" s="31" t="s">
        <v>856</v>
      </c>
      <c r="C14" s="18"/>
      <c r="D14" s="18"/>
      <c r="E14" s="18">
        <f>C14+D14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hidden="1">
      <c r="A15" s="10" t="s">
        <v>177</v>
      </c>
      <c r="B15" s="31" t="s">
        <v>857</v>
      </c>
      <c r="C15" s="18"/>
      <c r="D15" s="18"/>
      <c r="E15" s="18">
        <f>C15+D15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 hidden="1">
      <c r="A16" s="10" t="s">
        <v>177</v>
      </c>
      <c r="B16" s="10" t="s">
        <v>858</v>
      </c>
      <c r="C16" s="18"/>
      <c r="D16" s="18"/>
      <c r="E16" s="18">
        <f>C16+D16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 hidden="1">
      <c r="A17" s="10" t="s">
        <v>177</v>
      </c>
      <c r="B17" s="10" t="s">
        <v>865</v>
      </c>
      <c r="C17" s="18"/>
      <c r="D17" s="18"/>
      <c r="E17" s="18">
        <f>C17+D17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 hidden="1">
      <c r="A18" s="10" t="s">
        <v>177</v>
      </c>
      <c r="B18" s="31" t="s">
        <v>881</v>
      </c>
      <c r="C18" s="18"/>
      <c r="D18" s="18"/>
      <c r="E18" s="18">
        <f>C18+D18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8" customHeight="1">
      <c r="A19" s="780" t="s">
        <v>185</v>
      </c>
      <c r="B19" s="35" t="s">
        <v>141</v>
      </c>
      <c r="C19" s="57">
        <f>SUM(C20:C24)</f>
        <v>36200</v>
      </c>
      <c r="D19" s="57">
        <f>SUM(D20:D24)</f>
        <v>100</v>
      </c>
      <c r="E19" s="57">
        <f>SUM(E20:E24)</f>
        <v>36300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 hidden="1">
      <c r="A20" s="10" t="s">
        <v>189</v>
      </c>
      <c r="B20" s="10" t="s">
        <v>807</v>
      </c>
      <c r="C20" s="799"/>
      <c r="D20" s="799"/>
      <c r="E20" s="79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10" t="s">
        <v>189</v>
      </c>
      <c r="B21" s="10" t="s">
        <v>808</v>
      </c>
      <c r="C21" s="18">
        <v>500</v>
      </c>
      <c r="D21" s="18"/>
      <c r="E21" s="18">
        <f>C21+D21</f>
        <v>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10" t="s">
        <v>899</v>
      </c>
      <c r="B22" s="10" t="s">
        <v>901</v>
      </c>
      <c r="C22" s="18">
        <v>35000</v>
      </c>
      <c r="D22" s="18"/>
      <c r="E22" s="18">
        <f>C22+D22</f>
        <v>35000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10" t="s">
        <v>900</v>
      </c>
      <c r="B23" s="10" t="s">
        <v>902</v>
      </c>
      <c r="C23" s="18">
        <v>700</v>
      </c>
      <c r="D23" s="18"/>
      <c r="E23" s="18">
        <f>C23+D23</f>
        <v>700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>
      <c r="A24" s="10" t="s">
        <v>191</v>
      </c>
      <c r="B24" s="10" t="s">
        <v>846</v>
      </c>
      <c r="C24" s="18"/>
      <c r="D24" s="18">
        <v>100</v>
      </c>
      <c r="E24" s="18">
        <f>C24+D24</f>
        <v>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66" customFormat="1" ht="18" customHeight="1">
      <c r="A25" s="780" t="s">
        <v>196</v>
      </c>
      <c r="B25" s="35" t="s">
        <v>270</v>
      </c>
      <c r="C25" s="57">
        <f>SUM(C26:C33)</f>
        <v>1052</v>
      </c>
      <c r="D25" s="57">
        <f>SUM(D26:D33)</f>
        <v>20</v>
      </c>
      <c r="E25" s="57">
        <f>SUM(E26:E33)</f>
        <v>1072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5" customHeight="1">
      <c r="A26" s="781" t="s">
        <v>203</v>
      </c>
      <c r="B26" s="31" t="s">
        <v>903</v>
      </c>
      <c r="C26" s="19">
        <v>1050</v>
      </c>
      <c r="D26" s="19"/>
      <c r="E26" s="18">
        <f>C26+D26</f>
        <v>1050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3.5" customHeight="1">
      <c r="A27" s="781" t="s">
        <v>211</v>
      </c>
      <c r="B27" s="31" t="s">
        <v>904</v>
      </c>
      <c r="C27" s="19">
        <v>1</v>
      </c>
      <c r="D27" s="19"/>
      <c r="E27" s="18">
        <f>C27+D27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3.5" customHeight="1">
      <c r="A28" s="781" t="s">
        <v>219</v>
      </c>
      <c r="B28" s="31" t="s">
        <v>905</v>
      </c>
      <c r="C28" s="19">
        <v>1</v>
      </c>
      <c r="D28" s="19"/>
      <c r="E28" s="18">
        <f>C28+D28</f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.5" customHeight="1">
      <c r="A29" s="781" t="s">
        <v>493</v>
      </c>
      <c r="B29" s="31" t="s">
        <v>934</v>
      </c>
      <c r="C29" s="19"/>
      <c r="D29" s="19">
        <v>20</v>
      </c>
      <c r="E29" s="18">
        <f>C29+D29</f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3.5" customHeight="1" hidden="1">
      <c r="A30" s="781"/>
      <c r="B30" s="31"/>
      <c r="C30" s="19"/>
      <c r="D30" s="19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3.5" customHeight="1" hidden="1">
      <c r="A31" s="781"/>
      <c r="B31" s="31"/>
      <c r="C31" s="19"/>
      <c r="D31" s="19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3.5" customHeight="1" hidden="1">
      <c r="A32" s="781"/>
      <c r="B32" s="31"/>
      <c r="C32" s="19"/>
      <c r="D32" s="19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3.5" customHeight="1" hidden="1">
      <c r="A33" s="781" t="s">
        <v>203</v>
      </c>
      <c r="B33" s="31"/>
      <c r="C33" s="19"/>
      <c r="D33" s="19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7.25" customHeight="1">
      <c r="A34" s="780" t="s">
        <v>223</v>
      </c>
      <c r="B34" s="35" t="s">
        <v>271</v>
      </c>
      <c r="C34" s="57">
        <f>SUM(C35:C36)</f>
        <v>0</v>
      </c>
      <c r="D34" s="57">
        <f>SUM(D35:D36)</f>
        <v>0</v>
      </c>
      <c r="E34" s="57">
        <f>SUM(E35:E36)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3.5" customHeight="1" hidden="1">
      <c r="A35" s="280" t="s">
        <v>225</v>
      </c>
      <c r="B35" s="31" t="s">
        <v>838</v>
      </c>
      <c r="C35" s="312"/>
      <c r="D35" s="312"/>
      <c r="E35" s="18">
        <f>C35+D35</f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3.5" customHeight="1" hidden="1">
      <c r="A36" s="280" t="s">
        <v>225</v>
      </c>
      <c r="B36" s="31"/>
      <c r="C36" s="312"/>
      <c r="D36" s="312"/>
      <c r="E36" s="3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" customHeight="1">
      <c r="A37" s="780" t="s">
        <v>234</v>
      </c>
      <c r="B37" s="35" t="s">
        <v>272</v>
      </c>
      <c r="C37" s="57">
        <f>SUM(C38:C38)</f>
        <v>0</v>
      </c>
      <c r="D37" s="57">
        <f>SUM(D38:D38)</f>
        <v>0</v>
      </c>
      <c r="E37" s="57">
        <f>SUM(E38:E38)</f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3.5" customHeight="1" hidden="1">
      <c r="A38" s="782" t="s">
        <v>501</v>
      </c>
      <c r="B38" s="10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>
      <c r="A39" s="780" t="s">
        <v>235</v>
      </c>
      <c r="B39" s="35" t="s">
        <v>273</v>
      </c>
      <c r="C39" s="57">
        <f>SUM(C40:C40)</f>
        <v>0</v>
      </c>
      <c r="D39" s="57">
        <f>SUM(D40:D40)</f>
        <v>0</v>
      </c>
      <c r="E39" s="57">
        <f>SUM(E40:E40)</f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3.5" customHeight="1">
      <c r="A40" s="781" t="s">
        <v>880</v>
      </c>
      <c r="B40" s="31" t="s">
        <v>882</v>
      </c>
      <c r="C40" s="18"/>
      <c r="D40" s="18"/>
      <c r="E40" s="18">
        <f>C40+D40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9.5" customHeight="1">
      <c r="A41" s="783" t="s">
        <v>809</v>
      </c>
      <c r="B41" s="354" t="s">
        <v>439</v>
      </c>
      <c r="C41" s="57">
        <f>SUM(C42+C47)</f>
        <v>-78200</v>
      </c>
      <c r="D41" s="57">
        <f>SUM(D42+D47)</f>
        <v>0</v>
      </c>
      <c r="E41" s="57">
        <f>SUM(E42+E47)</f>
        <v>-78200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783"/>
      <c r="B42" s="35" t="s">
        <v>810</v>
      </c>
      <c r="C42" s="57">
        <f>SUM(C43+C46)</f>
        <v>0</v>
      </c>
      <c r="D42" s="57">
        <f>SUM(D43+D46)</f>
        <v>0</v>
      </c>
      <c r="E42" s="57">
        <f>SUM(E43+E46)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hidden="1">
      <c r="A43" s="781"/>
      <c r="B43" s="45" t="s">
        <v>811</v>
      </c>
      <c r="C43" s="18">
        <f>C44+C45</f>
        <v>0</v>
      </c>
      <c r="D43" s="18">
        <f>D44+D45</f>
        <v>0</v>
      </c>
      <c r="E43" s="18">
        <f>E44+E45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787" customFormat="1" ht="13.5" customHeight="1" hidden="1">
      <c r="A44" s="784"/>
      <c r="B44" s="785" t="s">
        <v>812</v>
      </c>
      <c r="C44" s="378"/>
      <c r="D44" s="378"/>
      <c r="E44" s="378">
        <f>SUM(C44:D44)</f>
        <v>0</v>
      </c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786"/>
      <c r="Y44" s="786"/>
      <c r="Z44" s="786"/>
      <c r="AA44" s="786"/>
      <c r="AB44" s="786"/>
      <c r="AC44" s="786"/>
      <c r="AD44" s="786"/>
      <c r="AE44" s="786"/>
      <c r="AF44" s="786"/>
      <c r="AG44" s="786"/>
      <c r="AH44" s="786"/>
    </row>
    <row r="45" spans="1:34" s="787" customFormat="1" ht="13.5" customHeight="1" hidden="1">
      <c r="A45" s="784"/>
      <c r="B45" s="785" t="s">
        <v>813</v>
      </c>
      <c r="C45" s="378"/>
      <c r="D45" s="378"/>
      <c r="E45" s="378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  <c r="AA45" s="786"/>
      <c r="AB45" s="786"/>
      <c r="AC45" s="786"/>
      <c r="AD45" s="786"/>
      <c r="AE45" s="786"/>
      <c r="AF45" s="786"/>
      <c r="AG45" s="786"/>
      <c r="AH45" s="786"/>
    </row>
    <row r="46" spans="1:34" s="787" customFormat="1" ht="13.5" customHeight="1" hidden="1">
      <c r="A46" s="784"/>
      <c r="B46" s="45" t="s">
        <v>814</v>
      </c>
      <c r="C46" s="18"/>
      <c r="D46" s="18"/>
      <c r="E46" s="18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6"/>
      <c r="T46" s="786"/>
      <c r="U46" s="786"/>
      <c r="V46" s="786"/>
      <c r="W46" s="786"/>
      <c r="X46" s="786"/>
      <c r="Y46" s="786"/>
      <c r="Z46" s="786"/>
      <c r="AA46" s="786"/>
      <c r="AB46" s="786"/>
      <c r="AC46" s="786"/>
      <c r="AD46" s="786"/>
      <c r="AE46" s="786"/>
      <c r="AF46" s="786"/>
      <c r="AG46" s="786"/>
      <c r="AH46" s="786"/>
    </row>
    <row r="47" spans="1:34" ht="18" customHeight="1">
      <c r="A47" s="781"/>
      <c r="B47" s="35" t="s">
        <v>815</v>
      </c>
      <c r="C47" s="57">
        <f>SUM(C48:C48)</f>
        <v>-78200</v>
      </c>
      <c r="D47" s="57">
        <f>SUM(D48:D48)</f>
        <v>0</v>
      </c>
      <c r="E47" s="57">
        <f>SUM(E48:E48)</f>
        <v>-78200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thickBot="1">
      <c r="A48" s="788"/>
      <c r="B48" s="15" t="s">
        <v>816</v>
      </c>
      <c r="C48" s="15">
        <v>-78200</v>
      </c>
      <c r="D48" s="15"/>
      <c r="E48" s="18">
        <f>C48+D48</f>
        <v>-78200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3.25" customHeight="1" thickBot="1">
      <c r="A49" s="789"/>
      <c r="B49" s="62" t="s">
        <v>817</v>
      </c>
      <c r="C49" s="802">
        <f>SUM(C7+C41)</f>
        <v>-39182</v>
      </c>
      <c r="D49" s="802">
        <f>SUM(D7+D41)</f>
        <v>120</v>
      </c>
      <c r="E49" s="63">
        <f>SUM(E7+E41)</f>
        <v>-39062</v>
      </c>
      <c r="F49" s="9">
        <f>E49-E99</f>
        <v>0</v>
      </c>
      <c r="G49" s="9" t="e">
        <f>'1.Bev-kiad.'!F60</f>
        <v>#REF!</v>
      </c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1.75" customHeight="1">
      <c r="A50" s="779" t="s">
        <v>818</v>
      </c>
      <c r="B50" s="532" t="s">
        <v>440</v>
      </c>
      <c r="C50" s="325">
        <f>SUM(C51+C85)</f>
        <v>-44888</v>
      </c>
      <c r="D50" s="325">
        <f>SUM(D51+D85)</f>
        <v>5826</v>
      </c>
      <c r="E50" s="325">
        <f>SUM(E51+E85)</f>
        <v>-39062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customHeight="1">
      <c r="A51" s="780" t="s">
        <v>249</v>
      </c>
      <c r="B51" s="362" t="s">
        <v>9</v>
      </c>
      <c r="C51" s="52">
        <f>SUM(C52:C84)</f>
        <v>33312</v>
      </c>
      <c r="D51" s="52">
        <f>SUM(D52:D84)</f>
        <v>5826</v>
      </c>
      <c r="E51" s="52">
        <f>SUM(E52:E84)</f>
        <v>39138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781" t="s">
        <v>867</v>
      </c>
      <c r="B52" s="10" t="s">
        <v>931</v>
      </c>
      <c r="C52" s="541"/>
      <c r="D52" s="541">
        <v>-2000</v>
      </c>
      <c r="E52" s="18">
        <f aca="true" t="shared" si="0" ref="E52:E84">C52+D52</f>
        <v>-2000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781" t="s">
        <v>819</v>
      </c>
      <c r="B53" s="10" t="s">
        <v>930</v>
      </c>
      <c r="C53" s="541"/>
      <c r="D53" s="541">
        <v>15</v>
      </c>
      <c r="E53" s="18">
        <f>C53+D53</f>
        <v>15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 hidden="1">
      <c r="A54" s="781" t="s">
        <v>841</v>
      </c>
      <c r="B54" s="10" t="s">
        <v>847</v>
      </c>
      <c r="C54" s="541"/>
      <c r="D54" s="541"/>
      <c r="E54" s="18">
        <f t="shared" si="0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781" t="s">
        <v>866</v>
      </c>
      <c r="B55" s="10" t="s">
        <v>925</v>
      </c>
      <c r="C55" s="541">
        <v>525</v>
      </c>
      <c r="D55" s="541">
        <v>1675</v>
      </c>
      <c r="E55" s="18">
        <f t="shared" si="0"/>
        <v>2200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781" t="s">
        <v>819</v>
      </c>
      <c r="B56" s="10" t="s">
        <v>932</v>
      </c>
      <c r="C56" s="541"/>
      <c r="D56" s="541">
        <f>-200-600</f>
        <v>-800</v>
      </c>
      <c r="E56" s="18">
        <f t="shared" si="0"/>
        <v>-800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781" t="s">
        <v>819</v>
      </c>
      <c r="B57" s="10" t="s">
        <v>842</v>
      </c>
      <c r="C57" s="541"/>
      <c r="D57" s="541">
        <f>2000+722</f>
        <v>2722</v>
      </c>
      <c r="E57" s="18">
        <f t="shared" si="0"/>
        <v>2722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781" t="s">
        <v>926</v>
      </c>
      <c r="B58" s="10" t="s">
        <v>927</v>
      </c>
      <c r="C58" s="541">
        <v>50</v>
      </c>
      <c r="D58" s="541"/>
      <c r="E58" s="18">
        <f t="shared" si="0"/>
        <v>50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781" t="s">
        <v>868</v>
      </c>
      <c r="B59" s="10" t="s">
        <v>728</v>
      </c>
      <c r="C59" s="541">
        <f>69+518</f>
        <v>587</v>
      </c>
      <c r="D59" s="541">
        <v>200</v>
      </c>
      <c r="E59" s="18">
        <f t="shared" si="0"/>
        <v>787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781" t="s">
        <v>264</v>
      </c>
      <c r="B60" s="10" t="s">
        <v>928</v>
      </c>
      <c r="C60" s="541">
        <v>251</v>
      </c>
      <c r="D60" s="541">
        <v>731</v>
      </c>
      <c r="E60" s="18">
        <f t="shared" si="0"/>
        <v>982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781" t="s">
        <v>264</v>
      </c>
      <c r="B61" s="10" t="s">
        <v>933</v>
      </c>
      <c r="C61" s="541">
        <v>116</v>
      </c>
      <c r="D61" s="541">
        <f>3+600+159+163</f>
        <v>925</v>
      </c>
      <c r="E61" s="18">
        <f t="shared" si="0"/>
        <v>1041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>
      <c r="A62" s="781" t="s">
        <v>935</v>
      </c>
      <c r="B62" s="10" t="s">
        <v>936</v>
      </c>
      <c r="C62" s="541"/>
      <c r="D62" s="541">
        <v>430</v>
      </c>
      <c r="E62" s="18">
        <f t="shared" si="0"/>
        <v>430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>
      <c r="A63" s="781" t="s">
        <v>935</v>
      </c>
      <c r="B63" s="10" t="s">
        <v>937</v>
      </c>
      <c r="C63" s="541"/>
      <c r="D63" s="541">
        <v>70</v>
      </c>
      <c r="E63" s="18">
        <f t="shared" si="0"/>
        <v>70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>
      <c r="A64" s="781" t="s">
        <v>820</v>
      </c>
      <c r="B64" s="10" t="s">
        <v>938</v>
      </c>
      <c r="C64" s="541"/>
      <c r="D64" s="541">
        <v>560</v>
      </c>
      <c r="E64" s="18">
        <f t="shared" si="0"/>
        <v>560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781" t="s">
        <v>939</v>
      </c>
      <c r="B65" s="10" t="s">
        <v>940</v>
      </c>
      <c r="C65" s="541"/>
      <c r="D65" s="541">
        <v>100</v>
      </c>
      <c r="E65" s="18">
        <f t="shared" si="0"/>
        <v>100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781" t="s">
        <v>941</v>
      </c>
      <c r="B66" s="10" t="s">
        <v>359</v>
      </c>
      <c r="C66" s="541"/>
      <c r="D66" s="541">
        <v>350</v>
      </c>
      <c r="E66" s="18">
        <f t="shared" si="0"/>
        <v>350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781" t="s">
        <v>821</v>
      </c>
      <c r="B67" s="10" t="s">
        <v>942</v>
      </c>
      <c r="C67" s="541"/>
      <c r="D67" s="541">
        <v>90</v>
      </c>
      <c r="E67" s="18">
        <f t="shared" si="0"/>
        <v>90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>
      <c r="A68" s="781" t="s">
        <v>821</v>
      </c>
      <c r="B68" s="10" t="s">
        <v>890</v>
      </c>
      <c r="C68" s="541">
        <v>888</v>
      </c>
      <c r="D68" s="541"/>
      <c r="E68" s="18">
        <f t="shared" si="0"/>
        <v>888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>
      <c r="A69" s="781" t="s">
        <v>822</v>
      </c>
      <c r="B69" s="10" t="s">
        <v>889</v>
      </c>
      <c r="C69" s="541">
        <v>4362</v>
      </c>
      <c r="D69" s="541"/>
      <c r="E69" s="18">
        <f t="shared" si="0"/>
        <v>4362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781" t="s">
        <v>822</v>
      </c>
      <c r="B70" s="10" t="s">
        <v>943</v>
      </c>
      <c r="C70" s="541"/>
      <c r="D70" s="541">
        <v>508</v>
      </c>
      <c r="E70" s="18">
        <f t="shared" si="0"/>
        <v>508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>
      <c r="A71" s="781" t="s">
        <v>869</v>
      </c>
      <c r="B71" s="10" t="s">
        <v>909</v>
      </c>
      <c r="C71" s="541">
        <v>850</v>
      </c>
      <c r="D71" s="541"/>
      <c r="E71" s="18">
        <f t="shared" si="0"/>
        <v>850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781" t="s">
        <v>869</v>
      </c>
      <c r="B72" s="10" t="s">
        <v>944</v>
      </c>
      <c r="C72" s="541"/>
      <c r="D72" s="541">
        <v>-100</v>
      </c>
      <c r="E72" s="18">
        <f t="shared" si="0"/>
        <v>-100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>
      <c r="A73" s="781" t="s">
        <v>869</v>
      </c>
      <c r="B73" s="10" t="s">
        <v>911</v>
      </c>
      <c r="C73" s="541">
        <v>750</v>
      </c>
      <c r="D73" s="541">
        <v>100</v>
      </c>
      <c r="E73" s="18">
        <f t="shared" si="0"/>
        <v>850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781" t="s">
        <v>869</v>
      </c>
      <c r="B74" s="10" t="s">
        <v>912</v>
      </c>
      <c r="C74" s="541">
        <v>178</v>
      </c>
      <c r="D74" s="541"/>
      <c r="E74" s="18">
        <f t="shared" si="0"/>
        <v>178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>
      <c r="A75" s="781" t="s">
        <v>869</v>
      </c>
      <c r="B75" s="10" t="s">
        <v>910</v>
      </c>
      <c r="C75" s="541">
        <v>22</v>
      </c>
      <c r="D75" s="541"/>
      <c r="E75" s="18">
        <f t="shared" si="0"/>
        <v>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781" t="s">
        <v>823</v>
      </c>
      <c r="B76" s="10" t="s">
        <v>824</v>
      </c>
      <c r="C76" s="541">
        <f>1178+240</f>
        <v>1418</v>
      </c>
      <c r="D76" s="541"/>
      <c r="E76" s="18">
        <f t="shared" si="0"/>
        <v>1418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808" customFormat="1" ht="25.5">
      <c r="A77" s="790" t="s">
        <v>825</v>
      </c>
      <c r="B77" s="807" t="s">
        <v>945</v>
      </c>
      <c r="C77" s="541">
        <v>2400</v>
      </c>
      <c r="D77" s="541">
        <f>50+200</f>
        <v>250</v>
      </c>
      <c r="E77" s="541">
        <f>C77+D77</f>
        <v>2650</v>
      </c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</row>
    <row r="78" spans="1:34" ht="12.75">
      <c r="A78" s="781" t="s">
        <v>897</v>
      </c>
      <c r="B78" s="10" t="s">
        <v>898</v>
      </c>
      <c r="C78" s="541">
        <v>102</v>
      </c>
      <c r="D78" s="541"/>
      <c r="E78" s="18">
        <f>C78+D78</f>
        <v>102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781" t="s">
        <v>871</v>
      </c>
      <c r="B79" s="10" t="s">
        <v>906</v>
      </c>
      <c r="C79" s="541">
        <v>25</v>
      </c>
      <c r="D79" s="541"/>
      <c r="E79" s="18">
        <f>C79+D79</f>
        <v>25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781" t="s">
        <v>893</v>
      </c>
      <c r="B80" s="10" t="s">
        <v>894</v>
      </c>
      <c r="C80" s="541">
        <v>1124</v>
      </c>
      <c r="D80" s="541"/>
      <c r="E80" s="18">
        <f t="shared" si="0"/>
        <v>1124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790" t="s">
        <v>826</v>
      </c>
      <c r="B81" s="31" t="s">
        <v>922</v>
      </c>
      <c r="C81" s="541">
        <v>2862</v>
      </c>
      <c r="D81" s="541"/>
      <c r="E81" s="18">
        <f t="shared" si="0"/>
        <v>2862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364" customFormat="1" ht="12.75">
      <c r="A82" s="781" t="s">
        <v>827</v>
      </c>
      <c r="B82" s="30" t="s">
        <v>915</v>
      </c>
      <c r="C82" s="18">
        <v>129</v>
      </c>
      <c r="D82" s="18"/>
      <c r="E82" s="18">
        <f t="shared" si="0"/>
        <v>129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>
      <c r="A83" s="781" t="s">
        <v>828</v>
      </c>
      <c r="B83" s="791" t="s">
        <v>829</v>
      </c>
      <c r="C83" s="18">
        <f>-5540-1128-75+597+36200+1052-25-4200-129-703-3232-1044-2238</f>
        <v>19535</v>
      </c>
      <c r="D83" s="18"/>
      <c r="E83" s="18">
        <f t="shared" si="0"/>
        <v>19535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>
      <c r="A84" s="781" t="s">
        <v>828</v>
      </c>
      <c r="B84" s="30" t="s">
        <v>921</v>
      </c>
      <c r="C84" s="18">
        <v>-2862</v>
      </c>
      <c r="D84" s="18"/>
      <c r="E84" s="18">
        <f t="shared" si="0"/>
        <v>-2862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8" customHeight="1">
      <c r="A85" s="780" t="s">
        <v>250</v>
      </c>
      <c r="B85" s="35" t="s">
        <v>274</v>
      </c>
      <c r="C85" s="324">
        <f>SUM(C86:C93)</f>
        <v>-78200</v>
      </c>
      <c r="D85" s="324">
        <f>SUM(D86:D93)</f>
        <v>0</v>
      </c>
      <c r="E85" s="324">
        <f>SUM(E86:E93)</f>
        <v>-78200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792" customFormat="1" ht="12.75">
      <c r="A86" s="790" t="s">
        <v>830</v>
      </c>
      <c r="B86" s="30" t="s">
        <v>916</v>
      </c>
      <c r="C86" s="541">
        <v>1000</v>
      </c>
      <c r="D86" s="541"/>
      <c r="E86" s="18">
        <f>C86+D86</f>
        <v>1000</v>
      </c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</row>
    <row r="87" spans="1:34" s="66" customFormat="1" ht="13.5" customHeight="1">
      <c r="A87" s="790" t="s">
        <v>831</v>
      </c>
      <c r="B87" s="30" t="s">
        <v>917</v>
      </c>
      <c r="C87" s="18">
        <v>98</v>
      </c>
      <c r="D87" s="18"/>
      <c r="E87" s="18">
        <f aca="true" t="shared" si="1" ref="E87:E96">C87+D87</f>
        <v>98</v>
      </c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66" customFormat="1" ht="13.5" customHeight="1">
      <c r="A88" s="790" t="s">
        <v>831</v>
      </c>
      <c r="B88" s="30" t="s">
        <v>918</v>
      </c>
      <c r="C88" s="18">
        <v>197</v>
      </c>
      <c r="D88" s="18"/>
      <c r="E88" s="18">
        <f t="shared" si="1"/>
        <v>197</v>
      </c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66" customFormat="1" ht="13.5" customHeight="1">
      <c r="A89" s="790" t="s">
        <v>831</v>
      </c>
      <c r="B89" s="30" t="s">
        <v>923</v>
      </c>
      <c r="C89" s="18">
        <v>-15000</v>
      </c>
      <c r="D89" s="18"/>
      <c r="E89" s="18">
        <f t="shared" si="1"/>
        <v>-15000</v>
      </c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66" customFormat="1" ht="13.5" customHeight="1">
      <c r="A90" s="790" t="s">
        <v>831</v>
      </c>
      <c r="B90" s="30" t="s">
        <v>924</v>
      </c>
      <c r="C90" s="18">
        <v>-76000</v>
      </c>
      <c r="D90" s="18"/>
      <c r="E90" s="18">
        <f t="shared" si="1"/>
        <v>-76000</v>
      </c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66" customFormat="1" ht="13.5" customHeight="1">
      <c r="A91" s="790" t="s">
        <v>885</v>
      </c>
      <c r="B91" s="30" t="s">
        <v>884</v>
      </c>
      <c r="C91" s="18">
        <v>-78200</v>
      </c>
      <c r="D91" s="18"/>
      <c r="E91" s="18">
        <f t="shared" si="1"/>
        <v>-78200</v>
      </c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66" customFormat="1" ht="13.5" customHeight="1" hidden="1">
      <c r="A92" s="790" t="s">
        <v>454</v>
      </c>
      <c r="B92" s="30" t="s">
        <v>883</v>
      </c>
      <c r="C92" s="18"/>
      <c r="D92" s="18"/>
      <c r="E92" s="18">
        <f t="shared" si="1"/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66" customFormat="1" ht="13.5" customHeight="1">
      <c r="A93" s="781"/>
      <c r="B93" s="793" t="s">
        <v>832</v>
      </c>
      <c r="C93" s="794">
        <f>SUM(C94:C96)</f>
        <v>89705</v>
      </c>
      <c r="D93" s="794">
        <f>SUM(D94:D96)</f>
        <v>0</v>
      </c>
      <c r="E93" s="794">
        <f>SUM(E94:E96)</f>
        <v>89705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66" customFormat="1" ht="13.5" customHeight="1" hidden="1">
      <c r="A94" s="781"/>
      <c r="B94" s="10" t="s">
        <v>833</v>
      </c>
      <c r="C94" s="18">
        <v>0</v>
      </c>
      <c r="D94" s="18">
        <v>0</v>
      </c>
      <c r="E94" s="18">
        <f t="shared" si="1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66" customFormat="1" ht="13.5" customHeight="1">
      <c r="A95" s="781"/>
      <c r="B95" s="791" t="s">
        <v>834</v>
      </c>
      <c r="C95" s="18">
        <f>-1000-295+91000</f>
        <v>89705</v>
      </c>
      <c r="D95" s="18"/>
      <c r="E95" s="18">
        <f t="shared" si="1"/>
        <v>89705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66" customFormat="1" ht="13.5" customHeight="1" hidden="1">
      <c r="A96" s="781"/>
      <c r="B96" s="791" t="s">
        <v>836</v>
      </c>
      <c r="C96" s="18"/>
      <c r="D96" s="18"/>
      <c r="E96" s="18">
        <f t="shared" si="1"/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6.5" customHeight="1" thickBot="1">
      <c r="A97" s="780" t="s">
        <v>251</v>
      </c>
      <c r="B97" s="354" t="s">
        <v>443</v>
      </c>
      <c r="C97" s="795">
        <f>SUM(C98:C98)</f>
        <v>0</v>
      </c>
      <c r="D97" s="795">
        <f>SUM(D98:D98)</f>
        <v>0</v>
      </c>
      <c r="E97" s="795">
        <f>SUM(E98:E98)</f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66" customFormat="1" ht="13.5" customHeight="1" hidden="1" thickBot="1">
      <c r="A98" s="788" t="s">
        <v>494</v>
      </c>
      <c r="B98" s="15"/>
      <c r="C98" s="15"/>
      <c r="D98" s="15"/>
      <c r="E98" s="31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4" customFormat="1" ht="24" customHeight="1" thickBot="1">
      <c r="A99" s="789"/>
      <c r="B99" s="796" t="s">
        <v>835</v>
      </c>
      <c r="C99" s="802">
        <f>SUM(C50+C97)</f>
        <v>-44888</v>
      </c>
      <c r="D99" s="802">
        <f>SUM(D50+D97)</f>
        <v>5826</v>
      </c>
      <c r="E99" s="63">
        <f>SUM(E50+E97)</f>
        <v>-39062</v>
      </c>
      <c r="F99" s="797">
        <f>E49-E99</f>
        <v>0</v>
      </c>
      <c r="G99" s="797" t="e">
        <f>'1.Bev-kiad.'!F79</f>
        <v>#REF!</v>
      </c>
      <c r="H99" s="798"/>
      <c r="I99" s="798"/>
      <c r="J99" s="798"/>
      <c r="K99" s="798"/>
      <c r="L99" s="798"/>
      <c r="M99" s="798"/>
      <c r="N99" s="798"/>
      <c r="O99" s="798"/>
      <c r="P99" s="798"/>
      <c r="Q99" s="798"/>
      <c r="R99" s="798"/>
      <c r="S99" s="798"/>
      <c r="T99" s="798"/>
      <c r="U99" s="798"/>
      <c r="V99" s="798"/>
      <c r="W99" s="798"/>
      <c r="X99" s="798"/>
      <c r="Y99" s="798"/>
      <c r="Z99" s="798"/>
      <c r="AA99" s="798"/>
      <c r="AB99" s="798"/>
      <c r="AC99" s="798"/>
      <c r="AD99" s="798"/>
      <c r="AE99" s="798"/>
      <c r="AF99" s="798"/>
      <c r="AG99" s="798"/>
      <c r="AH99" s="798"/>
    </row>
    <row r="100" spans="5:34" ht="15.75" customHeight="1"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5:34" ht="15.75" customHeigh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5:34" ht="15.75" customHeigh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5:34" ht="15.75" customHeigh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5:34" ht="15.75" customHeigh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2:34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2:34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2:34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2:34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2:34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2:34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2:34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2:34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2:34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2:3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2:34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2:34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 ht="15.75" customHeight="1">
      <c r="B184" s="2"/>
      <c r="C184" s="2"/>
      <c r="D184" s="2"/>
      <c r="E184" s="4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 ht="15.75" customHeight="1">
      <c r="B185" s="2"/>
      <c r="C185" s="2"/>
      <c r="D185" s="2"/>
      <c r="E185" s="4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 ht="15.75" customHeight="1">
      <c r="B186" s="2"/>
      <c r="C186" s="2"/>
      <c r="D186" s="2"/>
      <c r="E186" s="4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 ht="15.75" customHeight="1">
      <c r="B187" s="2"/>
      <c r="C187" s="2"/>
      <c r="D187" s="2"/>
      <c r="E187" s="4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 ht="15.75" customHeight="1">
      <c r="B188" s="2"/>
      <c r="C188" s="2"/>
      <c r="D188" s="2"/>
      <c r="E188" s="4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 ht="15.75" customHeight="1">
      <c r="B189" s="2"/>
      <c r="C189" s="2"/>
      <c r="D189" s="2"/>
      <c r="E189" s="4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 ht="15.75" customHeight="1">
      <c r="B190" s="2"/>
      <c r="C190" s="2"/>
      <c r="D190" s="2"/>
      <c r="E190" s="4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 ht="15.75" customHeight="1">
      <c r="B191" s="2"/>
      <c r="C191" s="2"/>
      <c r="D191" s="2"/>
      <c r="E191" s="4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 ht="15.75" customHeight="1">
      <c r="B192" s="2"/>
      <c r="C192" s="2"/>
      <c r="D192" s="2"/>
      <c r="E192" s="4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 ht="15.75" customHeight="1">
      <c r="B193" s="2"/>
      <c r="C193" s="2"/>
      <c r="D193" s="2"/>
      <c r="E193" s="4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 ht="15.75" customHeight="1">
      <c r="B194" s="2"/>
      <c r="C194" s="2"/>
      <c r="D194" s="2"/>
      <c r="E194" s="4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ht="15.75" customHeight="1">
      <c r="B195" s="2"/>
      <c r="C195" s="2"/>
      <c r="D195" s="2"/>
      <c r="E195" s="4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 ht="15.75" customHeight="1">
      <c r="B196" s="2"/>
      <c r="C196" s="2"/>
      <c r="D196" s="2"/>
      <c r="E196" s="4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 ht="15.75" customHeight="1">
      <c r="B197" s="2"/>
      <c r="C197" s="2"/>
      <c r="D197" s="2"/>
      <c r="E197" s="4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 ht="15.75" customHeight="1">
      <c r="B198" s="2"/>
      <c r="C198" s="2"/>
      <c r="D198" s="2"/>
      <c r="E198" s="4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 ht="15.75" customHeight="1">
      <c r="B199" s="2"/>
      <c r="C199" s="2"/>
      <c r="D199" s="2"/>
      <c r="E199" s="4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 ht="15.75" customHeight="1">
      <c r="B200" s="2"/>
      <c r="C200" s="2"/>
      <c r="D200" s="2"/>
      <c r="E200" s="4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 ht="15.75" customHeight="1">
      <c r="B201" s="2"/>
      <c r="C201" s="2"/>
      <c r="D201" s="2"/>
      <c r="E201" s="4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 ht="15.75" customHeight="1">
      <c r="B202" s="2"/>
      <c r="C202" s="2"/>
      <c r="D202" s="2"/>
      <c r="E202" s="4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 ht="15.75" customHeight="1">
      <c r="B203" s="2"/>
      <c r="C203" s="2"/>
      <c r="D203" s="2"/>
      <c r="E203" s="4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 ht="15.75" customHeight="1">
      <c r="B204" s="2"/>
      <c r="C204" s="2"/>
      <c r="D204" s="2"/>
      <c r="E204" s="4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 ht="15.75" customHeight="1">
      <c r="B205" s="2"/>
      <c r="C205" s="2"/>
      <c r="D205" s="2"/>
      <c r="E205" s="4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ht="15.75" customHeight="1">
      <c r="B206" s="2"/>
      <c r="C206" s="2"/>
      <c r="D206" s="2"/>
      <c r="E206" s="4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ht="15.75" customHeight="1">
      <c r="B207" s="2"/>
      <c r="C207" s="2"/>
      <c r="D207" s="2"/>
      <c r="E207" s="4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ht="15.75" customHeight="1">
      <c r="B208" s="2"/>
      <c r="C208" s="2"/>
      <c r="D208" s="2"/>
      <c r="E208" s="4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 ht="15.75" customHeight="1">
      <c r="B209" s="2"/>
      <c r="C209" s="2"/>
      <c r="D209" s="2"/>
      <c r="E209" s="4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 ht="15.75" customHeight="1">
      <c r="B210" s="2"/>
      <c r="C210" s="2"/>
      <c r="D210" s="2"/>
      <c r="E210" s="4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 ht="15.75" customHeight="1">
      <c r="B211" s="2"/>
      <c r="C211" s="2"/>
      <c r="D211" s="2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 ht="15.75" customHeight="1">
      <c r="B212" s="2"/>
      <c r="C212" s="2"/>
      <c r="D212" s="2"/>
      <c r="E212" s="4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 ht="15.75" customHeight="1">
      <c r="B213" s="2"/>
      <c r="C213" s="2"/>
      <c r="D213" s="2"/>
      <c r="E213" s="4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 ht="15.75" customHeight="1">
      <c r="B214" s="2"/>
      <c r="C214" s="2"/>
      <c r="D214" s="2"/>
      <c r="E214" s="4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 ht="15.75" customHeight="1">
      <c r="B215" s="2"/>
      <c r="C215" s="2"/>
      <c r="D215" s="2"/>
      <c r="E215" s="4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 ht="15.75" customHeight="1">
      <c r="B216" s="2"/>
      <c r="C216" s="2"/>
      <c r="D216" s="2"/>
      <c r="E216" s="4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ht="15.75" customHeight="1">
      <c r="B217" s="2"/>
      <c r="C217" s="2"/>
      <c r="D217" s="2"/>
      <c r="E217" s="4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ht="15.75" customHeight="1">
      <c r="B218" s="2"/>
      <c r="C218" s="2"/>
      <c r="D218" s="2"/>
      <c r="E218" s="4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ht="15.75" customHeight="1">
      <c r="B219" s="2"/>
      <c r="C219" s="2"/>
      <c r="D219" s="2"/>
      <c r="E219" s="4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ht="15.75" customHeight="1">
      <c r="B220" s="2"/>
      <c r="C220" s="2"/>
      <c r="D220" s="2"/>
      <c r="E220" s="4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ht="15.75" customHeight="1">
      <c r="B221" s="2"/>
      <c r="C221" s="2"/>
      <c r="D221" s="2"/>
      <c r="E221" s="4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ht="15.75" customHeight="1">
      <c r="B222" s="2"/>
      <c r="C222" s="2"/>
      <c r="D222" s="2"/>
      <c r="E222" s="4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ht="15.75" customHeight="1">
      <c r="B223" s="2"/>
      <c r="C223" s="2"/>
      <c r="D223" s="2"/>
      <c r="E223" s="4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ht="15.75" customHeight="1">
      <c r="B224" s="2"/>
      <c r="C224" s="2"/>
      <c r="D224" s="2"/>
      <c r="E224" s="4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ht="15.75" customHeight="1">
      <c r="B225" s="2"/>
      <c r="C225" s="2"/>
      <c r="D225" s="2"/>
      <c r="E225" s="4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15.75" customHeight="1">
      <c r="B226" s="2"/>
      <c r="C226" s="2"/>
      <c r="D226" s="2"/>
      <c r="E226" s="4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ht="15.75" customHeight="1">
      <c r="B227" s="2"/>
      <c r="C227" s="2"/>
      <c r="D227" s="2"/>
      <c r="E227" s="4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ht="15.75" customHeight="1">
      <c r="B228" s="2"/>
      <c r="C228" s="2"/>
      <c r="D228" s="2"/>
      <c r="E228" s="4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ht="15.75" customHeight="1">
      <c r="B229" s="2"/>
      <c r="C229" s="2"/>
      <c r="D229" s="2"/>
      <c r="E229" s="4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 ht="15.75" customHeight="1">
      <c r="B230" s="2"/>
      <c r="C230" s="2"/>
      <c r="D230" s="2"/>
      <c r="E230" s="4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 ht="15.75" customHeight="1">
      <c r="B231" s="2"/>
      <c r="C231" s="2"/>
      <c r="D231" s="2"/>
      <c r="E231" s="4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ht="15.75" customHeight="1">
      <c r="B232" s="2"/>
      <c r="C232" s="2"/>
      <c r="D232" s="2"/>
      <c r="E232" s="4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 ht="15.75" customHeight="1">
      <c r="B233" s="2"/>
      <c r="C233" s="2"/>
      <c r="D233" s="2"/>
      <c r="E233" s="4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 ht="15.75" customHeight="1">
      <c r="B234" s="2"/>
      <c r="C234" s="2"/>
      <c r="D234" s="2"/>
      <c r="E234" s="4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 ht="15.75" customHeight="1">
      <c r="B235" s="2"/>
      <c r="C235" s="2"/>
      <c r="D235" s="2"/>
      <c r="E235" s="4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 ht="15.75" customHeight="1">
      <c r="B236" s="2"/>
      <c r="C236" s="2"/>
      <c r="D236" s="2"/>
      <c r="E236" s="4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 ht="15.75" customHeight="1">
      <c r="B237" s="2"/>
      <c r="C237" s="2"/>
      <c r="D237" s="2"/>
      <c r="E237" s="4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 ht="15.75" customHeight="1">
      <c r="B238" s="2"/>
      <c r="C238" s="2"/>
      <c r="D238" s="2"/>
      <c r="E238" s="4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 ht="15.75" customHeight="1">
      <c r="B239" s="2"/>
      <c r="C239" s="2"/>
      <c r="D239" s="2"/>
      <c r="E239" s="4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 ht="15.75" customHeight="1">
      <c r="B240" s="2"/>
      <c r="C240" s="2"/>
      <c r="D240" s="2"/>
      <c r="E240" s="4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 ht="15.75" customHeight="1">
      <c r="B241" s="2"/>
      <c r="C241" s="2"/>
      <c r="D241" s="2"/>
      <c r="E241" s="4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 ht="15.75" customHeight="1">
      <c r="B242" s="2"/>
      <c r="C242" s="2"/>
      <c r="D242" s="2"/>
      <c r="E242" s="4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 ht="15.75" customHeight="1">
      <c r="B243" s="2"/>
      <c r="C243" s="2"/>
      <c r="D243" s="2"/>
      <c r="E243" s="4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 ht="15.75" customHeight="1">
      <c r="B244" s="2"/>
      <c r="C244" s="2"/>
      <c r="D244" s="2"/>
      <c r="E244" s="4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 ht="15.75" customHeight="1">
      <c r="B245" s="2"/>
      <c r="C245" s="2"/>
      <c r="D245" s="2"/>
      <c r="E245" s="4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 ht="15.75" customHeight="1">
      <c r="B246" s="2"/>
      <c r="C246" s="2"/>
      <c r="D246" s="2"/>
      <c r="E246" s="4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 ht="15.75" customHeight="1">
      <c r="B247" s="2"/>
      <c r="C247" s="2"/>
      <c r="D247" s="2"/>
      <c r="E247" s="4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 ht="15.75" customHeight="1">
      <c r="B248" s="2"/>
      <c r="C248" s="2"/>
      <c r="D248" s="2"/>
      <c r="E248" s="4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 ht="15.75" customHeight="1">
      <c r="B249" s="2"/>
      <c r="C249" s="2"/>
      <c r="D249" s="2"/>
      <c r="E249" s="4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 ht="15.75" customHeight="1">
      <c r="B250" s="2"/>
      <c r="C250" s="2"/>
      <c r="D250" s="2"/>
      <c r="E250" s="4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 ht="15.75" customHeight="1">
      <c r="B251" s="2"/>
      <c r="C251" s="2"/>
      <c r="D251" s="2"/>
      <c r="E251" s="4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 ht="15.75" customHeight="1">
      <c r="B252" s="2"/>
      <c r="C252" s="2"/>
      <c r="D252" s="2"/>
      <c r="E252" s="4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 ht="15.75" customHeight="1">
      <c r="B253" s="2"/>
      <c r="C253" s="2"/>
      <c r="D253" s="2"/>
      <c r="E253" s="4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 ht="15.75" customHeight="1">
      <c r="B254" s="2"/>
      <c r="C254" s="2"/>
      <c r="D254" s="2"/>
      <c r="E254" s="4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 ht="15.75" customHeight="1">
      <c r="B255" s="2"/>
      <c r="C255" s="2"/>
      <c r="D255" s="2"/>
      <c r="E255" s="4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 ht="15.75" customHeight="1">
      <c r="B256" s="2"/>
      <c r="C256" s="2"/>
      <c r="D256" s="2"/>
      <c r="E256" s="4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 ht="15.75" customHeight="1">
      <c r="B257" s="2"/>
      <c r="C257" s="2"/>
      <c r="D257" s="2"/>
      <c r="E257" s="4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 ht="15.75" customHeight="1">
      <c r="B258" s="2"/>
      <c r="C258" s="2"/>
      <c r="D258" s="2"/>
      <c r="E258" s="4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 ht="15.75" customHeight="1">
      <c r="B259" s="2"/>
      <c r="C259" s="2"/>
      <c r="D259" s="2"/>
      <c r="E259" s="4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 ht="15.75" customHeight="1">
      <c r="B260" s="2"/>
      <c r="C260" s="2"/>
      <c r="D260" s="2"/>
      <c r="E260" s="4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 ht="15.75" customHeight="1">
      <c r="B261" s="2"/>
      <c r="C261" s="2"/>
      <c r="D261" s="2"/>
      <c r="E261" s="4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:34" ht="15.75" customHeight="1">
      <c r="B262" s="2"/>
      <c r="C262" s="2"/>
      <c r="D262" s="2"/>
      <c r="E262" s="4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:34" ht="15.75" customHeight="1">
      <c r="B263" s="2"/>
      <c r="C263" s="2"/>
      <c r="D263" s="2"/>
      <c r="E263" s="4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:34" ht="15.75" customHeight="1">
      <c r="B264" s="2"/>
      <c r="C264" s="2"/>
      <c r="D264" s="2"/>
      <c r="E264" s="4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:34" ht="15.75" customHeight="1">
      <c r="B265" s="2"/>
      <c r="C265" s="2"/>
      <c r="D265" s="2"/>
      <c r="E265" s="4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:34" ht="15.75" customHeight="1">
      <c r="B266" s="2"/>
      <c r="C266" s="2"/>
      <c r="D266" s="2"/>
      <c r="E266" s="4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:34" ht="15.75" customHeight="1">
      <c r="B267" s="2"/>
      <c r="C267" s="2"/>
      <c r="D267" s="2"/>
      <c r="E267" s="4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:34" ht="15.75" customHeight="1">
      <c r="B268" s="2"/>
      <c r="C268" s="2"/>
      <c r="D268" s="2"/>
      <c r="E268" s="4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:34" ht="15.75" customHeight="1">
      <c r="B269" s="2"/>
      <c r="C269" s="2"/>
      <c r="D269" s="2"/>
      <c r="E269" s="4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:34" ht="15.75" customHeight="1">
      <c r="B270" s="2"/>
      <c r="C270" s="2"/>
      <c r="D270" s="2"/>
      <c r="E270" s="4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:34" ht="15.75" customHeight="1">
      <c r="B271" s="2"/>
      <c r="C271" s="2"/>
      <c r="D271" s="2"/>
      <c r="E271" s="4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:34" ht="15.75" customHeight="1">
      <c r="B272" s="2"/>
      <c r="C272" s="2"/>
      <c r="D272" s="2"/>
      <c r="E272" s="4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:34" ht="15.75" customHeight="1">
      <c r="B273" s="2"/>
      <c r="C273" s="2"/>
      <c r="D273" s="2"/>
      <c r="E273" s="4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:34" ht="15.75" customHeight="1">
      <c r="B274" s="2"/>
      <c r="C274" s="2"/>
      <c r="D274" s="2"/>
      <c r="E274" s="4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:34" ht="15.75" customHeight="1">
      <c r="B275" s="2"/>
      <c r="C275" s="2"/>
      <c r="D275" s="2"/>
      <c r="E275" s="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:34" ht="15.75" customHeight="1">
      <c r="B276" s="2"/>
      <c r="C276" s="2"/>
      <c r="D276" s="2"/>
      <c r="E276" s="4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:34" ht="15.75" customHeight="1">
      <c r="B277" s="2"/>
      <c r="C277" s="2"/>
      <c r="D277" s="2"/>
      <c r="E277" s="4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:34" ht="15.75" customHeight="1">
      <c r="B278" s="2"/>
      <c r="C278" s="2"/>
      <c r="D278" s="2"/>
      <c r="E278" s="4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:34" ht="15.75" customHeight="1">
      <c r="B279" s="2"/>
      <c r="C279" s="2"/>
      <c r="D279" s="2"/>
      <c r="E279" s="4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:34" ht="15.75" customHeight="1">
      <c r="B280" s="2"/>
      <c r="C280" s="2"/>
      <c r="D280" s="2"/>
      <c r="E280" s="4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:34" ht="15.75" customHeight="1">
      <c r="B281" s="2"/>
      <c r="C281" s="2"/>
      <c r="D281" s="2"/>
      <c r="E281" s="4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:34" ht="15.75" customHeight="1">
      <c r="B282" s="2"/>
      <c r="C282" s="2"/>
      <c r="D282" s="2"/>
      <c r="E282" s="4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:34" ht="15.75" customHeight="1">
      <c r="B283" s="2"/>
      <c r="C283" s="2"/>
      <c r="D283" s="2"/>
      <c r="E283" s="4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:34" ht="15.75" customHeight="1">
      <c r="B284" s="2"/>
      <c r="C284" s="2"/>
      <c r="D284" s="2"/>
      <c r="E284" s="4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:34" ht="15.75" customHeight="1">
      <c r="B285" s="2"/>
      <c r="C285" s="2"/>
      <c r="D285" s="2"/>
      <c r="E285" s="4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:34" ht="15.75" customHeight="1">
      <c r="B286" s="2"/>
      <c r="C286" s="2"/>
      <c r="D286" s="2"/>
      <c r="E286" s="4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:34" ht="15.75" customHeight="1">
      <c r="B287" s="2"/>
      <c r="C287" s="2"/>
      <c r="D287" s="2"/>
      <c r="E287" s="4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:34" ht="15.75" customHeight="1">
      <c r="B288" s="2"/>
      <c r="C288" s="2"/>
      <c r="D288" s="2"/>
      <c r="E288" s="4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:34" ht="15.75" customHeight="1">
      <c r="B289" s="2"/>
      <c r="C289" s="2"/>
      <c r="D289" s="2"/>
      <c r="E289" s="4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:34" ht="15.75" customHeight="1">
      <c r="B290" s="2"/>
      <c r="C290" s="2"/>
      <c r="D290" s="2"/>
      <c r="E290" s="4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:34" ht="15.75" customHeight="1">
      <c r="B291" s="2"/>
      <c r="C291" s="2"/>
      <c r="D291" s="2"/>
      <c r="E291" s="4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:34" ht="15.75" customHeight="1">
      <c r="B292" s="2"/>
      <c r="C292" s="2"/>
      <c r="D292" s="2"/>
      <c r="E292" s="4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:34" ht="15.75" customHeight="1">
      <c r="B293" s="2"/>
      <c r="C293" s="2"/>
      <c r="D293" s="2"/>
      <c r="E293" s="4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:34" ht="15.75" customHeight="1">
      <c r="B294" s="2"/>
      <c r="C294" s="2"/>
      <c r="D294" s="2"/>
      <c r="E294" s="4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:34" ht="15.75" customHeight="1">
      <c r="B295" s="2"/>
      <c r="C295" s="2"/>
      <c r="D295" s="2"/>
      <c r="E295" s="4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:34" ht="15.75" customHeight="1">
      <c r="B296" s="2"/>
      <c r="C296" s="2"/>
      <c r="D296" s="2"/>
      <c r="E296" s="4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:34" ht="15.75" customHeight="1">
      <c r="B297" s="2"/>
      <c r="C297" s="2"/>
      <c r="D297" s="2"/>
      <c r="E297" s="4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:34" ht="15.75" customHeight="1">
      <c r="B298" s="2"/>
      <c r="C298" s="2"/>
      <c r="D298" s="2"/>
      <c r="E298" s="4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:34" ht="15.75" customHeight="1">
      <c r="B299" s="2"/>
      <c r="C299" s="2"/>
      <c r="D299" s="2"/>
      <c r="E299" s="4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:34" ht="15.75" customHeight="1">
      <c r="B300" s="2"/>
      <c r="C300" s="2"/>
      <c r="D300" s="2"/>
      <c r="E300" s="4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:34" ht="15.75" customHeight="1">
      <c r="B301" s="2"/>
      <c r="C301" s="2"/>
      <c r="D301" s="2"/>
      <c r="E301" s="4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:34" ht="15.75" customHeight="1">
      <c r="B302" s="2"/>
      <c r="C302" s="2"/>
      <c r="D302" s="2"/>
      <c r="E302" s="4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:34" ht="15.75" customHeight="1">
      <c r="B303" s="2"/>
      <c r="C303" s="2"/>
      <c r="D303" s="2"/>
      <c r="E303" s="4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:34" ht="15.75" customHeight="1">
      <c r="B304" s="2"/>
      <c r="C304" s="2"/>
      <c r="D304" s="2"/>
      <c r="E304" s="4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:34" ht="15.75" customHeight="1">
      <c r="B305" s="2"/>
      <c r="C305" s="2"/>
      <c r="D305" s="2"/>
      <c r="E305" s="4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:34" ht="15.75" customHeight="1">
      <c r="B306" s="2"/>
      <c r="C306" s="2"/>
      <c r="D306" s="2"/>
      <c r="E306" s="4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:34" ht="15.75" customHeight="1">
      <c r="B307" s="2"/>
      <c r="C307" s="2"/>
      <c r="D307" s="2"/>
      <c r="E307" s="4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:34" ht="15.75" customHeight="1">
      <c r="B308" s="2"/>
      <c r="C308" s="2"/>
      <c r="D308" s="2"/>
      <c r="E308" s="4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:34" ht="15.75" customHeight="1">
      <c r="B309" s="2"/>
      <c r="C309" s="2"/>
      <c r="D309" s="2"/>
      <c r="E309" s="4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:34" ht="15.75" customHeight="1">
      <c r="B310" s="2"/>
      <c r="C310" s="2"/>
      <c r="D310" s="2"/>
      <c r="E310" s="4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:34" ht="15.75" customHeight="1">
      <c r="B311" s="2"/>
      <c r="C311" s="2"/>
      <c r="D311" s="2"/>
      <c r="E311" s="4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:34" ht="15.75" customHeight="1">
      <c r="B312" s="2"/>
      <c r="C312" s="2"/>
      <c r="D312" s="2"/>
      <c r="E312" s="4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:34" ht="15.75" customHeight="1">
      <c r="B313" s="2"/>
      <c r="C313" s="2"/>
      <c r="D313" s="2"/>
      <c r="E313" s="4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:34" ht="15.75" customHeight="1">
      <c r="B314" s="2"/>
      <c r="C314" s="2"/>
      <c r="D314" s="2"/>
      <c r="E314" s="4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:34" ht="15.75" customHeight="1">
      <c r="B315" s="2"/>
      <c r="C315" s="2"/>
      <c r="D315" s="2"/>
      <c r="E315" s="4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:34" ht="15.75" customHeight="1">
      <c r="B316" s="2"/>
      <c r="C316" s="2"/>
      <c r="D316" s="2"/>
      <c r="E316" s="4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:34" ht="15.75" customHeight="1">
      <c r="B317" s="2"/>
      <c r="C317" s="2"/>
      <c r="D317" s="2"/>
      <c r="E317" s="4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:34" ht="15.75" customHeight="1">
      <c r="B318" s="2"/>
      <c r="C318" s="2"/>
      <c r="D318" s="2"/>
      <c r="E318" s="4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:34" ht="15.75" customHeight="1">
      <c r="B319" s="2"/>
      <c r="C319" s="2"/>
      <c r="D319" s="2"/>
      <c r="E319" s="4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:34" ht="15.75" customHeight="1">
      <c r="B320" s="2"/>
      <c r="C320" s="2"/>
      <c r="D320" s="2"/>
      <c r="E320" s="4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:34" ht="15.75" customHeight="1">
      <c r="B321" s="2"/>
      <c r="C321" s="2"/>
      <c r="D321" s="2"/>
      <c r="E321" s="4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:34" ht="15.75" customHeight="1">
      <c r="B322" s="2"/>
      <c r="C322" s="2"/>
      <c r="D322" s="2"/>
      <c r="E322" s="4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2:34" ht="15.75" customHeight="1">
      <c r="B323" s="2"/>
      <c r="C323" s="2"/>
      <c r="D323" s="2"/>
      <c r="E323" s="4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2:34" ht="15.75" customHeight="1">
      <c r="B324" s="2"/>
      <c r="C324" s="2"/>
      <c r="D324" s="2"/>
      <c r="E324" s="4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2:34" ht="15.75" customHeight="1">
      <c r="B325" s="2"/>
      <c r="C325" s="2"/>
      <c r="D325" s="2"/>
      <c r="E325" s="4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2:34" ht="15.75" customHeight="1">
      <c r="B326" s="2"/>
      <c r="C326" s="2"/>
      <c r="D326" s="2"/>
      <c r="E326" s="4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2:34" ht="15.75" customHeight="1">
      <c r="B327" s="2"/>
      <c r="C327" s="2"/>
      <c r="D327" s="2"/>
      <c r="E327" s="4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2:34" ht="15.75" customHeight="1">
      <c r="B328" s="2"/>
      <c r="C328" s="2"/>
      <c r="D328" s="2"/>
      <c r="E328" s="4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2:34" ht="15.75" customHeight="1">
      <c r="B329" s="2"/>
      <c r="C329" s="2"/>
      <c r="D329" s="2"/>
      <c r="E329" s="4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2:34" ht="15.75" customHeight="1">
      <c r="B330" s="2"/>
      <c r="C330" s="2"/>
      <c r="D330" s="2"/>
      <c r="E330" s="4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2:34" ht="15.75" customHeight="1">
      <c r="B331" s="2"/>
      <c r="C331" s="2"/>
      <c r="D331" s="2"/>
      <c r="E331" s="4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2:34" ht="15.75" customHeight="1">
      <c r="B332" s="2"/>
      <c r="C332" s="2"/>
      <c r="D332" s="2"/>
      <c r="E332" s="4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2:34" ht="15.75" customHeight="1">
      <c r="B333" s="2"/>
      <c r="C333" s="2"/>
      <c r="D333" s="2"/>
      <c r="E333" s="4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2:34" ht="15.75" customHeight="1">
      <c r="B334" s="2"/>
      <c r="C334" s="2"/>
      <c r="D334" s="2"/>
      <c r="E334" s="4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2:34" ht="15.75" customHeight="1">
      <c r="B335" s="2"/>
      <c r="C335" s="2"/>
      <c r="D335" s="2"/>
      <c r="E335" s="4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2:34" ht="15.75" customHeight="1">
      <c r="B336" s="2"/>
      <c r="C336" s="2"/>
      <c r="D336" s="2"/>
      <c r="E336" s="4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2:34" ht="15.75" customHeight="1">
      <c r="B337" s="2"/>
      <c r="C337" s="2"/>
      <c r="D337" s="2"/>
      <c r="E337" s="4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2:34" ht="15.75" customHeight="1">
      <c r="B338" s="2"/>
      <c r="C338" s="2"/>
      <c r="D338" s="2"/>
      <c r="E338" s="4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2:34" ht="15.75" customHeight="1">
      <c r="B339" s="2"/>
      <c r="C339" s="2"/>
      <c r="D339" s="2"/>
      <c r="E339" s="4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2:34" ht="15.75" customHeight="1">
      <c r="B340" s="2"/>
      <c r="C340" s="2"/>
      <c r="D340" s="2"/>
      <c r="E340" s="4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2:34" ht="15.75" customHeight="1">
      <c r="B341" s="2"/>
      <c r="C341" s="2"/>
      <c r="D341" s="2"/>
      <c r="E341" s="4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2:34" ht="15.75" customHeight="1">
      <c r="B342" s="2"/>
      <c r="C342" s="2"/>
      <c r="D342" s="2"/>
      <c r="E342" s="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2:34" ht="15.75" customHeight="1">
      <c r="B343" s="2"/>
      <c r="C343" s="2"/>
      <c r="D343" s="2"/>
      <c r="E343" s="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2:34" ht="15.75" customHeight="1">
      <c r="B344" s="2"/>
      <c r="C344" s="2"/>
      <c r="D344" s="2"/>
      <c r="E344" s="4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2:34" ht="15.75" customHeight="1">
      <c r="B345" s="2"/>
      <c r="C345" s="2"/>
      <c r="D345" s="2"/>
      <c r="E345" s="4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2:34" ht="15.75" customHeight="1">
      <c r="B346" s="2"/>
      <c r="C346" s="2"/>
      <c r="D346" s="2"/>
      <c r="E346" s="4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2:34" ht="15.75" customHeight="1">
      <c r="B347" s="2"/>
      <c r="C347" s="2"/>
      <c r="D347" s="2"/>
      <c r="E347" s="4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2:34" ht="15.75" customHeight="1">
      <c r="B348" s="2"/>
      <c r="C348" s="2"/>
      <c r="D348" s="2"/>
      <c r="E348" s="4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2:34" ht="15.75" customHeight="1">
      <c r="B349" s="2"/>
      <c r="C349" s="2"/>
      <c r="D349" s="2"/>
      <c r="E349" s="4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2:34" ht="15.75" customHeight="1">
      <c r="B350" s="2"/>
      <c r="C350" s="2"/>
      <c r="D350" s="2"/>
      <c r="E350" s="4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2:34" ht="15.75" customHeight="1">
      <c r="B351" s="2"/>
      <c r="C351" s="2"/>
      <c r="D351" s="2"/>
      <c r="E351" s="4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2:34" ht="15.75" customHeight="1">
      <c r="B352" s="2"/>
      <c r="C352" s="2"/>
      <c r="D352" s="2"/>
      <c r="E352" s="4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2:34" ht="15.75" customHeight="1">
      <c r="B353" s="2"/>
      <c r="C353" s="2"/>
      <c r="D353" s="2"/>
      <c r="E353" s="4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2:34" ht="15.75" customHeight="1">
      <c r="B354" s="2"/>
      <c r="C354" s="2"/>
      <c r="D354" s="2"/>
      <c r="E354" s="4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2:34" ht="15.75" customHeight="1">
      <c r="B355" s="2"/>
      <c r="C355" s="2"/>
      <c r="D355" s="2"/>
      <c r="E355" s="4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2:34" ht="15.75" customHeight="1">
      <c r="B356" s="2"/>
      <c r="C356" s="2"/>
      <c r="D356" s="2"/>
      <c r="E356" s="4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2:34" ht="15.75" customHeight="1">
      <c r="B357" s="2"/>
      <c r="C357" s="2"/>
      <c r="D357" s="2"/>
      <c r="E357" s="4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2:34" ht="15.75" customHeight="1">
      <c r="B358" s="2"/>
      <c r="C358" s="2"/>
      <c r="D358" s="2"/>
      <c r="E358" s="4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2:34" ht="15.75" customHeight="1">
      <c r="B359" s="2"/>
      <c r="C359" s="2"/>
      <c r="D359" s="2"/>
      <c r="E359" s="4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2:34" ht="15.75" customHeight="1">
      <c r="B360" s="2"/>
      <c r="C360" s="2"/>
      <c r="D360" s="2"/>
      <c r="E360" s="4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2:34" ht="15.75" customHeight="1">
      <c r="B361" s="2"/>
      <c r="C361" s="2"/>
      <c r="D361" s="2"/>
      <c r="E361" s="4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2:34" ht="15.75" customHeight="1">
      <c r="B362" s="2"/>
      <c r="C362" s="2"/>
      <c r="D362" s="2"/>
      <c r="E362" s="4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2:34" ht="15.75" customHeight="1">
      <c r="B363" s="2"/>
      <c r="C363" s="2"/>
      <c r="D363" s="2"/>
      <c r="E363" s="4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2:34" ht="15.75" customHeight="1">
      <c r="B364" s="2"/>
      <c r="C364" s="2"/>
      <c r="D364" s="2"/>
      <c r="E364" s="4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2:34" ht="15.75" customHeight="1">
      <c r="B365" s="2"/>
      <c r="C365" s="2"/>
      <c r="D365" s="2"/>
      <c r="E365" s="4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2:34" ht="15.75" customHeight="1">
      <c r="B366" s="2"/>
      <c r="C366" s="2"/>
      <c r="D366" s="2"/>
      <c r="E366" s="4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2:34" ht="15.75" customHeight="1">
      <c r="B367" s="2"/>
      <c r="C367" s="2"/>
      <c r="D367" s="2"/>
      <c r="E367" s="4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2:34" ht="15.75" customHeight="1">
      <c r="B368" s="2"/>
      <c r="C368" s="2"/>
      <c r="D368" s="2"/>
      <c r="E368" s="4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2:34" ht="15.75" customHeight="1">
      <c r="B369" s="2"/>
      <c r="C369" s="2"/>
      <c r="D369" s="2"/>
      <c r="E369" s="4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2:34" ht="15.75" customHeight="1">
      <c r="B370" s="2"/>
      <c r="C370" s="2"/>
      <c r="D370" s="2"/>
      <c r="E370" s="4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2:34" ht="15.75" customHeight="1">
      <c r="B371" s="2"/>
      <c r="C371" s="2"/>
      <c r="D371" s="2"/>
      <c r="E371" s="4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2:34" ht="15.75" customHeight="1">
      <c r="B372" s="2"/>
      <c r="C372" s="2"/>
      <c r="D372" s="2"/>
      <c r="E372" s="4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2:34" ht="15.75" customHeight="1">
      <c r="B373" s="2"/>
      <c r="C373" s="2"/>
      <c r="D373" s="2"/>
      <c r="E373" s="4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2:34" ht="15.75" customHeight="1">
      <c r="B374" s="2"/>
      <c r="C374" s="2"/>
      <c r="D374" s="2"/>
      <c r="E374" s="4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2:34" ht="15.75" customHeight="1">
      <c r="B375" s="2"/>
      <c r="C375" s="2"/>
      <c r="D375" s="2"/>
      <c r="E375" s="4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2:34" ht="15.75" customHeight="1">
      <c r="B376" s="2"/>
      <c r="C376" s="2"/>
      <c r="D376" s="2"/>
      <c r="E376" s="4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2:34" ht="15.75" customHeight="1">
      <c r="B377" s="2"/>
      <c r="C377" s="2"/>
      <c r="D377" s="2"/>
      <c r="E377" s="4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2:34" ht="15.75" customHeight="1">
      <c r="B378" s="2"/>
      <c r="C378" s="2"/>
      <c r="D378" s="2"/>
      <c r="E378" s="4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2:34" ht="15.75" customHeight="1">
      <c r="B379" s="2"/>
      <c r="C379" s="2"/>
      <c r="D379" s="2"/>
      <c r="E379" s="4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2:34" ht="15.75" customHeight="1">
      <c r="B380" s="2"/>
      <c r="C380" s="2"/>
      <c r="D380" s="2"/>
      <c r="E380" s="4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2:34" ht="15.75" customHeight="1">
      <c r="B381" s="2"/>
      <c r="C381" s="2"/>
      <c r="D381" s="2"/>
      <c r="E381" s="4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2:34" ht="15.75" customHeight="1">
      <c r="B382" s="2"/>
      <c r="C382" s="2"/>
      <c r="D382" s="2"/>
      <c r="E382" s="4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2:34" ht="15.75" customHeight="1">
      <c r="B383" s="2"/>
      <c r="C383" s="2"/>
      <c r="D383" s="2"/>
      <c r="E383" s="4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2:34" ht="15.75" customHeight="1">
      <c r="B384" s="2"/>
      <c r="C384" s="2"/>
      <c r="D384" s="2"/>
      <c r="E384" s="4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2:34" ht="15.75" customHeight="1">
      <c r="B385" s="2"/>
      <c r="C385" s="2"/>
      <c r="D385" s="2"/>
      <c r="E385" s="4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2:34" ht="15.75" customHeight="1">
      <c r="B386" s="2"/>
      <c r="C386" s="2"/>
      <c r="D386" s="2"/>
      <c r="E386" s="4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2:34" ht="15.75" customHeight="1">
      <c r="B387" s="2"/>
      <c r="C387" s="2"/>
      <c r="D387" s="2"/>
      <c r="E387" s="4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2:34" ht="15.75" customHeight="1">
      <c r="B388" s="2"/>
      <c r="C388" s="2"/>
      <c r="D388" s="2"/>
      <c r="E388" s="4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2:34" ht="15.75" customHeight="1">
      <c r="B389" s="2"/>
      <c r="C389" s="2"/>
      <c r="D389" s="2"/>
      <c r="E389" s="4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2:34" ht="15.75" customHeight="1">
      <c r="B390" s="2"/>
      <c r="C390" s="2"/>
      <c r="D390" s="2"/>
      <c r="E390" s="4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2:34" ht="15.75" customHeight="1">
      <c r="B391" s="2"/>
      <c r="C391" s="2"/>
      <c r="D391" s="2"/>
      <c r="E391" s="4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2:34" ht="15.75" customHeight="1">
      <c r="B392" s="2"/>
      <c r="C392" s="2"/>
      <c r="D392" s="2"/>
      <c r="E392" s="4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2:34" ht="15.75" customHeight="1">
      <c r="B393" s="2"/>
      <c r="C393" s="2"/>
      <c r="D393" s="2"/>
      <c r="E393" s="4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2:34" ht="15.75" customHeight="1">
      <c r="B394" s="2"/>
      <c r="C394" s="2"/>
      <c r="D394" s="2"/>
      <c r="E394" s="4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2:34" ht="15.75" customHeight="1">
      <c r="B395" s="2"/>
      <c r="C395" s="2"/>
      <c r="D395" s="2"/>
      <c r="E395" s="4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2:34" ht="15.75" customHeight="1">
      <c r="B396" s="2"/>
      <c r="C396" s="2"/>
      <c r="D396" s="2"/>
      <c r="E396" s="4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2:34" ht="15.75" customHeight="1">
      <c r="B397" s="2"/>
      <c r="C397" s="2"/>
      <c r="D397" s="2"/>
      <c r="E397" s="4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2:34" ht="15.75" customHeight="1">
      <c r="B398" s="2"/>
      <c r="C398" s="2"/>
      <c r="D398" s="2"/>
      <c r="E398" s="4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2:34" ht="15.75" customHeight="1">
      <c r="B399" s="2"/>
      <c r="C399" s="2"/>
      <c r="D399" s="2"/>
      <c r="E399" s="4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2:34" ht="15.75" customHeight="1">
      <c r="B400" s="2"/>
      <c r="C400" s="2"/>
      <c r="D400" s="2"/>
      <c r="E400" s="4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2:34" ht="15.75" customHeight="1">
      <c r="B401" s="2"/>
      <c r="C401" s="2"/>
      <c r="D401" s="2"/>
      <c r="E401" s="4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2:34" ht="15.75" customHeight="1">
      <c r="B402" s="2"/>
      <c r="C402" s="2"/>
      <c r="D402" s="2"/>
      <c r="E402" s="4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2:34" ht="15.75" customHeight="1">
      <c r="B403" s="2"/>
      <c r="C403" s="2"/>
      <c r="D403" s="2"/>
      <c r="E403" s="4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2:34" ht="15.75" customHeight="1">
      <c r="B404" s="2"/>
      <c r="C404" s="2"/>
      <c r="D404" s="2"/>
      <c r="E404" s="4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2:34" ht="15.75" customHeight="1">
      <c r="B405" s="2"/>
      <c r="C405" s="2"/>
      <c r="D405" s="2"/>
      <c r="E405" s="4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2:34" ht="15.75" customHeight="1">
      <c r="B406" s="2"/>
      <c r="C406" s="2"/>
      <c r="D406" s="2"/>
      <c r="E406" s="4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2:34" ht="15.75" customHeight="1">
      <c r="B407" s="2"/>
      <c r="C407" s="2"/>
      <c r="D407" s="2"/>
      <c r="E407" s="4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2:34" ht="15.75" customHeight="1">
      <c r="B408" s="2"/>
      <c r="C408" s="2"/>
      <c r="D408" s="2"/>
      <c r="E408" s="4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2:34" ht="15.75" customHeight="1">
      <c r="B409" s="2"/>
      <c r="C409" s="2"/>
      <c r="D409" s="2"/>
      <c r="E409" s="4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2:34" ht="15.75" customHeight="1">
      <c r="B410" s="2"/>
      <c r="C410" s="2"/>
      <c r="D410" s="2"/>
      <c r="E410" s="4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2:34" ht="15.75" customHeight="1">
      <c r="B411" s="2"/>
      <c r="C411" s="2"/>
      <c r="D411" s="2"/>
      <c r="E411" s="4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2:34" ht="15.75" customHeight="1">
      <c r="B412" s="2"/>
      <c r="C412" s="2"/>
      <c r="D412" s="2"/>
      <c r="E412" s="4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2:34" ht="15.75" customHeight="1">
      <c r="B413" s="2"/>
      <c r="C413" s="2"/>
      <c r="D413" s="2"/>
      <c r="E413" s="4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2:34" ht="15.75" customHeight="1">
      <c r="B414" s="2"/>
      <c r="C414" s="2"/>
      <c r="D414" s="2"/>
      <c r="E414" s="4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2:34" ht="15.75" customHeight="1">
      <c r="B415" s="2"/>
      <c r="C415" s="2"/>
      <c r="D415" s="2"/>
      <c r="E415" s="4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2:34" ht="15.75" customHeight="1">
      <c r="B416" s="2"/>
      <c r="C416" s="2"/>
      <c r="D416" s="2"/>
      <c r="E416" s="4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2:34" ht="15.75" customHeight="1">
      <c r="B417" s="2"/>
      <c r="C417" s="2"/>
      <c r="D417" s="2"/>
      <c r="E417" s="4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2:34" ht="15.75" customHeight="1">
      <c r="B418" s="2"/>
      <c r="C418" s="2"/>
      <c r="D418" s="2"/>
      <c r="E418" s="4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2:34" ht="15.75" customHeight="1">
      <c r="B419" s="2"/>
      <c r="C419" s="2"/>
      <c r="D419" s="2"/>
      <c r="E419" s="4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2:34" ht="15.75" customHeight="1">
      <c r="B420" s="2"/>
      <c r="C420" s="2"/>
      <c r="D420" s="2"/>
      <c r="E420" s="4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2:34" ht="15.75" customHeight="1">
      <c r="B421" s="2"/>
      <c r="C421" s="2"/>
      <c r="D421" s="2"/>
      <c r="E421" s="4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2:34" ht="15.75" customHeight="1">
      <c r="B422" s="2"/>
      <c r="C422" s="2"/>
      <c r="D422" s="2"/>
      <c r="E422" s="4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2:34" ht="15.75" customHeight="1">
      <c r="B423" s="2"/>
      <c r="C423" s="2"/>
      <c r="D423" s="2"/>
      <c r="E423" s="4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2:34" ht="15.75" customHeight="1">
      <c r="B424" s="2"/>
      <c r="C424" s="2"/>
      <c r="D424" s="2"/>
      <c r="E424" s="4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2:34" ht="15.75" customHeight="1">
      <c r="B425" s="2"/>
      <c r="C425" s="2"/>
      <c r="D425" s="2"/>
      <c r="E425" s="4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2:34" ht="15.75" customHeight="1">
      <c r="B426" s="2"/>
      <c r="C426" s="2"/>
      <c r="D426" s="2"/>
      <c r="E426" s="4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2:34" ht="15.75" customHeight="1">
      <c r="B427" s="2"/>
      <c r="C427" s="2"/>
      <c r="D427" s="2"/>
      <c r="E427" s="4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2:34" ht="15.75" customHeight="1">
      <c r="B428" s="2"/>
      <c r="C428" s="2"/>
      <c r="D428" s="2"/>
      <c r="E428" s="4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2:34" ht="15.75" customHeight="1">
      <c r="B429" s="2"/>
      <c r="C429" s="2"/>
      <c r="D429" s="2"/>
      <c r="E429" s="4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2:34" ht="15.75" customHeight="1">
      <c r="B430" s="2"/>
      <c r="C430" s="2"/>
      <c r="D430" s="2"/>
      <c r="E430" s="4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2:34" ht="15.75" customHeight="1">
      <c r="B431" s="2"/>
      <c r="C431" s="2"/>
      <c r="D431" s="2"/>
      <c r="E431" s="4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2:34" ht="15.75" customHeight="1">
      <c r="B432" s="2"/>
      <c r="C432" s="2"/>
      <c r="D432" s="2"/>
      <c r="E432" s="4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2:34" ht="15.75" customHeight="1">
      <c r="B433" s="2"/>
      <c r="C433" s="2"/>
      <c r="D433" s="2"/>
      <c r="E433" s="4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2:34" ht="15.75" customHeight="1">
      <c r="B434" s="2"/>
      <c r="C434" s="2"/>
      <c r="D434" s="2"/>
      <c r="E434" s="4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2:34" ht="15.75" customHeight="1">
      <c r="B435" s="2"/>
      <c r="C435" s="2"/>
      <c r="D435" s="2"/>
      <c r="E435" s="4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2:34" ht="15.75" customHeight="1">
      <c r="B436" s="2"/>
      <c r="C436" s="2"/>
      <c r="D436" s="2"/>
      <c r="E436" s="4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2:34" ht="15.75" customHeight="1">
      <c r="B437" s="2"/>
      <c r="C437" s="2"/>
      <c r="D437" s="2"/>
      <c r="E437" s="4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2:34" ht="15.75" customHeight="1">
      <c r="B438" s="2"/>
      <c r="C438" s="2"/>
      <c r="D438" s="2"/>
      <c r="E438" s="4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2:34" ht="15.75" customHeight="1">
      <c r="B439" s="2"/>
      <c r="C439" s="2"/>
      <c r="D439" s="2"/>
      <c r="E439" s="4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2:34" ht="15.75" customHeight="1">
      <c r="B440" s="2"/>
      <c r="C440" s="2"/>
      <c r="D440" s="2"/>
      <c r="E440" s="4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2:34" ht="15.75" customHeight="1">
      <c r="B441" s="2"/>
      <c r="C441" s="2"/>
      <c r="D441" s="2"/>
      <c r="E441" s="4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2:34" ht="15.75" customHeight="1">
      <c r="B442" s="2"/>
      <c r="C442" s="2"/>
      <c r="D442" s="2"/>
      <c r="E442" s="4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2:34" ht="15.75" customHeight="1">
      <c r="B443" s="2"/>
      <c r="C443" s="2"/>
      <c r="D443" s="2"/>
      <c r="E443" s="4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2:34" ht="15.75" customHeight="1">
      <c r="B444" s="2"/>
      <c r="C444" s="2"/>
      <c r="D444" s="2"/>
      <c r="E444" s="4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2:34" ht="15.75" customHeight="1">
      <c r="B445" s="2"/>
      <c r="C445" s="2"/>
      <c r="D445" s="2"/>
      <c r="E445" s="4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2:34" ht="15.75" customHeight="1">
      <c r="B446" s="2"/>
      <c r="C446" s="2"/>
      <c r="D446" s="2"/>
      <c r="E446" s="4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2:34" ht="15.75" customHeight="1">
      <c r="B447" s="2"/>
      <c r="C447" s="2"/>
      <c r="D447" s="2"/>
      <c r="E447" s="4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2:34" ht="15.75" customHeight="1">
      <c r="B448" s="2"/>
      <c r="C448" s="2"/>
      <c r="D448" s="2"/>
      <c r="E448" s="4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2:34" ht="15.75" customHeight="1">
      <c r="B449" s="2"/>
      <c r="C449" s="2"/>
      <c r="D449" s="2"/>
      <c r="E449" s="4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2:34" ht="15.75" customHeight="1">
      <c r="B450" s="2"/>
      <c r="C450" s="2"/>
      <c r="D450" s="2"/>
      <c r="E450" s="4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2:34" ht="15.75" customHeight="1">
      <c r="B451" s="2"/>
      <c r="C451" s="2"/>
      <c r="D451" s="2"/>
      <c r="E451" s="4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2:34" ht="15.75" customHeight="1">
      <c r="B452" s="2"/>
      <c r="C452" s="2"/>
      <c r="D452" s="2"/>
      <c r="E452" s="4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2:34" ht="15.75" customHeight="1">
      <c r="B453" s="2"/>
      <c r="C453" s="2"/>
      <c r="D453" s="2"/>
      <c r="E453" s="4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2:34" ht="15.75" customHeight="1">
      <c r="B454" s="2"/>
      <c r="C454" s="2"/>
      <c r="D454" s="2"/>
      <c r="E454" s="4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2:34" ht="15.75" customHeight="1">
      <c r="B455" s="2"/>
      <c r="C455" s="2"/>
      <c r="D455" s="2"/>
      <c r="E455" s="4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2:34" ht="15.75" customHeight="1">
      <c r="B456" s="2"/>
      <c r="C456" s="2"/>
      <c r="D456" s="2"/>
      <c r="E456" s="4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2:34" ht="15.75" customHeight="1">
      <c r="B457" s="2"/>
      <c r="C457" s="2"/>
      <c r="D457" s="2"/>
      <c r="E457" s="4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2:34" ht="15.75" customHeight="1">
      <c r="B458" s="2"/>
      <c r="C458" s="2"/>
      <c r="D458" s="2"/>
      <c r="E458" s="4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2:34" ht="15.75" customHeight="1">
      <c r="B459" s="2"/>
      <c r="C459" s="2"/>
      <c r="D459" s="2"/>
      <c r="E459" s="4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2:34" ht="15.75" customHeight="1">
      <c r="B460" s="2"/>
      <c r="C460" s="2"/>
      <c r="D460" s="2"/>
      <c r="E460" s="4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2:34" ht="15.75" customHeight="1">
      <c r="B461" s="2"/>
      <c r="C461" s="2"/>
      <c r="D461" s="2"/>
      <c r="E461" s="4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2:34" ht="15.75" customHeight="1">
      <c r="B462" s="2"/>
      <c r="C462" s="2"/>
      <c r="D462" s="2"/>
      <c r="E462" s="4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2:34" ht="15.75" customHeight="1">
      <c r="B463" s="2"/>
      <c r="C463" s="2"/>
      <c r="D463" s="2"/>
      <c r="E463" s="4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2:34" ht="15.75" customHeight="1">
      <c r="B464" s="2"/>
      <c r="C464" s="2"/>
      <c r="D464" s="2"/>
      <c r="E464" s="4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2:34" ht="15.75" customHeight="1">
      <c r="B465" s="2"/>
      <c r="C465" s="2"/>
      <c r="D465" s="2"/>
      <c r="E465" s="4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2:34" ht="15.75" customHeight="1">
      <c r="B466" s="2"/>
      <c r="C466" s="2"/>
      <c r="D466" s="2"/>
      <c r="E466" s="4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2:34" ht="15.75" customHeight="1">
      <c r="B467" s="2"/>
      <c r="C467" s="2"/>
      <c r="D467" s="2"/>
      <c r="E467" s="4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2:34" ht="15.75" customHeight="1">
      <c r="B468" s="2"/>
      <c r="C468" s="2"/>
      <c r="D468" s="2"/>
      <c r="E468" s="4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2:34" ht="15.75" customHeight="1">
      <c r="B469" s="2"/>
      <c r="C469" s="2"/>
      <c r="D469" s="2"/>
      <c r="E469" s="4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:34" ht="15.75" customHeight="1">
      <c r="B470" s="2"/>
      <c r="C470" s="2"/>
      <c r="D470" s="2"/>
      <c r="E470" s="4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:34" ht="15.75" customHeight="1">
      <c r="B471" s="2"/>
      <c r="C471" s="2"/>
      <c r="D471" s="2"/>
      <c r="E471" s="4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:34" ht="15.75" customHeight="1">
      <c r="B472" s="2"/>
      <c r="C472" s="2"/>
      <c r="D472" s="2"/>
      <c r="E472" s="4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:34" ht="15.75" customHeight="1">
      <c r="B473" s="2"/>
      <c r="C473" s="2"/>
      <c r="D473" s="2"/>
      <c r="E473" s="4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:34" ht="15.75" customHeight="1">
      <c r="B474" s="2"/>
      <c r="C474" s="2"/>
      <c r="D474" s="2"/>
      <c r="E474" s="4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:34" ht="15.75" customHeight="1">
      <c r="B475" s="2"/>
      <c r="C475" s="2"/>
      <c r="D475" s="2"/>
      <c r="E475" s="4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:34" ht="15.75" customHeight="1">
      <c r="B476" s="2"/>
      <c r="C476" s="2"/>
      <c r="D476" s="2"/>
      <c r="E476" s="4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:34" ht="15.75" customHeight="1">
      <c r="B477" s="2"/>
      <c r="C477" s="2"/>
      <c r="D477" s="2"/>
      <c r="E477" s="4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:34" ht="15.75" customHeight="1">
      <c r="B478" s="2"/>
      <c r="C478" s="2"/>
      <c r="D478" s="2"/>
      <c r="E478" s="4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:34" ht="15.75" customHeight="1">
      <c r="B479" s="2"/>
      <c r="C479" s="2"/>
      <c r="D479" s="2"/>
      <c r="E479" s="4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:34" ht="15.75" customHeight="1">
      <c r="B480" s="2"/>
      <c r="C480" s="2"/>
      <c r="D480" s="2"/>
      <c r="E480" s="4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:34" ht="15.75" customHeight="1">
      <c r="B481" s="2"/>
      <c r="C481" s="2"/>
      <c r="D481" s="2"/>
      <c r="E481" s="4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:34" ht="15.75" customHeight="1">
      <c r="B482" s="2"/>
      <c r="C482" s="2"/>
      <c r="D482" s="2"/>
      <c r="E482" s="4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:34" ht="15.75" customHeight="1">
      <c r="B483" s="2"/>
      <c r="C483" s="2"/>
      <c r="D483" s="2"/>
      <c r="E483" s="4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:34" ht="15.75" customHeight="1">
      <c r="B484" s="2"/>
      <c r="C484" s="2"/>
      <c r="D484" s="2"/>
      <c r="E484" s="4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:34" ht="15.75" customHeight="1">
      <c r="B485" s="2"/>
      <c r="C485" s="2"/>
      <c r="D485" s="2"/>
      <c r="E485" s="4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:34" ht="15.75" customHeight="1">
      <c r="B486" s="2"/>
      <c r="C486" s="2"/>
      <c r="D486" s="2"/>
      <c r="E486" s="4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:34" ht="15.75" customHeight="1">
      <c r="B487" s="2"/>
      <c r="C487" s="2"/>
      <c r="D487" s="2"/>
      <c r="E487" s="4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:34" ht="15.75" customHeight="1">
      <c r="B488" s="2"/>
      <c r="C488" s="2"/>
      <c r="D488" s="2"/>
      <c r="E488" s="4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:34" ht="15.75" customHeight="1">
      <c r="B489" s="2"/>
      <c r="C489" s="2"/>
      <c r="D489" s="2"/>
      <c r="E489" s="4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:34" ht="15.75" customHeight="1">
      <c r="B490" s="2"/>
      <c r="C490" s="2"/>
      <c r="D490" s="2"/>
      <c r="E490" s="4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:34" ht="15.75" customHeight="1">
      <c r="B491" s="2"/>
      <c r="C491" s="2"/>
      <c r="D491" s="2"/>
      <c r="E491" s="4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:34" ht="15.75" customHeight="1">
      <c r="B492" s="2"/>
      <c r="C492" s="2"/>
      <c r="D492" s="2"/>
      <c r="E492" s="4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:34" ht="15.75" customHeight="1">
      <c r="B493" s="2"/>
      <c r="C493" s="2"/>
      <c r="D493" s="2"/>
      <c r="E493" s="4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:34" ht="15.75" customHeight="1">
      <c r="B494" s="2"/>
      <c r="C494" s="2"/>
      <c r="D494" s="2"/>
      <c r="E494" s="4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:34" ht="15.75" customHeight="1">
      <c r="B495" s="2"/>
      <c r="C495" s="2"/>
      <c r="D495" s="2"/>
      <c r="E495" s="4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:34" ht="15.75" customHeight="1">
      <c r="B496" s="2"/>
      <c r="C496" s="2"/>
      <c r="D496" s="2"/>
      <c r="E496" s="4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:34" ht="15.75" customHeight="1">
      <c r="B497" s="2"/>
      <c r="C497" s="2"/>
      <c r="D497" s="2"/>
      <c r="E497" s="4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:34" ht="15.75" customHeight="1">
      <c r="B498" s="2"/>
      <c r="C498" s="2"/>
      <c r="D498" s="2"/>
      <c r="E498" s="4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:34" ht="15.75" customHeight="1">
      <c r="B499" s="2"/>
      <c r="C499" s="2"/>
      <c r="D499" s="2"/>
      <c r="E499" s="4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:34" ht="15.75" customHeight="1">
      <c r="B500" s="2"/>
      <c r="C500" s="2"/>
      <c r="D500" s="2"/>
      <c r="E500" s="4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:34" ht="15.75" customHeight="1">
      <c r="B501" s="2"/>
      <c r="C501" s="2"/>
      <c r="D501" s="2"/>
      <c r="E501" s="4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:34" ht="15.75" customHeight="1">
      <c r="B502" s="2"/>
      <c r="C502" s="2"/>
      <c r="D502" s="2"/>
      <c r="E502" s="4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:34" ht="15.75" customHeight="1">
      <c r="B503" s="2"/>
      <c r="C503" s="2"/>
      <c r="D503" s="2"/>
      <c r="E503" s="4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:34" ht="15.75" customHeight="1">
      <c r="B504" s="2"/>
      <c r="C504" s="2"/>
      <c r="D504" s="2"/>
      <c r="E504" s="4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:34" ht="15.75" customHeight="1">
      <c r="B505" s="2"/>
      <c r="C505" s="2"/>
      <c r="D505" s="2"/>
      <c r="E505" s="4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:34" ht="15.75" customHeight="1">
      <c r="B506" s="2"/>
      <c r="C506" s="2"/>
      <c r="D506" s="2"/>
      <c r="E506" s="4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:34" ht="15.75" customHeight="1">
      <c r="B507" s="2"/>
      <c r="C507" s="2"/>
      <c r="D507" s="2"/>
      <c r="E507" s="4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:34" ht="15.75" customHeight="1">
      <c r="B508" s="2"/>
      <c r="C508" s="2"/>
      <c r="D508" s="2"/>
      <c r="E508" s="4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:34" ht="15.75" customHeight="1">
      <c r="B509" s="2"/>
      <c r="C509" s="2"/>
      <c r="D509" s="2"/>
      <c r="E509" s="4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:34" ht="15.75" customHeight="1">
      <c r="B510" s="2"/>
      <c r="C510" s="2"/>
      <c r="D510" s="2"/>
      <c r="E510" s="4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:34" ht="15.75" customHeight="1">
      <c r="B511" s="2"/>
      <c r="C511" s="2"/>
      <c r="D511" s="2"/>
      <c r="E511" s="4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:34" ht="15.75" customHeight="1">
      <c r="B512" s="2"/>
      <c r="C512" s="2"/>
      <c r="D512" s="2"/>
      <c r="E512" s="4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:34" ht="15.75" customHeight="1">
      <c r="B513" s="2"/>
      <c r="C513" s="2"/>
      <c r="D513" s="2"/>
      <c r="E513" s="4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:34" ht="15.75" customHeight="1">
      <c r="B514" s="2"/>
      <c r="C514" s="2"/>
      <c r="D514" s="2"/>
      <c r="E514" s="4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:34" ht="15.75" customHeight="1">
      <c r="B515" s="2"/>
      <c r="C515" s="2"/>
      <c r="D515" s="2"/>
      <c r="E515" s="4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:34" ht="15.75" customHeight="1">
      <c r="B516" s="2"/>
      <c r="C516" s="2"/>
      <c r="D516" s="2"/>
      <c r="E516" s="4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:34" ht="15.75" customHeight="1">
      <c r="B517" s="2"/>
      <c r="C517" s="2"/>
      <c r="D517" s="2"/>
      <c r="E517" s="4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:34" ht="15.75" customHeight="1">
      <c r="B518" s="2"/>
      <c r="C518" s="2"/>
      <c r="D518" s="2"/>
      <c r="E518" s="4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:34" ht="15.75" customHeight="1">
      <c r="B519" s="2"/>
      <c r="C519" s="2"/>
      <c r="D519" s="2"/>
      <c r="E519" s="4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:34" ht="15.75" customHeight="1">
      <c r="B520" s="2"/>
      <c r="C520" s="2"/>
      <c r="D520" s="2"/>
      <c r="E520" s="4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2:34" ht="15.75" customHeight="1">
      <c r="B521" s="2"/>
      <c r="C521" s="2"/>
      <c r="D521" s="2"/>
      <c r="E521" s="4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2:34" ht="15.75" customHeight="1">
      <c r="B522" s="2"/>
      <c r="C522" s="2"/>
      <c r="D522" s="2"/>
      <c r="E522" s="4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2:34" ht="15.75" customHeight="1">
      <c r="B523" s="2"/>
      <c r="C523" s="2"/>
      <c r="D523" s="2"/>
      <c r="E523" s="4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2:34" ht="15.75" customHeight="1">
      <c r="B524" s="2"/>
      <c r="C524" s="2"/>
      <c r="D524" s="2"/>
      <c r="E524" s="4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2:34" ht="15.75" customHeight="1">
      <c r="B525" s="2"/>
      <c r="C525" s="2"/>
      <c r="D525" s="2"/>
      <c r="E525" s="4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2:34" ht="15.75" customHeight="1">
      <c r="B526" s="2"/>
      <c r="C526" s="2"/>
      <c r="D526" s="2"/>
      <c r="E526" s="4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2:34" ht="15.75" customHeight="1">
      <c r="B527" s="2"/>
      <c r="C527" s="2"/>
      <c r="D527" s="2"/>
      <c r="E527" s="4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2:34" ht="15.75" customHeight="1">
      <c r="B528" s="2"/>
      <c r="C528" s="2"/>
      <c r="D528" s="2"/>
      <c r="E528" s="4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2:34" ht="15.75" customHeight="1">
      <c r="B529" s="2"/>
      <c r="C529" s="2"/>
      <c r="D529" s="2"/>
      <c r="E529" s="4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2:34" ht="15.75" customHeight="1">
      <c r="B530" s="2"/>
      <c r="C530" s="2"/>
      <c r="D530" s="2"/>
      <c r="E530" s="4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2:34" ht="15.75" customHeight="1">
      <c r="B531" s="2"/>
      <c r="C531" s="2"/>
      <c r="D531" s="2"/>
      <c r="E531" s="4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2:34" ht="15.75" customHeight="1">
      <c r="B532" s="2"/>
      <c r="C532" s="2"/>
      <c r="D532" s="2"/>
      <c r="E532" s="4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2:34" ht="15.75" customHeight="1">
      <c r="B533" s="2"/>
      <c r="C533" s="2"/>
      <c r="D533" s="2"/>
      <c r="E533" s="4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2:34" ht="15.75" customHeight="1">
      <c r="B534" s="2"/>
      <c r="C534" s="2"/>
      <c r="D534" s="2"/>
      <c r="E534" s="4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2:34" ht="15.75" customHeight="1">
      <c r="B535" s="2"/>
      <c r="C535" s="2"/>
      <c r="D535" s="2"/>
      <c r="E535" s="4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2:34" ht="15.75" customHeight="1">
      <c r="B536" s="2"/>
      <c r="C536" s="2"/>
      <c r="D536" s="2"/>
      <c r="E536" s="4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2:34" ht="15.75" customHeight="1">
      <c r="B537" s="2"/>
      <c r="C537" s="2"/>
      <c r="D537" s="2"/>
      <c r="E537" s="4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2:34" ht="15.75" customHeight="1">
      <c r="B538" s="2"/>
      <c r="C538" s="2"/>
      <c r="D538" s="2"/>
      <c r="E538" s="4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2:34" ht="15.75" customHeight="1">
      <c r="B539" s="2"/>
      <c r="C539" s="2"/>
      <c r="D539" s="2"/>
      <c r="E539" s="4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2:34" ht="15.75" customHeight="1">
      <c r="B540" s="2"/>
      <c r="C540" s="2"/>
      <c r="D540" s="2"/>
      <c r="E540" s="4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2:34" ht="15.75" customHeight="1">
      <c r="B541" s="2"/>
      <c r="C541" s="2"/>
      <c r="D541" s="2"/>
      <c r="E541" s="4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2:34" ht="15.75" customHeight="1">
      <c r="B542" s="2"/>
      <c r="C542" s="2"/>
      <c r="D542" s="2"/>
      <c r="E542" s="4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2:34" ht="15.75" customHeight="1">
      <c r="B543" s="2"/>
      <c r="C543" s="2"/>
      <c r="D543" s="2"/>
      <c r="E543" s="4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2:34" ht="15.75" customHeight="1">
      <c r="B544" s="2"/>
      <c r="C544" s="2"/>
      <c r="D544" s="2"/>
      <c r="E544" s="4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2:34" ht="15.75" customHeight="1">
      <c r="B545" s="2"/>
      <c r="C545" s="2"/>
      <c r="D545" s="2"/>
      <c r="E545" s="4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2:34" ht="15.75" customHeight="1">
      <c r="B546" s="2"/>
      <c r="C546" s="2"/>
      <c r="D546" s="2"/>
      <c r="E546" s="4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2:34" ht="15.75" customHeight="1">
      <c r="B547" s="2"/>
      <c r="C547" s="2"/>
      <c r="D547" s="2"/>
      <c r="E547" s="4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2:34" ht="15.75" customHeight="1">
      <c r="B548" s="2"/>
      <c r="C548" s="2"/>
      <c r="D548" s="2"/>
      <c r="E548" s="4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2:34" ht="15.75" customHeight="1">
      <c r="B549" s="2"/>
      <c r="C549" s="2"/>
      <c r="D549" s="2"/>
      <c r="E549" s="4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2:34" ht="15.75" customHeight="1">
      <c r="B550" s="2"/>
      <c r="C550" s="2"/>
      <c r="D550" s="2"/>
      <c r="E550" s="4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2:34" ht="15.75" customHeight="1">
      <c r="B551" s="2"/>
      <c r="C551" s="2"/>
      <c r="D551" s="2"/>
      <c r="E551" s="4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2:34" ht="15.75" customHeight="1">
      <c r="B552" s="2"/>
      <c r="C552" s="2"/>
      <c r="D552" s="2"/>
      <c r="E552" s="4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2:34" ht="15.75" customHeight="1">
      <c r="B553" s="2"/>
      <c r="C553" s="2"/>
      <c r="D553" s="2"/>
      <c r="E553" s="4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2:34" ht="15.75" customHeight="1">
      <c r="B554" s="2"/>
      <c r="C554" s="2"/>
      <c r="D554" s="2"/>
      <c r="E554" s="4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2:34" ht="15.75" customHeight="1">
      <c r="B555" s="2"/>
      <c r="C555" s="2"/>
      <c r="D555" s="2"/>
      <c r="E555" s="4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2:34" ht="15.75" customHeight="1">
      <c r="B556" s="2"/>
      <c r="C556" s="2"/>
      <c r="D556" s="2"/>
      <c r="E556" s="4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2:34" ht="15.75" customHeight="1">
      <c r="B557" s="2"/>
      <c r="C557" s="2"/>
      <c r="D557" s="2"/>
      <c r="E557" s="4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2:34" ht="15.75" customHeight="1">
      <c r="B558" s="2"/>
      <c r="C558" s="2"/>
      <c r="D558" s="2"/>
      <c r="E558" s="4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2:34" ht="15.75" customHeight="1">
      <c r="B559" s="2"/>
      <c r="C559" s="2"/>
      <c r="D559" s="2"/>
      <c r="E559" s="4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2:34" ht="15.75" customHeight="1">
      <c r="B560" s="2"/>
      <c r="C560" s="2"/>
      <c r="D560" s="2"/>
      <c r="E560" s="4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2:34" ht="15.75" customHeight="1">
      <c r="B561" s="2"/>
      <c r="C561" s="2"/>
      <c r="D561" s="2"/>
      <c r="E561" s="4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2:34" ht="15.75" customHeight="1">
      <c r="B562" s="2"/>
      <c r="C562" s="2"/>
      <c r="D562" s="2"/>
      <c r="E562" s="4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2:34" ht="15.75" customHeight="1">
      <c r="B563" s="2"/>
      <c r="C563" s="2"/>
      <c r="D563" s="2"/>
      <c r="E563" s="4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2:34" ht="15.75" customHeight="1">
      <c r="B564" s="2"/>
      <c r="C564" s="2"/>
      <c r="D564" s="2"/>
      <c r="E564" s="4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2:34" ht="15.75" customHeight="1">
      <c r="B565" s="2"/>
      <c r="C565" s="2"/>
      <c r="D565" s="2"/>
      <c r="E565" s="4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2:34" ht="15.75" customHeight="1">
      <c r="B566" s="2"/>
      <c r="C566" s="2"/>
      <c r="D566" s="2"/>
      <c r="E566" s="4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2:34" ht="15.75" customHeight="1">
      <c r="B567" s="2"/>
      <c r="C567" s="2"/>
      <c r="D567" s="2"/>
      <c r="E567" s="4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2:34" ht="15.75" customHeight="1">
      <c r="B568" s="2"/>
      <c r="C568" s="2"/>
      <c r="D568" s="2"/>
      <c r="E568" s="4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2:34" ht="15.75" customHeight="1">
      <c r="B569" s="2"/>
      <c r="C569" s="2"/>
      <c r="D569" s="2"/>
      <c r="E569" s="4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2:34" ht="15.75" customHeight="1">
      <c r="B570" s="2"/>
      <c r="C570" s="2"/>
      <c r="D570" s="2"/>
      <c r="E570" s="4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2:34" ht="15.75" customHeight="1">
      <c r="B571" s="2"/>
      <c r="C571" s="2"/>
      <c r="D571" s="2"/>
      <c r="E571" s="4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2:34" ht="15.75" customHeight="1">
      <c r="B572" s="2"/>
      <c r="C572" s="2"/>
      <c r="D572" s="2"/>
      <c r="E572" s="4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2:34" ht="15.75" customHeight="1">
      <c r="B573" s="2"/>
      <c r="C573" s="2"/>
      <c r="D573" s="2"/>
      <c r="E573" s="4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2:34" ht="15.75" customHeight="1">
      <c r="B574" s="2"/>
      <c r="C574" s="2"/>
      <c r="D574" s="2"/>
      <c r="E574" s="4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2:34" ht="15.75" customHeight="1">
      <c r="B575" s="2"/>
      <c r="C575" s="2"/>
      <c r="D575" s="2"/>
      <c r="E575" s="4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2:34" ht="15.75" customHeight="1">
      <c r="B576" s="2"/>
      <c r="C576" s="2"/>
      <c r="D576" s="2"/>
      <c r="E576" s="4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2:34" ht="15.75" customHeight="1">
      <c r="B577" s="2"/>
      <c r="C577" s="2"/>
      <c r="D577" s="2"/>
      <c r="E577" s="4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2:34" ht="15.75" customHeight="1">
      <c r="B578" s="2"/>
      <c r="C578" s="2"/>
      <c r="D578" s="2"/>
      <c r="E578" s="4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2:34" ht="15.75" customHeight="1">
      <c r="B579" s="2"/>
      <c r="C579" s="2"/>
      <c r="D579" s="2"/>
      <c r="E579" s="4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2:34" ht="15.75" customHeight="1">
      <c r="B580" s="2"/>
      <c r="C580" s="2"/>
      <c r="D580" s="2"/>
      <c r="E580" s="4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2:34" ht="15.75" customHeight="1">
      <c r="B581" s="2"/>
      <c r="C581" s="2"/>
      <c r="D581" s="2"/>
      <c r="E581" s="4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2:34" ht="15.75" customHeight="1">
      <c r="B582" s="2"/>
      <c r="C582" s="2"/>
      <c r="D582" s="2"/>
      <c r="E582" s="4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2:34" ht="15.75" customHeight="1">
      <c r="B583" s="2"/>
      <c r="C583" s="2"/>
      <c r="D583" s="2"/>
      <c r="E583" s="4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2:34" ht="15.75" customHeight="1">
      <c r="B584" s="2"/>
      <c r="C584" s="2"/>
      <c r="D584" s="2"/>
      <c r="E584" s="4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2:34" ht="15.75" customHeight="1">
      <c r="B585" s="2"/>
      <c r="C585" s="2"/>
      <c r="D585" s="2"/>
      <c r="E585" s="4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2:34" ht="15.75" customHeight="1">
      <c r="B586" s="2"/>
      <c r="C586" s="2"/>
      <c r="D586" s="2"/>
      <c r="E586" s="4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2:34" ht="15.75" customHeight="1">
      <c r="B587" s="2"/>
      <c r="C587" s="2"/>
      <c r="D587" s="2"/>
      <c r="E587" s="4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2:34" ht="15.75" customHeight="1">
      <c r="B588" s="2"/>
      <c r="C588" s="2"/>
      <c r="D588" s="2"/>
      <c r="E588" s="4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2:34" ht="15.75" customHeight="1">
      <c r="B589" s="2"/>
      <c r="C589" s="2"/>
      <c r="D589" s="2"/>
      <c r="E589" s="4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2:34" ht="15.75" customHeight="1">
      <c r="B590" s="2"/>
      <c r="C590" s="2"/>
      <c r="D590" s="2"/>
      <c r="E590" s="4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2:34" ht="15.75" customHeight="1">
      <c r="B591" s="2"/>
      <c r="C591" s="2"/>
      <c r="D591" s="2"/>
      <c r="E591" s="4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2:34" ht="15.75" customHeight="1">
      <c r="B592" s="2"/>
      <c r="C592" s="2"/>
      <c r="D592" s="2"/>
      <c r="E592" s="4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2:34" ht="15.75" customHeight="1">
      <c r="B593" s="2"/>
      <c r="C593" s="2"/>
      <c r="D593" s="2"/>
      <c r="E593" s="4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2:34" ht="15.75" customHeight="1">
      <c r="B594" s="2"/>
      <c r="C594" s="2"/>
      <c r="D594" s="2"/>
      <c r="E594" s="4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2:34" ht="15.75" customHeight="1">
      <c r="B595" s="2"/>
      <c r="C595" s="2"/>
      <c r="D595" s="2"/>
      <c r="E595" s="4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2:34" ht="15.75" customHeight="1">
      <c r="B596" s="2"/>
      <c r="C596" s="2"/>
      <c r="D596" s="2"/>
      <c r="E596" s="4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2:34" ht="15.75" customHeight="1">
      <c r="B597" s="2"/>
      <c r="C597" s="2"/>
      <c r="D597" s="2"/>
      <c r="E597" s="4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2:34" ht="15.75" customHeight="1">
      <c r="B598" s="2"/>
      <c r="C598" s="2"/>
      <c r="D598" s="2"/>
      <c r="E598" s="4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2:34" ht="15.75" customHeight="1">
      <c r="B599" s="2"/>
      <c r="C599" s="2"/>
      <c r="D599" s="2"/>
      <c r="E599" s="4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2:34" ht="15.75" customHeight="1">
      <c r="B600" s="2"/>
      <c r="C600" s="2"/>
      <c r="D600" s="2"/>
      <c r="E600" s="4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2:34" ht="15.75" customHeight="1">
      <c r="B601" s="2"/>
      <c r="C601" s="2"/>
      <c r="D601" s="2"/>
      <c r="E601" s="4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2:34" ht="15.75" customHeight="1">
      <c r="B602" s="2"/>
      <c r="C602" s="2"/>
      <c r="D602" s="2"/>
      <c r="E602" s="4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2:34" ht="15.75" customHeight="1">
      <c r="B603" s="2"/>
      <c r="C603" s="2"/>
      <c r="D603" s="2"/>
      <c r="E603" s="4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2:34" ht="15.75" customHeight="1">
      <c r="B604" s="2"/>
      <c r="C604" s="2"/>
      <c r="D604" s="2"/>
      <c r="E604" s="4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2:34" ht="15.75" customHeight="1">
      <c r="B605" s="2"/>
      <c r="C605" s="2"/>
      <c r="D605" s="2"/>
      <c r="E605" s="4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2:34" ht="15.75" customHeight="1">
      <c r="B606" s="2"/>
      <c r="C606" s="2"/>
      <c r="D606" s="2"/>
      <c r="E606" s="4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2:34" ht="15.75" customHeight="1">
      <c r="B607" s="2"/>
      <c r="C607" s="2"/>
      <c r="D607" s="2"/>
      <c r="E607" s="4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2:34" ht="15.75" customHeight="1">
      <c r="B608" s="2"/>
      <c r="C608" s="2"/>
      <c r="D608" s="2"/>
      <c r="E608" s="4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2:34" ht="15.75" customHeight="1">
      <c r="B609" s="2"/>
      <c r="C609" s="2"/>
      <c r="D609" s="2"/>
      <c r="E609" s="4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2:34" ht="15.75" customHeight="1">
      <c r="B610" s="2"/>
      <c r="C610" s="2"/>
      <c r="D610" s="2"/>
      <c r="E610" s="4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2:34" ht="15.75" customHeight="1">
      <c r="B611" s="2"/>
      <c r="C611" s="2"/>
      <c r="D611" s="2"/>
      <c r="E611" s="4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2:34" ht="15.75" customHeight="1">
      <c r="B612" s="2"/>
      <c r="C612" s="2"/>
      <c r="D612" s="2"/>
      <c r="E612" s="4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2:34" ht="15.75" customHeight="1">
      <c r="B613" s="2"/>
      <c r="C613" s="2"/>
      <c r="D613" s="2"/>
      <c r="E613" s="4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2:34" ht="15.75" customHeight="1">
      <c r="B614" s="2"/>
      <c r="C614" s="2"/>
      <c r="D614" s="2"/>
      <c r="E614" s="4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2:34" ht="15.75" customHeight="1">
      <c r="B615" s="2"/>
      <c r="C615" s="2"/>
      <c r="D615" s="2"/>
      <c r="E615" s="4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2:34" ht="15.75" customHeight="1">
      <c r="B616" s="2"/>
      <c r="C616" s="2"/>
      <c r="D616" s="2"/>
      <c r="E616" s="4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2:34" ht="15.75" customHeight="1">
      <c r="B617" s="2"/>
      <c r="C617" s="2"/>
      <c r="D617" s="2"/>
      <c r="E617" s="4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2:34" ht="15.75" customHeight="1">
      <c r="B618" s="2"/>
      <c r="C618" s="2"/>
      <c r="D618" s="2"/>
      <c r="E618" s="4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2:34" ht="15.75" customHeight="1">
      <c r="B619" s="2"/>
      <c r="C619" s="2"/>
      <c r="D619" s="2"/>
      <c r="E619" s="4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2:34" ht="15.75" customHeight="1">
      <c r="B620" s="2"/>
      <c r="C620" s="2"/>
      <c r="D620" s="2"/>
      <c r="E620" s="4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2:34" ht="15.75" customHeight="1">
      <c r="B621" s="2"/>
      <c r="C621" s="2"/>
      <c r="D621" s="2"/>
      <c r="E621" s="4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2:34" ht="15.75" customHeight="1">
      <c r="B622" s="2"/>
      <c r="C622" s="2"/>
      <c r="D622" s="2"/>
      <c r="E622" s="4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2:34" ht="15.75" customHeight="1">
      <c r="B623" s="2"/>
      <c r="C623" s="2"/>
      <c r="D623" s="2"/>
      <c r="E623" s="4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2:34" ht="15.75" customHeight="1">
      <c r="B624" s="2"/>
      <c r="C624" s="2"/>
      <c r="D624" s="2"/>
      <c r="E624" s="4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2:34" ht="15.75" customHeight="1">
      <c r="B625" s="2"/>
      <c r="C625" s="2"/>
      <c r="D625" s="2"/>
      <c r="E625" s="4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2:34" ht="15.75" customHeight="1">
      <c r="B626" s="2"/>
      <c r="C626" s="2"/>
      <c r="D626" s="2"/>
      <c r="E626" s="4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2:34" ht="15.75" customHeight="1">
      <c r="B627" s="2"/>
      <c r="C627" s="2"/>
      <c r="D627" s="2"/>
      <c r="E627" s="4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2:34" ht="15.75" customHeight="1">
      <c r="B628" s="2"/>
      <c r="C628" s="2"/>
      <c r="D628" s="2"/>
      <c r="E628" s="4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2:34" ht="15.75" customHeight="1">
      <c r="B629" s="2"/>
      <c r="C629" s="2"/>
      <c r="D629" s="2"/>
      <c r="E629" s="4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2:34" ht="15.75" customHeight="1">
      <c r="B630" s="2"/>
      <c r="C630" s="2"/>
      <c r="D630" s="2"/>
      <c r="E630" s="4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2:34" ht="15.75" customHeight="1">
      <c r="B631" s="2"/>
      <c r="C631" s="2"/>
      <c r="D631" s="2"/>
      <c r="E631" s="4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2:34" ht="15.75" customHeight="1">
      <c r="B632" s="2"/>
      <c r="C632" s="2"/>
      <c r="D632" s="2"/>
      <c r="E632" s="4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2:34" ht="15.75" customHeight="1">
      <c r="B633" s="2"/>
      <c r="C633" s="2"/>
      <c r="D633" s="2"/>
      <c r="E633" s="4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2:34" ht="15.75" customHeight="1">
      <c r="B634" s="2"/>
      <c r="C634" s="2"/>
      <c r="D634" s="2"/>
      <c r="E634" s="4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2:34" ht="15.75" customHeight="1">
      <c r="B635" s="2"/>
      <c r="C635" s="2"/>
      <c r="D635" s="2"/>
      <c r="E635" s="4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2:34" ht="15.75" customHeight="1">
      <c r="B636" s="2"/>
      <c r="C636" s="2"/>
      <c r="D636" s="2"/>
      <c r="E636" s="4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2:34" ht="15.75" customHeight="1">
      <c r="B637" s="2"/>
      <c r="C637" s="2"/>
      <c r="D637" s="2"/>
      <c r="E637" s="4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2:34" ht="15.75" customHeight="1">
      <c r="B638" s="2"/>
      <c r="C638" s="2"/>
      <c r="D638" s="2"/>
      <c r="E638" s="4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2:34" ht="15.75" customHeight="1">
      <c r="B639" s="2"/>
      <c r="C639" s="2"/>
      <c r="D639" s="2"/>
      <c r="E639" s="4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2:34" ht="15.75" customHeight="1">
      <c r="B640" s="2"/>
      <c r="C640" s="2"/>
      <c r="D640" s="2"/>
      <c r="E640" s="4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2:34" ht="15.75" customHeight="1">
      <c r="B641" s="2"/>
      <c r="C641" s="2"/>
      <c r="D641" s="2"/>
      <c r="E641" s="4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2:34" ht="15.75" customHeight="1">
      <c r="B642" s="2"/>
      <c r="C642" s="2"/>
      <c r="D642" s="2"/>
      <c r="E642" s="4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2:34" ht="15.75" customHeight="1">
      <c r="B643" s="2"/>
      <c r="C643" s="2"/>
      <c r="D643" s="2"/>
      <c r="E643" s="4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2:34" ht="15.75" customHeight="1">
      <c r="B644" s="2"/>
      <c r="C644" s="2"/>
      <c r="D644" s="2"/>
      <c r="E644" s="4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2:34" ht="15.75" customHeight="1">
      <c r="B645" s="2"/>
      <c r="C645" s="2"/>
      <c r="D645" s="2"/>
      <c r="E645" s="4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2:34" ht="15.75" customHeight="1">
      <c r="B646" s="2"/>
      <c r="C646" s="2"/>
      <c r="D646" s="2"/>
      <c r="E646" s="4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2:34" ht="15.75" customHeight="1">
      <c r="B647" s="2"/>
      <c r="C647" s="2"/>
      <c r="D647" s="2"/>
      <c r="E647" s="4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2:34" ht="15.75" customHeight="1">
      <c r="B648" s="2"/>
      <c r="C648" s="2"/>
      <c r="D648" s="2"/>
      <c r="E648" s="4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2:34" ht="15.75" customHeight="1">
      <c r="B649" s="2"/>
      <c r="C649" s="2"/>
      <c r="D649" s="2"/>
      <c r="E649" s="4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2:34" ht="15.75" customHeight="1">
      <c r="B650" s="2"/>
      <c r="C650" s="2"/>
      <c r="D650" s="2"/>
      <c r="E650" s="4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2:34" ht="15.75" customHeight="1">
      <c r="B651" s="2"/>
      <c r="C651" s="2"/>
      <c r="D651" s="2"/>
      <c r="E651" s="4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2:34" ht="15.75" customHeight="1">
      <c r="B652" s="2"/>
      <c r="C652" s="2"/>
      <c r="D652" s="2"/>
      <c r="E652" s="4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2:34" ht="15.75" customHeight="1">
      <c r="B653" s="2"/>
      <c r="C653" s="2"/>
      <c r="D653" s="2"/>
      <c r="E653" s="4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2:34" ht="15.75" customHeight="1">
      <c r="B654" s="2"/>
      <c r="C654" s="2"/>
      <c r="D654" s="2"/>
      <c r="E654" s="4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2:34" ht="15.75" customHeight="1">
      <c r="B655" s="2"/>
      <c r="C655" s="2"/>
      <c r="D655" s="2"/>
      <c r="E655" s="4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2:34" ht="15.75" customHeight="1">
      <c r="B656" s="2"/>
      <c r="C656" s="2"/>
      <c r="D656" s="2"/>
      <c r="E656" s="4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spans="2:34" s="2" customFormat="1" ht="15.75" customHeight="1">
      <c r="B667"/>
      <c r="C667"/>
      <c r="D667"/>
      <c r="E667" s="51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2:34" s="2" customFormat="1" ht="15.75" customHeight="1">
      <c r="B668"/>
      <c r="C668"/>
      <c r="D668"/>
      <c r="E668" s="51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2:34" s="2" customFormat="1" ht="15.75" customHeight="1">
      <c r="B669"/>
      <c r="C669"/>
      <c r="D669"/>
      <c r="E669" s="51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2:34" s="2" customFormat="1" ht="15.75" customHeight="1">
      <c r="B670"/>
      <c r="C670"/>
      <c r="D670"/>
      <c r="E670" s="51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2:34" s="2" customFormat="1" ht="15.75" customHeight="1">
      <c r="B671"/>
      <c r="C671"/>
      <c r="D671"/>
      <c r="E671" s="5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2:34" s="2" customFormat="1" ht="15.75" customHeight="1">
      <c r="B672"/>
      <c r="C672"/>
      <c r="D672"/>
      <c r="E672" s="51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2:34" s="2" customFormat="1" ht="15.75" customHeight="1">
      <c r="B673"/>
      <c r="C673"/>
      <c r="D673"/>
      <c r="E673" s="51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2:34" s="2" customFormat="1" ht="15.75" customHeight="1">
      <c r="B674"/>
      <c r="C674"/>
      <c r="D674"/>
      <c r="E674" s="51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2:34" s="2" customFormat="1" ht="15.75" customHeight="1">
      <c r="B675"/>
      <c r="C675"/>
      <c r="D675"/>
      <c r="E675" s="51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2:34" s="2" customFormat="1" ht="15.75" customHeight="1">
      <c r="B676"/>
      <c r="C676"/>
      <c r="D676"/>
      <c r="E676" s="51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2:34" s="2" customFormat="1" ht="15.75" customHeight="1">
      <c r="B677"/>
      <c r="C677"/>
      <c r="D677"/>
      <c r="E677" s="51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2:34" s="2" customFormat="1" ht="15.75" customHeight="1">
      <c r="B678"/>
      <c r="C678"/>
      <c r="D678"/>
      <c r="E678" s="51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2:34" s="2" customFormat="1" ht="15.75" customHeight="1">
      <c r="B679"/>
      <c r="C679"/>
      <c r="D679"/>
      <c r="E679" s="51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2:34" s="2" customFormat="1" ht="15.75" customHeight="1">
      <c r="B680"/>
      <c r="C680"/>
      <c r="D680"/>
      <c r="E680" s="51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2:34" s="2" customFormat="1" ht="15.75" customHeight="1">
      <c r="B681"/>
      <c r="C681"/>
      <c r="D681"/>
      <c r="E681" s="5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2:34" s="2" customFormat="1" ht="15.75" customHeight="1">
      <c r="B682"/>
      <c r="C682"/>
      <c r="D682"/>
      <c r="E682" s="51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2:34" s="2" customFormat="1" ht="15.75" customHeight="1">
      <c r="B683"/>
      <c r="C683"/>
      <c r="D683"/>
      <c r="E683" s="51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2:34" s="2" customFormat="1" ht="15.75" customHeight="1">
      <c r="B684"/>
      <c r="C684"/>
      <c r="D684"/>
      <c r="E684" s="51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2:34" s="2" customFormat="1" ht="15.75" customHeight="1">
      <c r="B685"/>
      <c r="C685"/>
      <c r="D685"/>
      <c r="E685" s="51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2:34" s="2" customFormat="1" ht="15.75" customHeight="1">
      <c r="B686"/>
      <c r="C686"/>
      <c r="D686"/>
      <c r="E686" s="51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2:34" s="2" customFormat="1" ht="15.75" customHeight="1">
      <c r="B687"/>
      <c r="C687"/>
      <c r="D687"/>
      <c r="E687" s="51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2:34" s="2" customFormat="1" ht="15.75" customHeight="1">
      <c r="B688"/>
      <c r="C688"/>
      <c r="D688"/>
      <c r="E688" s="51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2:34" s="2" customFormat="1" ht="15.75" customHeight="1">
      <c r="B689"/>
      <c r="C689"/>
      <c r="D689"/>
      <c r="E689" s="51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2:34" s="2" customFormat="1" ht="15.75" customHeight="1">
      <c r="B690"/>
      <c r="C690"/>
      <c r="D690"/>
      <c r="E690" s="51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2:34" s="2" customFormat="1" ht="15.75" customHeight="1">
      <c r="B691"/>
      <c r="C691"/>
      <c r="D691"/>
      <c r="E691" s="5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2:34" s="2" customFormat="1" ht="15.75" customHeight="1">
      <c r="B692"/>
      <c r="C692"/>
      <c r="D692"/>
      <c r="E692" s="51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2:34" s="2" customFormat="1" ht="15.75" customHeight="1">
      <c r="B693"/>
      <c r="C693"/>
      <c r="D693"/>
      <c r="E693" s="51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2:34" s="2" customFormat="1" ht="15.75" customHeight="1">
      <c r="B694"/>
      <c r="C694"/>
      <c r="D694"/>
      <c r="E694" s="51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2:34" s="2" customFormat="1" ht="15.75" customHeight="1">
      <c r="B695"/>
      <c r="C695"/>
      <c r="D695"/>
      <c r="E695" s="51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2:34" s="2" customFormat="1" ht="15.75" customHeight="1">
      <c r="B696"/>
      <c r="C696"/>
      <c r="D696"/>
      <c r="E696" s="51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2:34" s="2" customFormat="1" ht="15.75" customHeight="1">
      <c r="B697"/>
      <c r="C697"/>
      <c r="D697"/>
      <c r="E697" s="51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2:34" s="2" customFormat="1" ht="15.75" customHeight="1">
      <c r="B698"/>
      <c r="C698"/>
      <c r="D698"/>
      <c r="E698" s="51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2:34" s="2" customFormat="1" ht="15.75" customHeight="1">
      <c r="B699"/>
      <c r="C699"/>
      <c r="D699"/>
      <c r="E699" s="51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2:34" s="2" customFormat="1" ht="15.75" customHeight="1">
      <c r="B700"/>
      <c r="C700"/>
      <c r="D700"/>
      <c r="E700" s="51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2:34" s="2" customFormat="1" ht="15.75" customHeight="1">
      <c r="B701"/>
      <c r="C701"/>
      <c r="D701"/>
      <c r="E701" s="5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2:34" s="2" customFormat="1" ht="15.75" customHeight="1">
      <c r="B702"/>
      <c r="C702"/>
      <c r="D702"/>
      <c r="E702" s="51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2:34" s="2" customFormat="1" ht="15.75" customHeight="1">
      <c r="B703"/>
      <c r="C703"/>
      <c r="D703"/>
      <c r="E703" s="51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2:34" s="2" customFormat="1" ht="15.75" customHeight="1">
      <c r="B704"/>
      <c r="C704"/>
      <c r="D704"/>
      <c r="E704" s="51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2:34" s="2" customFormat="1" ht="15.75" customHeight="1">
      <c r="B705"/>
      <c r="C705"/>
      <c r="D705"/>
      <c r="E705" s="51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2:34" s="2" customFormat="1" ht="15.75" customHeight="1">
      <c r="B706"/>
      <c r="C706"/>
      <c r="D706"/>
      <c r="E706" s="51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2:34" s="2" customFormat="1" ht="15.75" customHeight="1">
      <c r="B707"/>
      <c r="C707"/>
      <c r="D707"/>
      <c r="E707" s="51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2:34" s="2" customFormat="1" ht="15.75" customHeight="1">
      <c r="B708"/>
      <c r="C708"/>
      <c r="D708"/>
      <c r="E708" s="51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2:34" s="2" customFormat="1" ht="15.75" customHeight="1">
      <c r="B709"/>
      <c r="C709"/>
      <c r="D709"/>
      <c r="E709" s="51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2:34" s="2" customFormat="1" ht="15.75" customHeight="1">
      <c r="B710"/>
      <c r="C710"/>
      <c r="D710"/>
      <c r="E710" s="51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2:34" s="2" customFormat="1" ht="15.75" customHeight="1">
      <c r="B711"/>
      <c r="C711"/>
      <c r="D711"/>
      <c r="E711" s="5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2:34" s="2" customFormat="1" ht="15.75" customHeight="1">
      <c r="B712"/>
      <c r="C712"/>
      <c r="D712"/>
      <c r="E712" s="51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2:34" s="2" customFormat="1" ht="15.75" customHeight="1">
      <c r="B713"/>
      <c r="C713"/>
      <c r="D713"/>
      <c r="E713" s="51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2:34" s="2" customFormat="1" ht="15.75" customHeight="1">
      <c r="B714"/>
      <c r="C714"/>
      <c r="D714"/>
      <c r="E714" s="51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2:34" s="2" customFormat="1" ht="15.75" customHeight="1">
      <c r="B715"/>
      <c r="C715"/>
      <c r="D715"/>
      <c r="E715" s="51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2:34" s="2" customFormat="1" ht="15.75" customHeight="1">
      <c r="B716"/>
      <c r="C716"/>
      <c r="D716"/>
      <c r="E716" s="51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2:34" s="2" customFormat="1" ht="15.75" customHeight="1">
      <c r="B717"/>
      <c r="C717"/>
      <c r="D717"/>
      <c r="E717" s="51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2:34" s="2" customFormat="1" ht="15.75" customHeight="1">
      <c r="B718"/>
      <c r="C718"/>
      <c r="D718"/>
      <c r="E718" s="51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2:34" s="2" customFormat="1" ht="15.75" customHeight="1">
      <c r="B719"/>
      <c r="C719"/>
      <c r="D719"/>
      <c r="E719" s="51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2:34" s="2" customFormat="1" ht="15.75" customHeight="1">
      <c r="B720"/>
      <c r="C720"/>
      <c r="D720"/>
      <c r="E720" s="51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2:34" s="2" customFormat="1" ht="15.75" customHeight="1">
      <c r="B721"/>
      <c r="C721"/>
      <c r="D721"/>
      <c r="E721" s="5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2:34" s="2" customFormat="1" ht="15.75" customHeight="1">
      <c r="B722"/>
      <c r="C722"/>
      <c r="D722"/>
      <c r="E722" s="51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2:34" s="2" customFormat="1" ht="15.75" customHeight="1">
      <c r="B723"/>
      <c r="C723"/>
      <c r="D723"/>
      <c r="E723" s="51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2:34" s="2" customFormat="1" ht="15.75" customHeight="1">
      <c r="B724"/>
      <c r="C724"/>
      <c r="D724"/>
      <c r="E724" s="51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2:34" s="2" customFormat="1" ht="15.75" customHeight="1">
      <c r="B725"/>
      <c r="C725"/>
      <c r="D725"/>
      <c r="E725" s="51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2:34" s="2" customFormat="1" ht="15.75" customHeight="1">
      <c r="B726"/>
      <c r="C726"/>
      <c r="D726"/>
      <c r="E726" s="51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2:34" s="2" customFormat="1" ht="15.75" customHeight="1">
      <c r="B727"/>
      <c r="C727"/>
      <c r="D727"/>
      <c r="E727" s="51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2:34" s="2" customFormat="1" ht="15.75" customHeight="1">
      <c r="B728"/>
      <c r="C728"/>
      <c r="D728"/>
      <c r="E728" s="51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2:34" s="2" customFormat="1" ht="15.75" customHeight="1">
      <c r="B729"/>
      <c r="C729"/>
      <c r="D729"/>
      <c r="E729" s="51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2:34" s="2" customFormat="1" ht="15.75" customHeight="1">
      <c r="B730"/>
      <c r="C730"/>
      <c r="D730"/>
      <c r="E730" s="51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2:34" s="2" customFormat="1" ht="15.75" customHeight="1">
      <c r="B731"/>
      <c r="C731"/>
      <c r="D731"/>
      <c r="E731" s="5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2:34" s="2" customFormat="1" ht="15.75" customHeight="1">
      <c r="B732"/>
      <c r="C732"/>
      <c r="D732"/>
      <c r="E732" s="51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2:34" s="2" customFormat="1" ht="15.75" customHeight="1">
      <c r="B733"/>
      <c r="C733"/>
      <c r="D733"/>
      <c r="E733" s="51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2:34" s="2" customFormat="1" ht="15.75" customHeight="1">
      <c r="B734"/>
      <c r="C734"/>
      <c r="D734"/>
      <c r="E734" s="51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2:34" s="2" customFormat="1" ht="15.75" customHeight="1">
      <c r="B735"/>
      <c r="C735"/>
      <c r="D735"/>
      <c r="E735" s="51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2:34" s="2" customFormat="1" ht="15.75" customHeight="1">
      <c r="B736"/>
      <c r="C736"/>
      <c r="D736"/>
      <c r="E736" s="51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2:34" s="2" customFormat="1" ht="15.75" customHeight="1">
      <c r="B737"/>
      <c r="C737"/>
      <c r="D737"/>
      <c r="E737" s="51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2:34" s="2" customFormat="1" ht="15.75" customHeight="1">
      <c r="B738"/>
      <c r="C738"/>
      <c r="D738"/>
      <c r="E738" s="51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2:34" s="2" customFormat="1" ht="15.75" customHeight="1">
      <c r="B739"/>
      <c r="C739"/>
      <c r="D739"/>
      <c r="E739" s="51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2:34" s="2" customFormat="1" ht="15.75" customHeight="1">
      <c r="B740"/>
      <c r="C740"/>
      <c r="D740"/>
      <c r="E740" s="51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2:34" s="2" customFormat="1" ht="15.75" customHeight="1">
      <c r="B741"/>
      <c r="C741"/>
      <c r="D741"/>
      <c r="E741" s="5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2:34" s="2" customFormat="1" ht="15.75" customHeight="1">
      <c r="B742"/>
      <c r="C742"/>
      <c r="D742"/>
      <c r="E742" s="51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2:34" s="2" customFormat="1" ht="15.75" customHeight="1">
      <c r="B743"/>
      <c r="C743"/>
      <c r="D743"/>
      <c r="E743" s="51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2:34" s="2" customFormat="1" ht="15.75" customHeight="1">
      <c r="B744"/>
      <c r="C744"/>
      <c r="D744"/>
      <c r="E744" s="51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2:34" s="2" customFormat="1" ht="15.75" customHeight="1">
      <c r="B745"/>
      <c r="C745"/>
      <c r="D745"/>
      <c r="E745" s="51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2:34" s="2" customFormat="1" ht="15.75" customHeight="1">
      <c r="B746"/>
      <c r="C746"/>
      <c r="D746"/>
      <c r="E746" s="51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2:34" s="2" customFormat="1" ht="15.75" customHeight="1">
      <c r="B747"/>
      <c r="C747"/>
      <c r="D747"/>
      <c r="E747" s="51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2:34" s="2" customFormat="1" ht="15.75" customHeight="1">
      <c r="B748"/>
      <c r="C748"/>
      <c r="D748"/>
      <c r="E748" s="51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2:34" s="2" customFormat="1" ht="15.75" customHeight="1">
      <c r="B749"/>
      <c r="C749"/>
      <c r="D749"/>
      <c r="E749" s="51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2:34" s="2" customFormat="1" ht="15.75" customHeight="1">
      <c r="B750"/>
      <c r="C750"/>
      <c r="D750"/>
      <c r="E750" s="51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2:34" s="2" customFormat="1" ht="15.75" customHeight="1">
      <c r="B751"/>
      <c r="C751"/>
      <c r="D751"/>
      <c r="E751" s="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2:34" s="2" customFormat="1" ht="15.75" customHeight="1">
      <c r="B752"/>
      <c r="C752"/>
      <c r="D752"/>
      <c r="E752" s="51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2:34" s="2" customFormat="1" ht="15.75" customHeight="1">
      <c r="B753"/>
      <c r="C753"/>
      <c r="D753"/>
      <c r="E753" s="51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2:34" s="2" customFormat="1" ht="15.75" customHeight="1">
      <c r="B754"/>
      <c r="C754"/>
      <c r="D754"/>
      <c r="E754" s="51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2:34" s="2" customFormat="1" ht="15.75" customHeight="1">
      <c r="B755"/>
      <c r="C755"/>
      <c r="D755"/>
      <c r="E755" s="51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2:34" s="2" customFormat="1" ht="15.75" customHeight="1">
      <c r="B756"/>
      <c r="C756"/>
      <c r="D756"/>
      <c r="E756" s="51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2:34" s="2" customFormat="1" ht="15.75" customHeight="1">
      <c r="B757"/>
      <c r="C757"/>
      <c r="D757"/>
      <c r="E757" s="51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2:34" s="2" customFormat="1" ht="15.75" customHeight="1">
      <c r="B758"/>
      <c r="C758"/>
      <c r="D758"/>
      <c r="E758" s="51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2:34" s="2" customFormat="1" ht="15.75" customHeight="1">
      <c r="B759"/>
      <c r="C759"/>
      <c r="D759"/>
      <c r="E759" s="51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2:34" s="2" customFormat="1" ht="15.75" customHeight="1">
      <c r="B760"/>
      <c r="C760"/>
      <c r="D760"/>
      <c r="E760" s="51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</sheetData>
  <sheetProtection/>
  <mergeCells count="5">
    <mergeCell ref="C5:E5"/>
    <mergeCell ref="B2:E2"/>
    <mergeCell ref="B3:E3"/>
    <mergeCell ref="A5:A6"/>
    <mergeCell ref="B5:B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7.1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0.00390625" style="86" customWidth="1"/>
    <col min="8" max="8" width="10.37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00390625" style="84" bestFit="1" customWidth="1"/>
    <col min="18" max="16384" width="9.125" style="84" customWidth="1"/>
  </cols>
  <sheetData>
    <row r="1" spans="1:20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 t="s">
        <v>311</v>
      </c>
      <c r="Q1" s="83"/>
      <c r="R1" s="83"/>
      <c r="S1" s="83"/>
      <c r="T1" s="83"/>
    </row>
    <row r="2" spans="1:20" ht="38.25" customHeight="1">
      <c r="A2" s="997" t="s">
        <v>951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83"/>
      <c r="R2" s="83"/>
      <c r="S2" s="83"/>
      <c r="T2" s="83"/>
    </row>
    <row r="3" spans="1:17" ht="13.5" thickBo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765" t="s">
        <v>805</v>
      </c>
      <c r="Q3" s="88"/>
    </row>
    <row r="4" spans="1:17" s="379" customFormat="1" ht="14.25" customHeight="1">
      <c r="A4" s="986"/>
      <c r="B4" s="1008" t="s">
        <v>38</v>
      </c>
      <c r="C4" s="1009"/>
      <c r="D4" s="1009"/>
      <c r="E4" s="1009"/>
      <c r="F4" s="1009"/>
      <c r="G4" s="1009"/>
      <c r="H4" s="1009"/>
      <c r="I4" s="1010"/>
      <c r="J4" s="988" t="s">
        <v>39</v>
      </c>
      <c r="K4" s="988" t="s">
        <v>40</v>
      </c>
      <c r="L4" s="988"/>
      <c r="M4" s="988"/>
      <c r="N4" s="988"/>
      <c r="O4" s="988"/>
      <c r="P4" s="989" t="s">
        <v>8</v>
      </c>
      <c r="Q4" s="1011" t="s">
        <v>1119</v>
      </c>
    </row>
    <row r="5" spans="1:17" s="379" customFormat="1" ht="63.75" customHeight="1">
      <c r="A5" s="987"/>
      <c r="B5" s="984" t="s">
        <v>41</v>
      </c>
      <c r="C5" s="984" t="s">
        <v>140</v>
      </c>
      <c r="D5" s="984" t="s">
        <v>43</v>
      </c>
      <c r="E5" s="984" t="s">
        <v>687</v>
      </c>
      <c r="F5" s="984" t="s">
        <v>45</v>
      </c>
      <c r="G5" s="1000" t="s">
        <v>68</v>
      </c>
      <c r="H5" s="1001"/>
      <c r="I5" s="984" t="s">
        <v>477</v>
      </c>
      <c r="J5" s="977"/>
      <c r="K5" s="984" t="s">
        <v>46</v>
      </c>
      <c r="L5" s="984" t="s">
        <v>47</v>
      </c>
      <c r="M5" s="984" t="s">
        <v>48</v>
      </c>
      <c r="N5" s="984" t="s">
        <v>135</v>
      </c>
      <c r="O5" s="977" t="s">
        <v>13</v>
      </c>
      <c r="P5" s="990"/>
      <c r="Q5" s="1011"/>
    </row>
    <row r="6" spans="1:17" ht="35.25" customHeight="1" thickBot="1">
      <c r="A6" s="999"/>
      <c r="B6" s="1007"/>
      <c r="C6" s="1007"/>
      <c r="D6" s="1007"/>
      <c r="E6" s="1007"/>
      <c r="F6" s="1007"/>
      <c r="G6" s="524" t="s">
        <v>629</v>
      </c>
      <c r="H6" s="524" t="s">
        <v>630</v>
      </c>
      <c r="I6" s="1007"/>
      <c r="J6" s="994"/>
      <c r="K6" s="1007"/>
      <c r="L6" s="1007"/>
      <c r="M6" s="1007"/>
      <c r="N6" s="1007"/>
      <c r="O6" s="994"/>
      <c r="P6" s="1002"/>
      <c r="Q6" s="1011"/>
    </row>
    <row r="7" spans="1:17" s="88" customFormat="1" ht="25.5" customHeight="1" thickBot="1">
      <c r="A7" s="755" t="str">
        <f>'5.Bev.össz.'!A7</f>
        <v>Önkormányzat (eredeti)</v>
      </c>
      <c r="B7" s="217">
        <f aca="true" t="shared" si="0" ref="B7:P7">B8+B9+B10</f>
        <v>90335</v>
      </c>
      <c r="C7" s="217">
        <f t="shared" si="0"/>
        <v>16235.135</v>
      </c>
      <c r="D7" s="217">
        <f t="shared" si="0"/>
        <v>261353.135511811</v>
      </c>
      <c r="E7" s="217">
        <f t="shared" si="0"/>
        <v>9600</v>
      </c>
      <c r="F7" s="217">
        <f t="shared" si="0"/>
        <v>317687</v>
      </c>
      <c r="G7" s="217">
        <f t="shared" si="0"/>
        <v>165202</v>
      </c>
      <c r="H7" s="217">
        <f t="shared" si="0"/>
        <v>14104</v>
      </c>
      <c r="I7" s="217">
        <f t="shared" si="0"/>
        <v>44461</v>
      </c>
      <c r="J7" s="217">
        <f t="shared" si="0"/>
        <v>918977.270511811</v>
      </c>
      <c r="K7" s="217">
        <f t="shared" si="0"/>
        <v>115700</v>
      </c>
      <c r="L7" s="217">
        <f t="shared" si="0"/>
        <v>755479</v>
      </c>
      <c r="M7" s="217">
        <f t="shared" si="0"/>
        <v>110000</v>
      </c>
      <c r="N7" s="217">
        <f t="shared" si="0"/>
        <v>549200</v>
      </c>
      <c r="O7" s="217">
        <f t="shared" si="0"/>
        <v>1530379</v>
      </c>
      <c r="P7" s="218">
        <f t="shared" si="0"/>
        <v>2449356.270511811</v>
      </c>
      <c r="Q7" s="764">
        <v>15</v>
      </c>
    </row>
    <row r="8" spans="1:17" s="88" customFormat="1" ht="19.5" customHeight="1">
      <c r="A8" s="769" t="str">
        <f>'5.Bev.össz.'!A8</f>
        <v>       Kötelező (eredeti)</v>
      </c>
      <c r="B8" s="219">
        <f>SUM('8.Önk.'!AE28)</f>
        <v>90335</v>
      </c>
      <c r="C8" s="219">
        <f>SUM('8.Önk.'!AE32)</f>
        <v>16235.135</v>
      </c>
      <c r="D8" s="219">
        <f>SUM('8.Önk.'!AE106)</f>
        <v>261353.135511811</v>
      </c>
      <c r="E8" s="219">
        <f>SUM('8.Önk.'!AE107)</f>
        <v>9600</v>
      </c>
      <c r="F8" s="219">
        <f>SUM('4. Átadott p.eszk.'!D7+'4. Átadott p.eszk.'!D38)</f>
        <v>275237</v>
      </c>
      <c r="G8" s="219">
        <f>SUM('7.finanszírozás.'!D23+'7.finanszírozás.'!D27)</f>
        <v>165202</v>
      </c>
      <c r="H8" s="219">
        <f>SUM('2.működés'!E100)</f>
        <v>14104</v>
      </c>
      <c r="I8" s="219">
        <f>SUM('2.működés'!E96)</f>
        <v>44461</v>
      </c>
      <c r="J8" s="241">
        <f>SUM(B8:I8)</f>
        <v>876527.270511811</v>
      </c>
      <c r="K8" s="219"/>
      <c r="L8" s="219"/>
      <c r="M8" s="219"/>
      <c r="N8" s="219"/>
      <c r="O8" s="241">
        <f>SUM(K8:N8)</f>
        <v>0</v>
      </c>
      <c r="P8" s="770">
        <f>SUM(J8+O8)</f>
        <v>876527.270511811</v>
      </c>
      <c r="Q8" s="766"/>
    </row>
    <row r="9" spans="1:17" s="88" customFormat="1" ht="19.5" customHeight="1">
      <c r="A9" s="769" t="str">
        <f>'5.Bev.össz.'!A9</f>
        <v>       Nem kötelező (eredeti)</v>
      </c>
      <c r="B9" s="89"/>
      <c r="C9" s="89"/>
      <c r="D9" s="89"/>
      <c r="E9" s="89"/>
      <c r="F9" s="89">
        <f>SUM('4. Átadott p.eszk.'!D51)</f>
        <v>42450</v>
      </c>
      <c r="G9" s="89"/>
      <c r="H9" s="89">
        <f>SUM('3.felh'!C78)</f>
        <v>0</v>
      </c>
      <c r="I9" s="89"/>
      <c r="J9" s="241">
        <f>SUM(B9:I9)</f>
        <v>42450</v>
      </c>
      <c r="K9" s="219">
        <f>SUM('3.felh'!C47)</f>
        <v>115700</v>
      </c>
      <c r="L9" s="219">
        <f>SUM('3.felh'!C58)</f>
        <v>755479</v>
      </c>
      <c r="M9" s="219">
        <f>SUM('3.felh'!C70)</f>
        <v>110000</v>
      </c>
      <c r="N9" s="219">
        <f>SUM('3.felh'!C75)</f>
        <v>549200</v>
      </c>
      <c r="O9" s="241">
        <f>SUM(K9:N9)</f>
        <v>1530379</v>
      </c>
      <c r="P9" s="770">
        <f>SUM(J9+O9)</f>
        <v>1572829</v>
      </c>
      <c r="Q9" s="767"/>
    </row>
    <row r="10" spans="1:17" s="88" customFormat="1" ht="13.5" thickBot="1">
      <c r="A10" s="771" t="str">
        <f>'5.Bev.össz.'!A10</f>
        <v>       Államigazgatási feladatok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772"/>
      <c r="Q10" s="767"/>
    </row>
    <row r="11" spans="1:17" s="90" customFormat="1" ht="25.5" customHeight="1" thickBot="1">
      <c r="A11" s="755" t="str">
        <f>'5.Bev.össz.'!A11</f>
        <v>Közös Önkormányzati Hivatal (eredeti)</v>
      </c>
      <c r="B11" s="231">
        <f aca="true" t="shared" si="1" ref="B11:N11">B12+B13+B14</f>
        <v>141713</v>
      </c>
      <c r="C11" s="231">
        <f t="shared" si="1"/>
        <v>28104</v>
      </c>
      <c r="D11" s="231">
        <f t="shared" si="1"/>
        <v>33609</v>
      </c>
      <c r="E11" s="231">
        <f t="shared" si="1"/>
        <v>0</v>
      </c>
      <c r="F11" s="231">
        <f t="shared" si="1"/>
        <v>0</v>
      </c>
      <c r="G11" s="231">
        <f t="shared" si="1"/>
        <v>0</v>
      </c>
      <c r="H11" s="231">
        <f t="shared" si="1"/>
        <v>0</v>
      </c>
      <c r="I11" s="231">
        <f t="shared" si="1"/>
        <v>0</v>
      </c>
      <c r="J11" s="231">
        <f t="shared" si="1"/>
        <v>203426</v>
      </c>
      <c r="K11" s="231">
        <f t="shared" si="1"/>
        <v>2100</v>
      </c>
      <c r="L11" s="231">
        <f t="shared" si="1"/>
        <v>0</v>
      </c>
      <c r="M11" s="231">
        <f t="shared" si="1"/>
        <v>0</v>
      </c>
      <c r="N11" s="231">
        <f t="shared" si="1"/>
        <v>0</v>
      </c>
      <c r="O11" s="231">
        <f>SUM(K11:N11)</f>
        <v>2100</v>
      </c>
      <c r="P11" s="242">
        <f>(O11+J11)</f>
        <v>205526</v>
      </c>
      <c r="Q11" s="763">
        <v>37</v>
      </c>
    </row>
    <row r="12" spans="1:17" s="90" customFormat="1" ht="15.75" customHeight="1">
      <c r="A12" s="758" t="str">
        <f>'5.Bev.össz.'!A12</f>
        <v>       Kötelező (eredeti)</v>
      </c>
      <c r="B12" s="89">
        <f>SUM('7.finanszírozás.'!D54)</f>
        <v>141713</v>
      </c>
      <c r="C12" s="89">
        <f>SUM('7.finanszírozás.'!D58)</f>
        <v>28104</v>
      </c>
      <c r="D12" s="89">
        <f>SUM('7.finanszírozás.'!D62)</f>
        <v>33609</v>
      </c>
      <c r="E12" s="89"/>
      <c r="F12" s="89"/>
      <c r="G12" s="89"/>
      <c r="H12" s="89"/>
      <c r="I12" s="89"/>
      <c r="J12" s="235">
        <f>SUM(B12:I12)</f>
        <v>203426</v>
      </c>
      <c r="K12" s="89">
        <f>SUM('7.finanszírozás.'!D66)</f>
        <v>2100</v>
      </c>
      <c r="L12" s="89"/>
      <c r="M12" s="89"/>
      <c r="N12" s="89"/>
      <c r="O12" s="241">
        <f>SUM(K12:N12)</f>
        <v>2100</v>
      </c>
      <c r="P12" s="759">
        <f>SUM(J12+O12)</f>
        <v>205526</v>
      </c>
      <c r="Q12" s="763"/>
    </row>
    <row r="13" spans="1:17" s="90" customFormat="1" ht="15" customHeight="1">
      <c r="A13" s="758" t="str">
        <f>'5.Bev.össz.'!A13</f>
        <v>       Nem kötelező (eredeti)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41"/>
      <c r="P13" s="759">
        <f>SUM(J13+O13)</f>
        <v>0</v>
      </c>
      <c r="Q13" s="763"/>
    </row>
    <row r="14" spans="1:17" s="90" customFormat="1" ht="13.5" thickBot="1">
      <c r="A14" s="758" t="str">
        <f>'5.Bev.össz.'!A14</f>
        <v>       Államigazgatási feladatok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773"/>
      <c r="Q14" s="763"/>
    </row>
    <row r="15" spans="1:18" s="90" customFormat="1" ht="30" customHeight="1" thickBot="1">
      <c r="A15" s="232" t="str">
        <f>'5.Bev.össz.'!A15</f>
        <v>Önkormányzat
mindösszesen (eredeti)</v>
      </c>
      <c r="B15" s="233">
        <f aca="true" t="shared" si="2" ref="B15:P15">SUM(B7+B11)</f>
        <v>232048</v>
      </c>
      <c r="C15" s="233">
        <f t="shared" si="2"/>
        <v>44339.135</v>
      </c>
      <c r="D15" s="233">
        <f t="shared" si="2"/>
        <v>294962.135511811</v>
      </c>
      <c r="E15" s="233">
        <f t="shared" si="2"/>
        <v>9600</v>
      </c>
      <c r="F15" s="233">
        <f t="shared" si="2"/>
        <v>317687</v>
      </c>
      <c r="G15" s="233">
        <f t="shared" si="2"/>
        <v>165202</v>
      </c>
      <c r="H15" s="233">
        <f t="shared" si="2"/>
        <v>14104</v>
      </c>
      <c r="I15" s="233">
        <f t="shared" si="2"/>
        <v>44461</v>
      </c>
      <c r="J15" s="233">
        <f t="shared" si="2"/>
        <v>1122403.2705118111</v>
      </c>
      <c r="K15" s="233">
        <f t="shared" si="2"/>
        <v>117800</v>
      </c>
      <c r="L15" s="233">
        <f t="shared" si="2"/>
        <v>755479</v>
      </c>
      <c r="M15" s="233">
        <f t="shared" si="2"/>
        <v>110000</v>
      </c>
      <c r="N15" s="233">
        <f t="shared" si="2"/>
        <v>549200</v>
      </c>
      <c r="O15" s="233">
        <f t="shared" si="2"/>
        <v>1532479</v>
      </c>
      <c r="P15" s="234">
        <f t="shared" si="2"/>
        <v>2654882.270511811</v>
      </c>
      <c r="Q15" s="768">
        <f>SUM(Q7+Q11)</f>
        <v>52</v>
      </c>
      <c r="R15" s="526">
        <f>SUM(J15+O15)</f>
        <v>2654882.270511811</v>
      </c>
    </row>
    <row r="16" spans="1:16" ht="12.75">
      <c r="A16" s="92" t="s">
        <v>570</v>
      </c>
      <c r="P16" s="86">
        <f>SUM('7.finanszírozás.'!F49)</f>
        <v>-165202</v>
      </c>
    </row>
    <row r="17" spans="1:16" ht="12.75">
      <c r="A17" s="92" t="s">
        <v>579</v>
      </c>
      <c r="P17" s="416">
        <f>SUM(P15+P16)</f>
        <v>2489680.270511811</v>
      </c>
    </row>
    <row r="18" spans="1:16" ht="12.75">
      <c r="A18" s="92" t="s">
        <v>576</v>
      </c>
      <c r="P18" s="933"/>
    </row>
    <row r="19" ht="12.75">
      <c r="P19" s="948">
        <f>SUM(P17-P18)</f>
        <v>2489680.270511811</v>
      </c>
    </row>
  </sheetData>
  <sheetProtection/>
  <mergeCells count="19">
    <mergeCell ref="A2:P2"/>
    <mergeCell ref="A4:A6"/>
    <mergeCell ref="B4:I4"/>
    <mergeCell ref="J4:J6"/>
    <mergeCell ref="Q4:Q6"/>
    <mergeCell ref="K4:O4"/>
    <mergeCell ref="P4:P6"/>
    <mergeCell ref="O5:O6"/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I5:I6"/>
    <mergeCell ref="G5:H5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22.003906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1.25390625" style="86" customWidth="1"/>
    <col min="8" max="8" width="12.0039062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875" style="84" hidden="1" customWidth="1"/>
    <col min="18" max="18" width="7.00390625" style="84" bestFit="1" customWidth="1"/>
    <col min="19" max="16384" width="9.125" style="84" customWidth="1"/>
  </cols>
  <sheetData>
    <row r="1" spans="1:21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 t="s">
        <v>311</v>
      </c>
      <c r="Q1" s="82"/>
      <c r="R1" s="83"/>
      <c r="S1" s="83"/>
      <c r="T1" s="83"/>
      <c r="U1" s="83"/>
    </row>
    <row r="2" spans="1:21" ht="38.25" customHeight="1">
      <c r="A2" s="997" t="s">
        <v>510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85"/>
      <c r="R2" s="83"/>
      <c r="S2" s="83"/>
      <c r="T2" s="83"/>
      <c r="U2" s="83"/>
    </row>
    <row r="3" spans="1:18" ht="13.5" thickBo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88"/>
      <c r="R3" s="88"/>
    </row>
    <row r="4" spans="1:18" s="379" customFormat="1" ht="18" customHeight="1">
      <c r="A4" s="986" t="s">
        <v>136</v>
      </c>
      <c r="B4" s="995" t="s">
        <v>638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6"/>
      <c r="Q4" s="1005" t="s">
        <v>37</v>
      </c>
      <c r="R4" s="1003" t="s">
        <v>143</v>
      </c>
    </row>
    <row r="5" spans="1:18" s="379" customFormat="1" ht="23.25" customHeight="1">
      <c r="A5" s="987"/>
      <c r="B5" s="991" t="s">
        <v>38</v>
      </c>
      <c r="C5" s="992"/>
      <c r="D5" s="992"/>
      <c r="E5" s="992"/>
      <c r="F5" s="992"/>
      <c r="G5" s="992"/>
      <c r="H5" s="992"/>
      <c r="I5" s="993"/>
      <c r="J5" s="977" t="s">
        <v>39</v>
      </c>
      <c r="K5" s="977" t="s">
        <v>40</v>
      </c>
      <c r="L5" s="977"/>
      <c r="M5" s="977"/>
      <c r="N5" s="977"/>
      <c r="O5" s="977"/>
      <c r="P5" s="990" t="s">
        <v>8</v>
      </c>
      <c r="Q5" s="1005"/>
      <c r="R5" s="1004"/>
    </row>
    <row r="6" spans="1:18" s="379" customFormat="1" ht="62.25" customHeight="1">
      <c r="A6" s="987"/>
      <c r="B6" s="87" t="s">
        <v>41</v>
      </c>
      <c r="C6" s="220" t="s">
        <v>140</v>
      </c>
      <c r="D6" s="87" t="s">
        <v>43</v>
      </c>
      <c r="E6" s="87" t="s">
        <v>44</v>
      </c>
      <c r="F6" s="87" t="s">
        <v>45</v>
      </c>
      <c r="G6" s="1000" t="s">
        <v>68</v>
      </c>
      <c r="H6" s="1001"/>
      <c r="I6" s="220" t="s">
        <v>477</v>
      </c>
      <c r="J6" s="977"/>
      <c r="K6" s="87" t="s">
        <v>46</v>
      </c>
      <c r="L6" s="87" t="s">
        <v>47</v>
      </c>
      <c r="M6" s="87" t="s">
        <v>48</v>
      </c>
      <c r="N6" s="87" t="s">
        <v>135</v>
      </c>
      <c r="O6" s="977" t="s">
        <v>13</v>
      </c>
      <c r="P6" s="990"/>
      <c r="Q6" s="1005"/>
      <c r="R6" s="1004"/>
    </row>
    <row r="7" spans="1:18" ht="35.25" customHeight="1" thickBot="1">
      <c r="A7" s="999"/>
      <c r="B7" s="417"/>
      <c r="C7" s="417"/>
      <c r="D7" s="417"/>
      <c r="E7" s="417"/>
      <c r="F7" s="417"/>
      <c r="G7" s="524" t="s">
        <v>629</v>
      </c>
      <c r="H7" s="524" t="s">
        <v>630</v>
      </c>
      <c r="I7" s="417"/>
      <c r="J7" s="994"/>
      <c r="K7" s="418"/>
      <c r="L7" s="419"/>
      <c r="M7" s="419"/>
      <c r="N7" s="419"/>
      <c r="O7" s="994"/>
      <c r="P7" s="1002"/>
      <c r="Q7" s="1006"/>
      <c r="R7" s="1004"/>
    </row>
    <row r="8" spans="1:18" s="88" customFormat="1" ht="25.5" customHeight="1" thickBot="1">
      <c r="A8" s="214" t="s">
        <v>49</v>
      </c>
      <c r="B8" s="217">
        <f aca="true" t="shared" si="0" ref="B8:P8">SUM(B9:B11)</f>
        <v>46800</v>
      </c>
      <c r="C8" s="217">
        <f t="shared" si="0"/>
        <v>13749</v>
      </c>
      <c r="D8" s="217">
        <f t="shared" si="0"/>
        <v>190766</v>
      </c>
      <c r="E8" s="217">
        <f t="shared" si="0"/>
        <v>9350</v>
      </c>
      <c r="F8" s="217" t="e">
        <f t="shared" si="0"/>
        <v>#REF!</v>
      </c>
      <c r="G8" s="217" t="e">
        <f t="shared" si="0"/>
        <v>#REF!</v>
      </c>
      <c r="H8" s="217" t="e">
        <f t="shared" si="0"/>
        <v>#REF!</v>
      </c>
      <c r="I8" s="217" t="e">
        <f t="shared" si="0"/>
        <v>#REF!</v>
      </c>
      <c r="J8" s="217" t="e">
        <f t="shared" si="0"/>
        <v>#REF!</v>
      </c>
      <c r="K8" s="217" t="e">
        <f t="shared" si="0"/>
        <v>#REF!</v>
      </c>
      <c r="L8" s="217" t="e">
        <f t="shared" si="0"/>
        <v>#REF!</v>
      </c>
      <c r="M8" s="217" t="e">
        <f t="shared" si="0"/>
        <v>#REF!</v>
      </c>
      <c r="N8" s="217" t="e">
        <f t="shared" si="0"/>
        <v>#REF!</v>
      </c>
      <c r="O8" s="217" t="e">
        <f t="shared" si="0"/>
        <v>#REF!</v>
      </c>
      <c r="P8" s="218" t="e">
        <f t="shared" si="0"/>
        <v>#REF!</v>
      </c>
      <c r="Q8" s="246" t="e">
        <f>SUM(#REF!)</f>
        <v>#REF!</v>
      </c>
      <c r="R8" s="527" t="e">
        <f>SUM(R9:R11)</f>
        <v>#REF!</v>
      </c>
    </row>
    <row r="9" spans="1:18" s="88" customFormat="1" ht="19.5" customHeight="1">
      <c r="A9" s="240" t="s">
        <v>137</v>
      </c>
      <c r="B9" s="219">
        <f>SUM('8.Önk jav. mód.. '!N30)</f>
        <v>46800</v>
      </c>
      <c r="C9" s="219">
        <f>SUM('8.Önk jav. mód.. '!N34)</f>
        <v>13749</v>
      </c>
      <c r="D9" s="219">
        <f>SUM('8.Önk jav. mód.. '!N119)</f>
        <v>190766</v>
      </c>
      <c r="E9" s="219">
        <f>'7.finanszírozás jav. mód..'!C64</f>
        <v>9350</v>
      </c>
      <c r="F9" s="219" t="e">
        <f>'4. Átadott p.eszk.'!#REF!+'4. Átadott p.eszk.'!#REF!+'4. Átadott p.eszk.'!#REF!</f>
        <v>#REF!</v>
      </c>
      <c r="G9" s="219" t="e">
        <f>SUM(-'7.finanszírozás jav. mód..'!H38)</f>
        <v>#REF!</v>
      </c>
      <c r="H9" s="219" t="e">
        <f>SUM('2.működés'!#REF!)</f>
        <v>#REF!</v>
      </c>
      <c r="I9" s="219" t="e">
        <f>'2.működés'!#REF!+'2.működés'!#REF!</f>
        <v>#REF!</v>
      </c>
      <c r="J9" s="241" t="e">
        <f>SUM(B9:I9)</f>
        <v>#REF!</v>
      </c>
      <c r="K9" s="219"/>
      <c r="L9" s="219"/>
      <c r="M9" s="219"/>
      <c r="N9" s="219"/>
      <c r="O9" s="241">
        <f>SUM(K9:N9)</f>
        <v>0</v>
      </c>
      <c r="P9" s="241" t="e">
        <f>SUM(J9+O9)</f>
        <v>#REF!</v>
      </c>
      <c r="Q9" s="211"/>
      <c r="R9" s="253" t="e">
        <f>SUM(#REF!)</f>
        <v>#REF!</v>
      </c>
    </row>
    <row r="10" spans="1:18" s="88" customFormat="1" ht="19.5" customHeight="1">
      <c r="A10" s="32" t="s">
        <v>138</v>
      </c>
      <c r="B10" s="89"/>
      <c r="C10" s="89"/>
      <c r="D10" s="89"/>
      <c r="E10" s="89"/>
      <c r="F10" s="89" t="e">
        <f>'4. Átadott p.eszk.'!#REF!+'4. Átadott p.eszk.'!#REF!</f>
        <v>#REF!</v>
      </c>
      <c r="G10" s="89"/>
      <c r="H10" s="89"/>
      <c r="I10" s="89"/>
      <c r="J10" s="241" t="e">
        <f>SUM(B10:I10)</f>
        <v>#REF!</v>
      </c>
      <c r="K10" s="219" t="e">
        <f>'3.felh'!#REF!</f>
        <v>#REF!</v>
      </c>
      <c r="L10" s="219" t="e">
        <f>'3.felh'!#REF!</f>
        <v>#REF!</v>
      </c>
      <c r="M10" s="219" t="e">
        <f>SUM('3.felh'!#REF!)</f>
        <v>#REF!</v>
      </c>
      <c r="N10" s="219" t="e">
        <f>'3.felh'!#REF!</f>
        <v>#REF!</v>
      </c>
      <c r="O10" s="241" t="e">
        <f>SUM(K10:N10)</f>
        <v>#REF!</v>
      </c>
      <c r="P10" s="241" t="e">
        <f>SUM(J10+O10)</f>
        <v>#REF!</v>
      </c>
      <c r="Q10" s="211"/>
      <c r="R10" s="250"/>
    </row>
    <row r="11" spans="1:18" s="88" customFormat="1" ht="19.5" customHeight="1" thickBot="1">
      <c r="A11" s="239" t="s">
        <v>128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11"/>
      <c r="R11" s="250"/>
    </row>
    <row r="12" spans="1:18" s="90" customFormat="1" ht="25.5" customHeight="1" thickBot="1">
      <c r="A12" s="214" t="s">
        <v>50</v>
      </c>
      <c r="B12" s="215" t="e">
        <f>SUM(B13+B17+B21)</f>
        <v>#REF!</v>
      </c>
      <c r="C12" s="215" t="e">
        <f aca="true" t="shared" si="1" ref="C12:P12">SUM(C13+C17+C21)</f>
        <v>#REF!</v>
      </c>
      <c r="D12" s="215" t="e">
        <f t="shared" si="1"/>
        <v>#REF!</v>
      </c>
      <c r="E12" s="215">
        <f t="shared" si="1"/>
        <v>0</v>
      </c>
      <c r="F12" s="215">
        <f t="shared" si="1"/>
        <v>0</v>
      </c>
      <c r="G12" s="215"/>
      <c r="H12" s="215">
        <f>SUM(H13+H17+H21)</f>
        <v>0</v>
      </c>
      <c r="I12" s="215">
        <f t="shared" si="1"/>
        <v>0</v>
      </c>
      <c r="J12" s="215" t="e">
        <f t="shared" si="1"/>
        <v>#REF!</v>
      </c>
      <c r="K12" s="215" t="e">
        <f t="shared" si="1"/>
        <v>#REF!</v>
      </c>
      <c r="L12" s="215">
        <f t="shared" si="1"/>
        <v>0</v>
      </c>
      <c r="M12" s="215">
        <f t="shared" si="1"/>
        <v>0</v>
      </c>
      <c r="N12" s="215">
        <f t="shared" si="1"/>
        <v>0</v>
      </c>
      <c r="O12" s="215" t="e">
        <f t="shared" si="1"/>
        <v>#REF!</v>
      </c>
      <c r="P12" s="242" t="e">
        <f t="shared" si="1"/>
        <v>#REF!</v>
      </c>
      <c r="Q12" s="247" t="e">
        <f>SUM(#REF!+#REF!+#REF!)</f>
        <v>#REF!</v>
      </c>
      <c r="R12" s="253" t="e">
        <f>SUM(R13+R17+R21)</f>
        <v>#REF!</v>
      </c>
    </row>
    <row r="13" spans="1:18" s="90" customFormat="1" ht="25.5" customHeight="1" thickBot="1">
      <c r="A13" s="227" t="s">
        <v>129</v>
      </c>
      <c r="B13" s="213" t="e">
        <f>SUM(B14)</f>
        <v>#REF!</v>
      </c>
      <c r="C13" s="213" t="e">
        <f aca="true" t="shared" si="2" ref="C13:N13">SUM(C14)</f>
        <v>#REF!</v>
      </c>
      <c r="D13" s="213" t="e">
        <f t="shared" si="2"/>
        <v>#REF!</v>
      </c>
      <c r="E13" s="213">
        <f t="shared" si="2"/>
        <v>0</v>
      </c>
      <c r="F13" s="213">
        <f t="shared" si="2"/>
        <v>0</v>
      </c>
      <c r="G13" s="213"/>
      <c r="H13" s="213">
        <f t="shared" si="2"/>
        <v>0</v>
      </c>
      <c r="I13" s="213">
        <f t="shared" si="2"/>
        <v>0</v>
      </c>
      <c r="J13" s="213" t="e">
        <f t="shared" si="2"/>
        <v>#REF!</v>
      </c>
      <c r="K13" s="213" t="e">
        <f>SUM(K14:K16)</f>
        <v>#REF!</v>
      </c>
      <c r="L13" s="213">
        <f t="shared" si="2"/>
        <v>0</v>
      </c>
      <c r="M13" s="213">
        <f t="shared" si="2"/>
        <v>0</v>
      </c>
      <c r="N13" s="213">
        <f t="shared" si="2"/>
        <v>0</v>
      </c>
      <c r="O13" s="213" t="e">
        <f>SUM(K13:N13)</f>
        <v>#REF!</v>
      </c>
      <c r="P13" s="213" t="e">
        <f>(O13+J13)</f>
        <v>#REF!</v>
      </c>
      <c r="Q13" s="248"/>
      <c r="R13" s="251" t="e">
        <f>SUM(R14:R16)</f>
        <v>#REF!</v>
      </c>
    </row>
    <row r="14" spans="1:18" s="90" customFormat="1" ht="19.5" customHeight="1" thickBot="1">
      <c r="A14" s="32" t="s">
        <v>130</v>
      </c>
      <c r="B14" s="89" t="e">
        <f>'7.finanszírozás jav. mód..'!D48</f>
        <v>#REF!</v>
      </c>
      <c r="C14" s="89" t="e">
        <f>'7.finanszírozás jav. mód..'!D52</f>
        <v>#REF!</v>
      </c>
      <c r="D14" s="89" t="e">
        <f>'7.finanszírozás jav. mód..'!D56</f>
        <v>#REF!</v>
      </c>
      <c r="E14" s="89"/>
      <c r="F14" s="89"/>
      <c r="G14" s="89"/>
      <c r="H14" s="89"/>
      <c r="I14" s="89"/>
      <c r="J14" s="235" t="e">
        <f>SUM(B14:I14)</f>
        <v>#REF!</v>
      </c>
      <c r="K14" s="89"/>
      <c r="L14" s="89"/>
      <c r="M14" s="89"/>
      <c r="N14" s="89"/>
      <c r="O14" s="241">
        <f>SUM(K14:N14)</f>
        <v>0</v>
      </c>
      <c r="P14" s="135" t="e">
        <f>SUM(J14+O14)</f>
        <v>#REF!</v>
      </c>
      <c r="Q14" s="248"/>
      <c r="R14" s="251" t="e">
        <f>SUM(#REF!)</f>
        <v>#REF!</v>
      </c>
    </row>
    <row r="15" spans="1:18" s="90" customFormat="1" ht="19.5" customHeight="1" thickBot="1">
      <c r="A15" s="32" t="s">
        <v>131</v>
      </c>
      <c r="B15" s="89"/>
      <c r="C15" s="89"/>
      <c r="D15" s="89"/>
      <c r="E15" s="89"/>
      <c r="F15" s="89"/>
      <c r="G15" s="89"/>
      <c r="H15" s="89"/>
      <c r="I15" s="89"/>
      <c r="J15" s="89"/>
      <c r="K15" s="89" t="e">
        <f>'7.finanszírozás jav. mód..'!D60</f>
        <v>#REF!</v>
      </c>
      <c r="L15" s="89"/>
      <c r="M15" s="89"/>
      <c r="N15" s="89"/>
      <c r="O15" s="241" t="e">
        <f>SUM(K15:N15)</f>
        <v>#REF!</v>
      </c>
      <c r="P15" s="135" t="e">
        <f>SUM(J15+O15)</f>
        <v>#REF!</v>
      </c>
      <c r="Q15" s="248"/>
      <c r="R15" s="251"/>
    </row>
    <row r="16" spans="1:18" s="90" customFormat="1" ht="19.5" customHeight="1" thickBot="1">
      <c r="A16" s="32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133"/>
      <c r="Q16" s="248"/>
      <c r="R16" s="251"/>
    </row>
    <row r="17" spans="1:19" s="90" customFormat="1" ht="22.5" customHeight="1" thickBot="1">
      <c r="A17" s="228" t="s">
        <v>133</v>
      </c>
      <c r="B17" s="238" t="e">
        <f>SUM(B18)</f>
        <v>#REF!</v>
      </c>
      <c r="C17" s="238" t="e">
        <f aca="true" t="shared" si="3" ref="C17:N17">SUM(C18)</f>
        <v>#REF!</v>
      </c>
      <c r="D17" s="238" t="e">
        <f t="shared" si="3"/>
        <v>#REF!</v>
      </c>
      <c r="E17" s="238">
        <f t="shared" si="3"/>
        <v>0</v>
      </c>
      <c r="F17" s="238">
        <f t="shared" si="3"/>
        <v>0</v>
      </c>
      <c r="G17" s="238"/>
      <c r="H17" s="238">
        <f t="shared" si="3"/>
        <v>0</v>
      </c>
      <c r="I17" s="238">
        <f t="shared" si="3"/>
        <v>0</v>
      </c>
      <c r="J17" s="238" t="e">
        <f t="shared" si="3"/>
        <v>#REF!</v>
      </c>
      <c r="K17" s="238">
        <f>SUM(K18:K20)</f>
        <v>0</v>
      </c>
      <c r="L17" s="238">
        <f t="shared" si="3"/>
        <v>0</v>
      </c>
      <c r="M17" s="238">
        <f t="shared" si="3"/>
        <v>0</v>
      </c>
      <c r="N17" s="238">
        <f t="shared" si="3"/>
        <v>0</v>
      </c>
      <c r="O17" s="238">
        <f>SUM(O18:O20)</f>
        <v>0</v>
      </c>
      <c r="P17" s="238" t="e">
        <f>SUM(J17+K17)</f>
        <v>#REF!</v>
      </c>
      <c r="Q17" s="248"/>
      <c r="R17" s="251" t="e">
        <f>SUM(R18:R20)</f>
        <v>#REF!</v>
      </c>
      <c r="S17" s="128"/>
    </row>
    <row r="18" spans="1:18" s="90" customFormat="1" ht="19.5" customHeight="1" thickBot="1">
      <c r="A18" s="32" t="s">
        <v>130</v>
      </c>
      <c r="B18" s="89" t="e">
        <f>'7.finanszírozás jav. mód..'!E48</f>
        <v>#REF!</v>
      </c>
      <c r="C18" s="89" t="e">
        <f>'7.finanszírozás jav. mód..'!E52</f>
        <v>#REF!</v>
      </c>
      <c r="D18" s="89" t="e">
        <f>'7.finanszírozás jav. mód..'!E56</f>
        <v>#REF!</v>
      </c>
      <c r="E18" s="89"/>
      <c r="F18" s="89"/>
      <c r="G18" s="89"/>
      <c r="H18" s="89"/>
      <c r="I18" s="89"/>
      <c r="J18" s="235" t="e">
        <f>SUM(B18:I18)</f>
        <v>#REF!</v>
      </c>
      <c r="K18" s="89"/>
      <c r="L18" s="89"/>
      <c r="M18" s="89"/>
      <c r="N18" s="89"/>
      <c r="O18" s="89">
        <f>SUM(K18:N18)</f>
        <v>0</v>
      </c>
      <c r="P18" s="133" t="e">
        <f>SUM(J18+O18)</f>
        <v>#REF!</v>
      </c>
      <c r="Q18" s="248"/>
      <c r="R18" s="251" t="e">
        <f>SUM(#REF!)</f>
        <v>#REF!</v>
      </c>
    </row>
    <row r="19" spans="1:18" s="90" customFormat="1" ht="19.5" customHeight="1" thickBot="1">
      <c r="A19" s="32" t="s">
        <v>131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>
        <f>SUM(K19:N19)</f>
        <v>0</v>
      </c>
      <c r="P19" s="133">
        <f>SUM(J19+O19)</f>
        <v>0</v>
      </c>
      <c r="Q19" s="248"/>
      <c r="R19" s="251"/>
    </row>
    <row r="20" spans="1:18" s="90" customFormat="1" ht="19.5" customHeight="1" thickBot="1">
      <c r="A20" s="32" t="s">
        <v>132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33"/>
      <c r="Q20" s="248"/>
      <c r="R20" s="251"/>
    </row>
    <row r="21" spans="1:19" s="90" customFormat="1" ht="22.5" customHeight="1" thickBot="1">
      <c r="A21" s="228" t="s">
        <v>134</v>
      </c>
      <c r="B21" s="238" t="e">
        <f>SUM(B22)</f>
        <v>#REF!</v>
      </c>
      <c r="C21" s="238" t="e">
        <f aca="true" t="shared" si="4" ref="C21:N21">SUM(C22)</f>
        <v>#REF!</v>
      </c>
      <c r="D21" s="238" t="e">
        <f t="shared" si="4"/>
        <v>#REF!</v>
      </c>
      <c r="E21" s="238">
        <f t="shared" si="4"/>
        <v>0</v>
      </c>
      <c r="F21" s="238">
        <f t="shared" si="4"/>
        <v>0</v>
      </c>
      <c r="G21" s="238"/>
      <c r="H21" s="238">
        <f t="shared" si="4"/>
        <v>0</v>
      </c>
      <c r="I21" s="238">
        <f t="shared" si="4"/>
        <v>0</v>
      </c>
      <c r="J21" s="238" t="e">
        <f t="shared" si="4"/>
        <v>#REF!</v>
      </c>
      <c r="K21" s="238" t="e">
        <f>SUM(K22:K24)</f>
        <v>#REF!</v>
      </c>
      <c r="L21" s="238">
        <f t="shared" si="4"/>
        <v>0</v>
      </c>
      <c r="M21" s="238">
        <f t="shared" si="4"/>
        <v>0</v>
      </c>
      <c r="N21" s="238">
        <f t="shared" si="4"/>
        <v>0</v>
      </c>
      <c r="O21" s="238" t="e">
        <f>SUM(O22:O24)</f>
        <v>#REF!</v>
      </c>
      <c r="P21" s="238" t="e">
        <f>SUM(J21+O21)</f>
        <v>#REF!</v>
      </c>
      <c r="Q21" s="248"/>
      <c r="R21" s="251" t="e">
        <f>SUM(R22:R24)</f>
        <v>#REF!</v>
      </c>
      <c r="S21" s="128"/>
    </row>
    <row r="22" spans="1:18" s="90" customFormat="1" ht="19.5" customHeight="1" thickBot="1">
      <c r="A22" s="32" t="s">
        <v>130</v>
      </c>
      <c r="B22" s="89" t="e">
        <f>'7.finanszírozás jav. mód..'!F48</f>
        <v>#REF!</v>
      </c>
      <c r="C22" s="89" t="e">
        <f>'7.finanszírozás jav. mód..'!F52</f>
        <v>#REF!</v>
      </c>
      <c r="D22" s="89" t="e">
        <f>'7.finanszírozás jav. mód..'!F56</f>
        <v>#REF!</v>
      </c>
      <c r="E22" s="89"/>
      <c r="F22" s="89"/>
      <c r="G22" s="89"/>
      <c r="H22" s="89"/>
      <c r="I22" s="89"/>
      <c r="J22" s="89" t="e">
        <f>SUM(B22:I22)</f>
        <v>#REF!</v>
      </c>
      <c r="K22" s="89"/>
      <c r="L22" s="89"/>
      <c r="M22" s="89"/>
      <c r="N22" s="89"/>
      <c r="O22" s="89">
        <f>SUM(K22:N22)</f>
        <v>0</v>
      </c>
      <c r="P22" s="133" t="e">
        <f>SUM(J22+O22)</f>
        <v>#REF!</v>
      </c>
      <c r="Q22" s="248"/>
      <c r="R22" s="251" t="e">
        <f>SUM(#REF!)</f>
        <v>#REF!</v>
      </c>
    </row>
    <row r="23" spans="1:18" s="90" customFormat="1" ht="19.5" customHeight="1" thickBot="1">
      <c r="A23" s="32" t="s">
        <v>131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89" t="e">
        <f>'7.finanszírozás jav. mód..'!F60</f>
        <v>#REF!</v>
      </c>
      <c r="L23" s="235"/>
      <c r="M23" s="235"/>
      <c r="N23" s="235"/>
      <c r="O23" s="89" t="e">
        <f>SUM(K23:N23)</f>
        <v>#REF!</v>
      </c>
      <c r="P23" s="133" t="e">
        <f>SUM(J23+O23)</f>
        <v>#REF!</v>
      </c>
      <c r="Q23" s="248"/>
      <c r="R23" s="251"/>
    </row>
    <row r="24" spans="1:18" s="90" customFormat="1" ht="19.5" customHeight="1" thickBot="1">
      <c r="A24" s="239" t="s">
        <v>132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29"/>
      <c r="Q24" s="248"/>
      <c r="R24" s="251"/>
    </row>
    <row r="25" spans="1:19" s="90" customFormat="1" ht="30" customHeight="1" thickBot="1">
      <c r="A25" s="232" t="s">
        <v>54</v>
      </c>
      <c r="B25" s="233" t="e">
        <f>SUM(B8+B12)</f>
        <v>#REF!</v>
      </c>
      <c r="C25" s="233" t="e">
        <f aca="true" t="shared" si="5" ref="C25:P25">SUM(C8+C12)</f>
        <v>#REF!</v>
      </c>
      <c r="D25" s="233" t="e">
        <f t="shared" si="5"/>
        <v>#REF!</v>
      </c>
      <c r="E25" s="233">
        <f t="shared" si="5"/>
        <v>9350</v>
      </c>
      <c r="F25" s="233" t="e">
        <f t="shared" si="5"/>
        <v>#REF!</v>
      </c>
      <c r="G25" s="233" t="e">
        <f t="shared" si="5"/>
        <v>#REF!</v>
      </c>
      <c r="H25" s="233" t="e">
        <f>SUM(H8+H12)</f>
        <v>#REF!</v>
      </c>
      <c r="I25" s="233" t="e">
        <f t="shared" si="5"/>
        <v>#REF!</v>
      </c>
      <c r="J25" s="525" t="e">
        <f t="shared" si="5"/>
        <v>#REF!</v>
      </c>
      <c r="K25" s="233" t="e">
        <f t="shared" si="5"/>
        <v>#REF!</v>
      </c>
      <c r="L25" s="233" t="e">
        <f t="shared" si="5"/>
        <v>#REF!</v>
      </c>
      <c r="M25" s="233" t="e">
        <f t="shared" si="5"/>
        <v>#REF!</v>
      </c>
      <c r="N25" s="233" t="e">
        <f t="shared" si="5"/>
        <v>#REF!</v>
      </c>
      <c r="O25" s="233" t="e">
        <f t="shared" si="5"/>
        <v>#REF!</v>
      </c>
      <c r="P25" s="234" t="e">
        <f t="shared" si="5"/>
        <v>#REF!</v>
      </c>
      <c r="Q25" s="249" t="e">
        <f>SUM(Q8+Q12)</f>
        <v>#REF!</v>
      </c>
      <c r="R25" s="252" t="e">
        <f>SUM(R8+R12)</f>
        <v>#REF!</v>
      </c>
      <c r="S25" s="526" t="e">
        <f>SUM(J25+O25)</f>
        <v>#REF!</v>
      </c>
    </row>
    <row r="26" spans="1:16" ht="12.75">
      <c r="A26" s="92" t="s">
        <v>570</v>
      </c>
      <c r="P26" s="86" t="e">
        <f>SUM('7.finanszírozás jav. mód..'!H38)</f>
        <v>#REF!</v>
      </c>
    </row>
    <row r="27" spans="1:16" ht="12.75">
      <c r="A27" s="92" t="s">
        <v>579</v>
      </c>
      <c r="P27" s="416" t="e">
        <f>SUM(P25+P26)</f>
        <v>#REF!</v>
      </c>
    </row>
    <row r="28" spans="1:18" ht="12.75">
      <c r="A28" s="92" t="s">
        <v>576</v>
      </c>
      <c r="R28" s="84">
        <v>3</v>
      </c>
    </row>
    <row r="29" ht="12.75" hidden="1"/>
    <row r="30" spans="1:18" ht="12.75" hidden="1">
      <c r="A30" s="986" t="s">
        <v>136</v>
      </c>
      <c r="B30" s="995" t="s">
        <v>637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6"/>
      <c r="Q30" s="1005" t="s">
        <v>37</v>
      </c>
      <c r="R30" s="1003" t="s">
        <v>143</v>
      </c>
    </row>
    <row r="31" spans="1:18" ht="12.75" hidden="1">
      <c r="A31" s="987"/>
      <c r="B31" s="991" t="s">
        <v>38</v>
      </c>
      <c r="C31" s="992"/>
      <c r="D31" s="992"/>
      <c r="E31" s="992"/>
      <c r="F31" s="992"/>
      <c r="G31" s="992"/>
      <c r="H31" s="992"/>
      <c r="I31" s="993"/>
      <c r="J31" s="977" t="s">
        <v>39</v>
      </c>
      <c r="K31" s="977" t="s">
        <v>40</v>
      </c>
      <c r="L31" s="977"/>
      <c r="M31" s="977"/>
      <c r="N31" s="977"/>
      <c r="O31" s="977"/>
      <c r="P31" s="990" t="s">
        <v>8</v>
      </c>
      <c r="Q31" s="1005"/>
      <c r="R31" s="1004"/>
    </row>
    <row r="32" spans="1:18" ht="63" hidden="1">
      <c r="A32" s="987"/>
      <c r="B32" s="87" t="s">
        <v>41</v>
      </c>
      <c r="C32" s="220" t="s">
        <v>140</v>
      </c>
      <c r="D32" s="87" t="s">
        <v>43</v>
      </c>
      <c r="E32" s="87" t="s">
        <v>44</v>
      </c>
      <c r="F32" s="87" t="s">
        <v>45</v>
      </c>
      <c r="G32" s="1000" t="s">
        <v>68</v>
      </c>
      <c r="H32" s="1001"/>
      <c r="I32" s="220" t="s">
        <v>477</v>
      </c>
      <c r="J32" s="977"/>
      <c r="K32" s="87" t="s">
        <v>46</v>
      </c>
      <c r="L32" s="87" t="s">
        <v>47</v>
      </c>
      <c r="M32" s="87" t="s">
        <v>48</v>
      </c>
      <c r="N32" s="87" t="s">
        <v>135</v>
      </c>
      <c r="O32" s="977" t="s">
        <v>13</v>
      </c>
      <c r="P32" s="990"/>
      <c r="Q32" s="1005"/>
      <c r="R32" s="1004"/>
    </row>
    <row r="33" spans="1:18" ht="32.25" hidden="1" thickBot="1">
      <c r="A33" s="999"/>
      <c r="B33" s="417"/>
      <c r="C33" s="417"/>
      <c r="D33" s="417"/>
      <c r="E33" s="417"/>
      <c r="F33" s="417"/>
      <c r="G33" s="524" t="s">
        <v>629</v>
      </c>
      <c r="H33" s="524" t="s">
        <v>630</v>
      </c>
      <c r="I33" s="417"/>
      <c r="J33" s="994"/>
      <c r="K33" s="418"/>
      <c r="L33" s="419"/>
      <c r="M33" s="419"/>
      <c r="N33" s="419"/>
      <c r="O33" s="994"/>
      <c r="P33" s="1002"/>
      <c r="Q33" s="1006"/>
      <c r="R33" s="1004"/>
    </row>
    <row r="34" spans="1:18" ht="13.5" hidden="1" thickBot="1">
      <c r="A34" s="214" t="s">
        <v>49</v>
      </c>
      <c r="B34" s="217" t="e">
        <f aca="true" t="shared" si="6" ref="B34:P34">SUM(B35:B37)</f>
        <v>#REF!</v>
      </c>
      <c r="C34" s="217" t="e">
        <f t="shared" si="6"/>
        <v>#REF!</v>
      </c>
      <c r="D34" s="217" t="e">
        <f t="shared" si="6"/>
        <v>#REF!</v>
      </c>
      <c r="E34" s="217" t="e">
        <f t="shared" si="6"/>
        <v>#REF!</v>
      </c>
      <c r="F34" s="217" t="e">
        <f t="shared" si="6"/>
        <v>#REF!</v>
      </c>
      <c r="G34" s="217" t="e">
        <f t="shared" si="6"/>
        <v>#REF!</v>
      </c>
      <c r="H34" s="217" t="e">
        <f t="shared" si="6"/>
        <v>#REF!</v>
      </c>
      <c r="I34" s="217" t="e">
        <f t="shared" si="6"/>
        <v>#REF!</v>
      </c>
      <c r="J34" s="217" t="e">
        <f t="shared" si="6"/>
        <v>#REF!</v>
      </c>
      <c r="K34" s="217" t="e">
        <f t="shared" si="6"/>
        <v>#REF!</v>
      </c>
      <c r="L34" s="217" t="e">
        <f t="shared" si="6"/>
        <v>#REF!</v>
      </c>
      <c r="M34" s="217" t="e">
        <f t="shared" si="6"/>
        <v>#REF!</v>
      </c>
      <c r="N34" s="217" t="e">
        <f t="shared" si="6"/>
        <v>#REF!</v>
      </c>
      <c r="O34" s="217" t="e">
        <f t="shared" si="6"/>
        <v>#REF!</v>
      </c>
      <c r="P34" s="218" t="e">
        <f t="shared" si="6"/>
        <v>#REF!</v>
      </c>
      <c r="Q34" s="246" t="e">
        <f>SUM(#REF!)</f>
        <v>#REF!</v>
      </c>
      <c r="R34" s="527" t="e">
        <f>SUM(R35:R37)</f>
        <v>#REF!</v>
      </c>
    </row>
    <row r="35" spans="1:18" ht="12.75" hidden="1">
      <c r="A35" s="240" t="s">
        <v>137</v>
      </c>
      <c r="B35" s="219" t="e">
        <f>SUM(#REF!)</f>
        <v>#REF!</v>
      </c>
      <c r="C35" s="219" t="e">
        <f>SUM(#REF!)</f>
        <v>#REF!</v>
      </c>
      <c r="D35" s="219" t="e">
        <f>SUM(#REF!)</f>
        <v>#REF!</v>
      </c>
      <c r="E35" s="219" t="e">
        <f>SUM(#REF!)</f>
        <v>#REF!</v>
      </c>
      <c r="F35" s="219" t="e">
        <f>SUM('4. Átadott p.eszk.'!#REF!+'4. Átadott p.eszk.'!#REF!)</f>
        <v>#REF!</v>
      </c>
      <c r="G35" s="219" t="e">
        <f>SUM(-#REF!)</f>
        <v>#REF!</v>
      </c>
      <c r="H35" s="219" t="e">
        <f>SUM('2.működés'!#REF!)</f>
        <v>#REF!</v>
      </c>
      <c r="I35" s="219" t="e">
        <f>SUM('2.működés'!#REF!)</f>
        <v>#REF!</v>
      </c>
      <c r="J35" s="241" t="e">
        <f>SUM(B35:I35)</f>
        <v>#REF!</v>
      </c>
      <c r="K35" s="219"/>
      <c r="L35" s="219"/>
      <c r="M35" s="219"/>
      <c r="N35" s="219"/>
      <c r="O35" s="241">
        <f>SUM(K35:N35)</f>
        <v>0</v>
      </c>
      <c r="P35" s="241" t="e">
        <f>SUM(J35+O35)</f>
        <v>#REF!</v>
      </c>
      <c r="Q35" s="211"/>
      <c r="R35" s="253" t="e">
        <f>SUM(#REF!)</f>
        <v>#REF!</v>
      </c>
    </row>
    <row r="36" spans="1:18" ht="12.75" hidden="1">
      <c r="A36" s="32" t="s">
        <v>138</v>
      </c>
      <c r="B36" s="89"/>
      <c r="C36" s="89"/>
      <c r="D36" s="89"/>
      <c r="E36" s="89"/>
      <c r="F36" s="89" t="e">
        <f>SUM('4. Átadott p.eszk.'!#REF!+'4. Átadott p.eszk.'!#REF!)</f>
        <v>#REF!</v>
      </c>
      <c r="G36" s="89"/>
      <c r="H36" s="89"/>
      <c r="I36" s="89"/>
      <c r="J36" s="241" t="e">
        <f>SUM(B36:I36)</f>
        <v>#REF!</v>
      </c>
      <c r="K36" s="219" t="e">
        <f>SUM('3.felh'!#REF!)</f>
        <v>#REF!</v>
      </c>
      <c r="L36" s="219" t="e">
        <f>SUM('3.felh'!#REF!)</f>
        <v>#REF!</v>
      </c>
      <c r="M36" s="219" t="e">
        <f>SUM('3.felh'!#REF!)</f>
        <v>#REF!</v>
      </c>
      <c r="N36" s="219" t="e">
        <f>SUM('3.felh'!#REF!)</f>
        <v>#REF!</v>
      </c>
      <c r="O36" s="241" t="e">
        <f>SUM(K36:N36)</f>
        <v>#REF!</v>
      </c>
      <c r="P36" s="241" t="e">
        <f>SUM(J36+O36)</f>
        <v>#REF!</v>
      </c>
      <c r="Q36" s="211"/>
      <c r="R36" s="250"/>
    </row>
    <row r="37" spans="1:18" ht="12.75" hidden="1">
      <c r="A37" s="239" t="s">
        <v>128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11"/>
      <c r="R37" s="250"/>
    </row>
    <row r="38" spans="1:18" ht="13.5" hidden="1" thickBot="1">
      <c r="A38" s="214" t="s">
        <v>50</v>
      </c>
      <c r="B38" s="215" t="e">
        <f>SUM(B39+B43+B47)</f>
        <v>#REF!</v>
      </c>
      <c r="C38" s="215" t="e">
        <f>SUM(C39+C43+C47)</f>
        <v>#REF!</v>
      </c>
      <c r="D38" s="215" t="e">
        <f>SUM(D39+D43+D47)</f>
        <v>#REF!</v>
      </c>
      <c r="E38" s="215">
        <f>SUM(E39+E43+E47)</f>
        <v>0</v>
      </c>
      <c r="F38" s="215">
        <f>SUM(F39+F43+F47)</f>
        <v>0</v>
      </c>
      <c r="G38" s="215"/>
      <c r="H38" s="215">
        <f>SUM(H39+H43+H47)</f>
        <v>0</v>
      </c>
      <c r="I38" s="215">
        <f aca="true" t="shared" si="7" ref="I38:P38">SUM(I39+I43+I47)</f>
        <v>0</v>
      </c>
      <c r="J38" s="215" t="e">
        <f t="shared" si="7"/>
        <v>#REF!</v>
      </c>
      <c r="K38" s="215" t="e">
        <f t="shared" si="7"/>
        <v>#REF!</v>
      </c>
      <c r="L38" s="215">
        <f t="shared" si="7"/>
        <v>0</v>
      </c>
      <c r="M38" s="215">
        <f t="shared" si="7"/>
        <v>0</v>
      </c>
      <c r="N38" s="215">
        <f t="shared" si="7"/>
        <v>0</v>
      </c>
      <c r="O38" s="215" t="e">
        <f t="shared" si="7"/>
        <v>#REF!</v>
      </c>
      <c r="P38" s="242" t="e">
        <f t="shared" si="7"/>
        <v>#REF!</v>
      </c>
      <c r="Q38" s="247" t="e">
        <f>SUM(#REF!+#REF!+#REF!)</f>
        <v>#REF!</v>
      </c>
      <c r="R38" s="253" t="e">
        <f>SUM(R39+R43+R47)</f>
        <v>#REF!</v>
      </c>
    </row>
    <row r="39" spans="1:18" ht="25.5" hidden="1">
      <c r="A39" s="227" t="s">
        <v>129</v>
      </c>
      <c r="B39" s="213" t="e">
        <f>SUM(B40)</f>
        <v>#REF!</v>
      </c>
      <c r="C39" s="213" t="e">
        <f aca="true" t="shared" si="8" ref="C39:N39">SUM(C40)</f>
        <v>#REF!</v>
      </c>
      <c r="D39" s="213" t="e">
        <f t="shared" si="8"/>
        <v>#REF!</v>
      </c>
      <c r="E39" s="213">
        <f t="shared" si="8"/>
        <v>0</v>
      </c>
      <c r="F39" s="213">
        <f t="shared" si="8"/>
        <v>0</v>
      </c>
      <c r="G39" s="213"/>
      <c r="H39" s="213">
        <f t="shared" si="8"/>
        <v>0</v>
      </c>
      <c r="I39" s="213">
        <f t="shared" si="8"/>
        <v>0</v>
      </c>
      <c r="J39" s="213" t="e">
        <f t="shared" si="8"/>
        <v>#REF!</v>
      </c>
      <c r="K39" s="213" t="e">
        <f>SUM(K40:K42)</f>
        <v>#REF!</v>
      </c>
      <c r="L39" s="213">
        <f t="shared" si="8"/>
        <v>0</v>
      </c>
      <c r="M39" s="213">
        <f t="shared" si="8"/>
        <v>0</v>
      </c>
      <c r="N39" s="213">
        <f t="shared" si="8"/>
        <v>0</v>
      </c>
      <c r="O39" s="213" t="e">
        <f>SUM(K39:N39)</f>
        <v>#REF!</v>
      </c>
      <c r="P39" s="213" t="e">
        <f>(O39+J39)</f>
        <v>#REF!</v>
      </c>
      <c r="Q39" s="248"/>
      <c r="R39" s="251" t="e">
        <f>SUM(R40:R42)</f>
        <v>#REF!</v>
      </c>
    </row>
    <row r="40" spans="1:18" ht="12.75" hidden="1">
      <c r="A40" s="32" t="s">
        <v>130</v>
      </c>
      <c r="B40" s="89" t="e">
        <f>SUM(#REF!)</f>
        <v>#REF!</v>
      </c>
      <c r="C40" s="89" t="e">
        <f>SUM(#REF!)</f>
        <v>#REF!</v>
      </c>
      <c r="D40" s="89" t="e">
        <f>SUM(#REF!)</f>
        <v>#REF!</v>
      </c>
      <c r="E40" s="89"/>
      <c r="F40" s="89"/>
      <c r="G40" s="89"/>
      <c r="H40" s="89"/>
      <c r="I40" s="89"/>
      <c r="J40" s="235" t="e">
        <f>SUM(B40:I40)</f>
        <v>#REF!</v>
      </c>
      <c r="K40" s="89"/>
      <c r="L40" s="89"/>
      <c r="M40" s="89"/>
      <c r="N40" s="89"/>
      <c r="O40" s="241">
        <f>SUM(K40:N40)</f>
        <v>0</v>
      </c>
      <c r="P40" s="135" t="e">
        <f>SUM(J40+O40)</f>
        <v>#REF!</v>
      </c>
      <c r="Q40" s="248"/>
      <c r="R40" s="251" t="e">
        <f>SUM(#REF!)</f>
        <v>#REF!</v>
      </c>
    </row>
    <row r="41" spans="1:18" ht="12.75" hidden="1">
      <c r="A41" s="32" t="s">
        <v>131</v>
      </c>
      <c r="B41" s="89"/>
      <c r="C41" s="89"/>
      <c r="D41" s="89"/>
      <c r="E41" s="89"/>
      <c r="F41" s="89"/>
      <c r="G41" s="89"/>
      <c r="H41" s="89"/>
      <c r="I41" s="89"/>
      <c r="J41" s="89"/>
      <c r="K41" s="89" t="e">
        <f>SUM(#REF!)</f>
        <v>#REF!</v>
      </c>
      <c r="L41" s="89"/>
      <c r="M41" s="89"/>
      <c r="N41" s="89"/>
      <c r="O41" s="241" t="e">
        <f>SUM(K41:N41)</f>
        <v>#REF!</v>
      </c>
      <c r="P41" s="135" t="e">
        <f>SUM(J41+O41)</f>
        <v>#REF!</v>
      </c>
      <c r="Q41" s="248"/>
      <c r="R41" s="251"/>
    </row>
    <row r="42" spans="1:18" ht="12.75" hidden="1">
      <c r="A42" s="32" t="s">
        <v>132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33"/>
      <c r="Q42" s="248"/>
      <c r="R42" s="251"/>
    </row>
    <row r="43" spans="1:18" ht="12.75" hidden="1">
      <c r="A43" s="228" t="s">
        <v>133</v>
      </c>
      <c r="B43" s="238" t="e">
        <f>SUM(B44)</f>
        <v>#REF!</v>
      </c>
      <c r="C43" s="238" t="e">
        <f aca="true" t="shared" si="9" ref="C43:N43">SUM(C44)</f>
        <v>#REF!</v>
      </c>
      <c r="D43" s="238" t="e">
        <f t="shared" si="9"/>
        <v>#REF!</v>
      </c>
      <c r="E43" s="238">
        <f t="shared" si="9"/>
        <v>0</v>
      </c>
      <c r="F43" s="238">
        <f t="shared" si="9"/>
        <v>0</v>
      </c>
      <c r="G43" s="238"/>
      <c r="H43" s="238">
        <f t="shared" si="9"/>
        <v>0</v>
      </c>
      <c r="I43" s="238">
        <f t="shared" si="9"/>
        <v>0</v>
      </c>
      <c r="J43" s="238" t="e">
        <f t="shared" si="9"/>
        <v>#REF!</v>
      </c>
      <c r="K43" s="238" t="e">
        <f>SUM(K44:K46)</f>
        <v>#REF!</v>
      </c>
      <c r="L43" s="238">
        <f t="shared" si="9"/>
        <v>0</v>
      </c>
      <c r="M43" s="238">
        <f t="shared" si="9"/>
        <v>0</v>
      </c>
      <c r="N43" s="238">
        <f t="shared" si="9"/>
        <v>0</v>
      </c>
      <c r="O43" s="238" t="e">
        <f>SUM(O44:O46)</f>
        <v>#REF!</v>
      </c>
      <c r="P43" s="238" t="e">
        <f>SUM(J43+K43)</f>
        <v>#REF!</v>
      </c>
      <c r="Q43" s="248"/>
      <c r="R43" s="251" t="e">
        <f>SUM(R44:R46)</f>
        <v>#REF!</v>
      </c>
    </row>
    <row r="44" spans="1:18" ht="12.75" hidden="1">
      <c r="A44" s="32" t="s">
        <v>130</v>
      </c>
      <c r="B44" s="89" t="e">
        <f>SUM(#REF!)</f>
        <v>#REF!</v>
      </c>
      <c r="C44" s="89" t="e">
        <f>SUM(#REF!)</f>
        <v>#REF!</v>
      </c>
      <c r="D44" s="89" t="e">
        <f>SUM(#REF!)</f>
        <v>#REF!</v>
      </c>
      <c r="E44" s="89"/>
      <c r="F44" s="89"/>
      <c r="G44" s="89"/>
      <c r="H44" s="89"/>
      <c r="I44" s="89"/>
      <c r="J44" s="235" t="e">
        <f>SUM(B44:I44)</f>
        <v>#REF!</v>
      </c>
      <c r="K44" s="89"/>
      <c r="L44" s="89"/>
      <c r="M44" s="89"/>
      <c r="N44" s="89"/>
      <c r="O44" s="89">
        <f>SUM(K44:N44)</f>
        <v>0</v>
      </c>
      <c r="P44" s="133" t="e">
        <f>SUM(J44+O44)</f>
        <v>#REF!</v>
      </c>
      <c r="Q44" s="248"/>
      <c r="R44" s="251" t="e">
        <f>SUM(#REF!)</f>
        <v>#REF!</v>
      </c>
    </row>
    <row r="45" spans="1:18" ht="12.75" hidden="1">
      <c r="A45" s="32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 t="e">
        <f>SUM(#REF!)</f>
        <v>#REF!</v>
      </c>
      <c r="L45" s="89"/>
      <c r="M45" s="89"/>
      <c r="N45" s="89"/>
      <c r="O45" s="89" t="e">
        <f>SUM(K45:N45)</f>
        <v>#REF!</v>
      </c>
      <c r="P45" s="133" t="e">
        <f>SUM(J45+O45)</f>
        <v>#REF!</v>
      </c>
      <c r="Q45" s="248"/>
      <c r="R45" s="251"/>
    </row>
    <row r="46" spans="1:18" ht="12.75" hidden="1">
      <c r="A46" s="32" t="s">
        <v>132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33"/>
      <c r="Q46" s="248"/>
      <c r="R46" s="251"/>
    </row>
    <row r="47" spans="1:18" ht="12.75" hidden="1">
      <c r="A47" s="228" t="s">
        <v>134</v>
      </c>
      <c r="B47" s="238" t="e">
        <f>SUM(B48)</f>
        <v>#REF!</v>
      </c>
      <c r="C47" s="238" t="e">
        <f aca="true" t="shared" si="10" ref="C47:N47">SUM(C48)</f>
        <v>#REF!</v>
      </c>
      <c r="D47" s="238" t="e">
        <f t="shared" si="10"/>
        <v>#REF!</v>
      </c>
      <c r="E47" s="238">
        <f t="shared" si="10"/>
        <v>0</v>
      </c>
      <c r="F47" s="238">
        <f t="shared" si="10"/>
        <v>0</v>
      </c>
      <c r="G47" s="238"/>
      <c r="H47" s="238">
        <f t="shared" si="10"/>
        <v>0</v>
      </c>
      <c r="I47" s="238">
        <f t="shared" si="10"/>
        <v>0</v>
      </c>
      <c r="J47" s="238" t="e">
        <f t="shared" si="10"/>
        <v>#REF!</v>
      </c>
      <c r="K47" s="238" t="e">
        <f>SUM(K48:K50)</f>
        <v>#REF!</v>
      </c>
      <c r="L47" s="238">
        <f t="shared" si="10"/>
        <v>0</v>
      </c>
      <c r="M47" s="238">
        <f t="shared" si="10"/>
        <v>0</v>
      </c>
      <c r="N47" s="238">
        <f t="shared" si="10"/>
        <v>0</v>
      </c>
      <c r="O47" s="238" t="e">
        <f>SUM(O48:O50)</f>
        <v>#REF!</v>
      </c>
      <c r="P47" s="238" t="e">
        <f>SUM(J47+O47)</f>
        <v>#REF!</v>
      </c>
      <c r="Q47" s="248"/>
      <c r="R47" s="251" t="e">
        <f>SUM(R48:R50)</f>
        <v>#REF!</v>
      </c>
    </row>
    <row r="48" spans="1:18" ht="12.75" hidden="1">
      <c r="A48" s="32" t="s">
        <v>130</v>
      </c>
      <c r="B48" s="89" t="e">
        <f>SUM(#REF!)</f>
        <v>#REF!</v>
      </c>
      <c r="C48" s="89" t="e">
        <f>SUM(#REF!)</f>
        <v>#REF!</v>
      </c>
      <c r="D48" s="89" t="e">
        <f>SUM(#REF!)</f>
        <v>#REF!</v>
      </c>
      <c r="E48" s="89"/>
      <c r="F48" s="89"/>
      <c r="G48" s="89"/>
      <c r="H48" s="89"/>
      <c r="I48" s="89"/>
      <c r="J48" s="89" t="e">
        <f>SUM(B48:I48)</f>
        <v>#REF!</v>
      </c>
      <c r="K48" s="89"/>
      <c r="L48" s="89"/>
      <c r="M48" s="89"/>
      <c r="N48" s="89"/>
      <c r="O48" s="89">
        <f>SUM(K48:N48)</f>
        <v>0</v>
      </c>
      <c r="P48" s="133" t="e">
        <f>SUM(J48+O48)</f>
        <v>#REF!</v>
      </c>
      <c r="Q48" s="248"/>
      <c r="R48" s="251" t="e">
        <f>SUM(#REF!)</f>
        <v>#REF!</v>
      </c>
    </row>
    <row r="49" spans="1:18" ht="12.75" hidden="1">
      <c r="A49" s="32" t="s">
        <v>131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89" t="e">
        <f>SUM(#REF!)</f>
        <v>#REF!</v>
      </c>
      <c r="L49" s="235"/>
      <c r="M49" s="235"/>
      <c r="N49" s="235"/>
      <c r="O49" s="89" t="e">
        <f>SUM(K49:N49)</f>
        <v>#REF!</v>
      </c>
      <c r="P49" s="133" t="e">
        <f>SUM(J49+O49)</f>
        <v>#REF!</v>
      </c>
      <c r="Q49" s="248"/>
      <c r="R49" s="251"/>
    </row>
    <row r="50" spans="1:18" ht="12.75" hidden="1">
      <c r="A50" s="239" t="s">
        <v>132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29"/>
      <c r="Q50" s="248"/>
      <c r="R50" s="251"/>
    </row>
    <row r="51" spans="1:18" ht="32.25" hidden="1" thickBot="1">
      <c r="A51" s="232" t="s">
        <v>54</v>
      </c>
      <c r="B51" s="233" t="e">
        <f aca="true" t="shared" si="11" ref="B51:P51">SUM(B34+B38)</f>
        <v>#REF!</v>
      </c>
      <c r="C51" s="233" t="e">
        <f t="shared" si="11"/>
        <v>#REF!</v>
      </c>
      <c r="D51" s="233" t="e">
        <f t="shared" si="11"/>
        <v>#REF!</v>
      </c>
      <c r="E51" s="233" t="e">
        <f t="shared" si="11"/>
        <v>#REF!</v>
      </c>
      <c r="F51" s="233" t="e">
        <f t="shared" si="11"/>
        <v>#REF!</v>
      </c>
      <c r="G51" s="233" t="e">
        <f t="shared" si="11"/>
        <v>#REF!</v>
      </c>
      <c r="H51" s="233" t="e">
        <f t="shared" si="11"/>
        <v>#REF!</v>
      </c>
      <c r="I51" s="233" t="e">
        <f t="shared" si="11"/>
        <v>#REF!</v>
      </c>
      <c r="J51" s="525" t="e">
        <f t="shared" si="11"/>
        <v>#REF!</v>
      </c>
      <c r="K51" s="233" t="e">
        <f t="shared" si="11"/>
        <v>#REF!</v>
      </c>
      <c r="L51" s="233" t="e">
        <f t="shared" si="11"/>
        <v>#REF!</v>
      </c>
      <c r="M51" s="233" t="e">
        <f t="shared" si="11"/>
        <v>#REF!</v>
      </c>
      <c r="N51" s="233" t="e">
        <f t="shared" si="11"/>
        <v>#REF!</v>
      </c>
      <c r="O51" s="233" t="e">
        <f t="shared" si="11"/>
        <v>#REF!</v>
      </c>
      <c r="P51" s="234" t="e">
        <f t="shared" si="11"/>
        <v>#REF!</v>
      </c>
      <c r="Q51" s="249" t="e">
        <f>SUM(Q34+Q38)</f>
        <v>#REF!</v>
      </c>
      <c r="R51" s="252" t="e">
        <f>SUM(R34+R38)</f>
        <v>#REF!</v>
      </c>
    </row>
    <row r="52" spans="1:16" ht="12.75" hidden="1">
      <c r="A52" s="92" t="s">
        <v>570</v>
      </c>
      <c r="P52" s="86" t="e">
        <f>SUM('7.finanszírozás jav. mód..'!H44)</f>
        <v>#REF!</v>
      </c>
    </row>
    <row r="53" spans="1:16" ht="12.75" hidden="1">
      <c r="A53" s="92" t="s">
        <v>579</v>
      </c>
      <c r="P53" s="416" t="e">
        <f>SUM(P51+P52)</f>
        <v>#REF!</v>
      </c>
    </row>
    <row r="54" spans="1:18" ht="12.75" hidden="1">
      <c r="A54" s="92" t="s">
        <v>576</v>
      </c>
      <c r="R54" s="84">
        <v>3</v>
      </c>
    </row>
    <row r="55" ht="12.75" hidden="1"/>
    <row r="56" ht="12.75" hidden="1"/>
  </sheetData>
  <sheetProtection/>
  <mergeCells count="21">
    <mergeCell ref="K31:O31"/>
    <mergeCell ref="G32:H32"/>
    <mergeCell ref="P5:P7"/>
    <mergeCell ref="A2:P2"/>
    <mergeCell ref="A4:A7"/>
    <mergeCell ref="B4:P4"/>
    <mergeCell ref="B31:I31"/>
    <mergeCell ref="A30:A33"/>
    <mergeCell ref="B30:P30"/>
    <mergeCell ref="O6:O7"/>
    <mergeCell ref="K5:O5"/>
    <mergeCell ref="O32:O33"/>
    <mergeCell ref="G6:H6"/>
    <mergeCell ref="Q30:Q33"/>
    <mergeCell ref="P31:P33"/>
    <mergeCell ref="B5:I5"/>
    <mergeCell ref="R4:R7"/>
    <mergeCell ref="J31:J33"/>
    <mergeCell ref="Q4:Q7"/>
    <mergeCell ref="J5:J7"/>
    <mergeCell ref="R30:R33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0"/>
  <sheetViews>
    <sheetView zoomScale="90" zoomScaleNormal="90" zoomScalePageLayoutView="0" workbookViewId="0" topLeftCell="A1">
      <selection activeCell="C77" sqref="C77"/>
    </sheetView>
  </sheetViews>
  <sheetFormatPr defaultColWidth="9.00390625" defaultRowHeight="12.75"/>
  <cols>
    <col min="1" max="1" width="9.125" style="157" customWidth="1"/>
    <col min="2" max="2" width="38.875" style="0" customWidth="1"/>
    <col min="3" max="3" width="19.375" style="0" customWidth="1"/>
    <col min="4" max="4" width="16.375" style="0" customWidth="1"/>
    <col min="5" max="5" width="14.75390625" style="0" customWidth="1"/>
    <col min="6" max="6" width="15.25390625" style="0" customWidth="1"/>
    <col min="7" max="7" width="15.75390625" style="0" customWidth="1"/>
    <col min="8" max="8" width="19.625" style="0" customWidth="1"/>
    <col min="9" max="9" width="8.75390625" style="11" customWidth="1"/>
    <col min="10" max="10" width="0" style="0" hidden="1" customWidth="1"/>
  </cols>
  <sheetData>
    <row r="1" spans="2:8" ht="12.75">
      <c r="B1" s="5"/>
      <c r="C1" s="5"/>
      <c r="D1" s="5"/>
      <c r="E1" s="5"/>
      <c r="F1" s="5"/>
      <c r="G1" s="5"/>
      <c r="H1" s="75" t="s">
        <v>312</v>
      </c>
    </row>
    <row r="2" spans="2:8" ht="38.25" customHeight="1">
      <c r="B2" s="1012" t="s">
        <v>697</v>
      </c>
      <c r="C2" s="971"/>
      <c r="D2" s="971"/>
      <c r="E2" s="971"/>
      <c r="F2" s="971"/>
      <c r="G2" s="971"/>
      <c r="H2" s="971"/>
    </row>
    <row r="3" spans="2:8" ht="11.25" customHeight="1" thickBot="1">
      <c r="B3" s="5"/>
      <c r="C3" s="5"/>
      <c r="D3" s="5"/>
      <c r="E3" s="5"/>
      <c r="F3" s="5"/>
      <c r="G3" s="5"/>
      <c r="H3" s="75" t="s">
        <v>0</v>
      </c>
    </row>
    <row r="4" spans="2:9" ht="12.75" customHeight="1">
      <c r="B4" s="1013" t="s">
        <v>55</v>
      </c>
      <c r="C4" s="1015" t="s">
        <v>49</v>
      </c>
      <c r="D4" s="1017" t="s">
        <v>50</v>
      </c>
      <c r="E4" s="1018"/>
      <c r="F4" s="1018"/>
      <c r="G4" s="1019" t="s">
        <v>127</v>
      </c>
      <c r="H4" s="1021" t="s">
        <v>57</v>
      </c>
      <c r="I4" s="41"/>
    </row>
    <row r="5" spans="2:9" ht="30.75" customHeight="1" thickBot="1">
      <c r="B5" s="1014"/>
      <c r="C5" s="1016"/>
      <c r="D5" s="196" t="s">
        <v>58</v>
      </c>
      <c r="E5" s="93" t="s">
        <v>52</v>
      </c>
      <c r="F5" s="93" t="s">
        <v>59</v>
      </c>
      <c r="G5" s="1020"/>
      <c r="H5" s="1022"/>
      <c r="I5" s="41"/>
    </row>
    <row r="6" spans="2:9" ht="13.5" customHeight="1">
      <c r="B6" s="94" t="s">
        <v>572</v>
      </c>
      <c r="C6" s="188"/>
      <c r="D6" s="189"/>
      <c r="E6" s="189"/>
      <c r="F6" s="189"/>
      <c r="G6" s="189"/>
      <c r="H6" s="190"/>
      <c r="I6" s="41"/>
    </row>
    <row r="7" spans="2:10" ht="13.5" customHeight="1" hidden="1">
      <c r="B7" s="95" t="s">
        <v>308</v>
      </c>
      <c r="C7" s="191">
        <v>837274</v>
      </c>
      <c r="D7" s="98">
        <v>27769</v>
      </c>
      <c r="E7" s="191">
        <v>6600</v>
      </c>
      <c r="F7" s="98">
        <v>500</v>
      </c>
      <c r="G7" s="98">
        <v>34869</v>
      </c>
      <c r="H7" s="99">
        <v>872143</v>
      </c>
      <c r="I7" s="41"/>
      <c r="J7" s="105"/>
    </row>
    <row r="8" spans="2:10" ht="13.5" customHeight="1" hidden="1">
      <c r="B8" s="95" t="s">
        <v>504</v>
      </c>
      <c r="C8" s="191">
        <v>837274</v>
      </c>
      <c r="D8" s="98">
        <v>27769</v>
      </c>
      <c r="E8" s="191">
        <v>6600</v>
      </c>
      <c r="F8" s="98">
        <v>500</v>
      </c>
      <c r="G8" s="98">
        <v>34869</v>
      </c>
      <c r="H8" s="99">
        <v>872143</v>
      </c>
      <c r="I8" s="41"/>
      <c r="J8" s="105"/>
    </row>
    <row r="9" spans="2:10" ht="13.5" customHeight="1">
      <c r="B9" s="95" t="s">
        <v>644</v>
      </c>
      <c r="C9" s="567">
        <v>792118</v>
      </c>
      <c r="D9" s="568">
        <v>37316</v>
      </c>
      <c r="E9" s="567">
        <v>4185</v>
      </c>
      <c r="F9" s="568">
        <v>1000</v>
      </c>
      <c r="G9" s="568">
        <v>42501</v>
      </c>
      <c r="H9" s="99">
        <v>834619</v>
      </c>
      <c r="I9" s="41"/>
      <c r="J9" s="415"/>
    </row>
    <row r="10" spans="2:9" ht="13.5" customHeight="1">
      <c r="B10" s="96"/>
      <c r="C10" s="567"/>
      <c r="D10" s="568"/>
      <c r="E10" s="568"/>
      <c r="F10" s="568"/>
      <c r="G10" s="568"/>
      <c r="H10" s="99"/>
      <c r="I10" s="41"/>
    </row>
    <row r="11" spans="2:10" ht="13.5" customHeight="1">
      <c r="B11" s="100" t="s">
        <v>480</v>
      </c>
      <c r="C11" s="569"/>
      <c r="D11" s="570"/>
      <c r="E11" s="570"/>
      <c r="F11" s="570"/>
      <c r="G11" s="570"/>
      <c r="H11" s="99"/>
      <c r="I11" s="41"/>
      <c r="J11" s="105"/>
    </row>
    <row r="12" spans="2:10" ht="13.5" customHeight="1">
      <c r="B12" s="95" t="s">
        <v>644</v>
      </c>
      <c r="C12" s="567">
        <v>76777</v>
      </c>
      <c r="D12" s="570"/>
      <c r="E12" s="570"/>
      <c r="F12" s="570"/>
      <c r="G12" s="568">
        <v>0</v>
      </c>
      <c r="H12" s="99">
        <v>76777</v>
      </c>
      <c r="I12" s="41"/>
      <c r="J12" s="105"/>
    </row>
    <row r="13" spans="2:10" ht="13.5" customHeight="1">
      <c r="B13" s="96"/>
      <c r="C13" s="569"/>
      <c r="D13" s="570"/>
      <c r="E13" s="570"/>
      <c r="F13" s="570"/>
      <c r="G13" s="570"/>
      <c r="H13" s="99"/>
      <c r="I13" s="41"/>
      <c r="J13" s="105"/>
    </row>
    <row r="14" spans="2:11" ht="15.75" customHeight="1">
      <c r="B14" s="100" t="s">
        <v>60</v>
      </c>
      <c r="C14" s="569"/>
      <c r="D14" s="570"/>
      <c r="E14" s="570"/>
      <c r="F14" s="570"/>
      <c r="G14" s="570"/>
      <c r="H14" s="104"/>
      <c r="I14" s="43"/>
      <c r="K14" s="105"/>
    </row>
    <row r="15" spans="2:9" ht="14.25" customHeight="1" hidden="1">
      <c r="B15" s="95" t="s">
        <v>308</v>
      </c>
      <c r="C15" s="569"/>
      <c r="D15" s="568">
        <v>0</v>
      </c>
      <c r="E15" s="568">
        <v>0</v>
      </c>
      <c r="F15" s="568">
        <v>0</v>
      </c>
      <c r="G15" s="568">
        <v>0</v>
      </c>
      <c r="H15" s="99">
        <v>0</v>
      </c>
      <c r="I15" s="41"/>
    </row>
    <row r="16" spans="2:9" ht="14.25" customHeight="1" hidden="1">
      <c r="B16" s="95" t="s">
        <v>504</v>
      </c>
      <c r="C16" s="569">
        <v>42000</v>
      </c>
      <c r="D16" s="568">
        <v>0</v>
      </c>
      <c r="E16" s="568">
        <v>0</v>
      </c>
      <c r="F16" s="568">
        <v>0</v>
      </c>
      <c r="G16" s="568">
        <v>0</v>
      </c>
      <c r="H16" s="99">
        <v>0</v>
      </c>
      <c r="I16" s="41"/>
    </row>
    <row r="17" spans="2:9" ht="14.25" customHeight="1">
      <c r="B17" s="95" t="s">
        <v>644</v>
      </c>
      <c r="C17" s="567">
        <v>134067</v>
      </c>
      <c r="D17" s="568">
        <v>141749</v>
      </c>
      <c r="E17" s="568">
        <v>9767</v>
      </c>
      <c r="F17" s="568">
        <v>81673</v>
      </c>
      <c r="G17" s="568">
        <v>233189</v>
      </c>
      <c r="H17" s="99">
        <v>367256</v>
      </c>
      <c r="I17" s="309">
        <v>233189</v>
      </c>
    </row>
    <row r="18" spans="2:9" ht="14.25" customHeight="1">
      <c r="B18" s="96"/>
      <c r="C18" s="569"/>
      <c r="D18" s="568"/>
      <c r="E18" s="568"/>
      <c r="F18" s="568"/>
      <c r="G18" s="568"/>
      <c r="H18" s="99"/>
      <c r="I18" s="43"/>
    </row>
    <row r="19" spans="2:9" ht="14.25" customHeight="1">
      <c r="B19" s="413" t="s">
        <v>633</v>
      </c>
      <c r="C19" s="569"/>
      <c r="D19" s="568"/>
      <c r="E19" s="568"/>
      <c r="F19" s="568"/>
      <c r="G19" s="568"/>
      <c r="H19" s="99"/>
      <c r="I19" s="43"/>
    </row>
    <row r="20" spans="2:9" ht="14.25" customHeight="1">
      <c r="B20" s="96" t="s">
        <v>466</v>
      </c>
      <c r="C20" s="567">
        <v>134067</v>
      </c>
      <c r="D20" s="570">
        <v>15126</v>
      </c>
      <c r="E20" s="570">
        <v>3782</v>
      </c>
      <c r="F20" s="570">
        <v>258</v>
      </c>
      <c r="G20" s="568">
        <v>19166</v>
      </c>
      <c r="H20" s="99">
        <v>153233</v>
      </c>
      <c r="I20" s="43"/>
    </row>
    <row r="21" spans="2:9" ht="24">
      <c r="B21" s="101" t="s">
        <v>126</v>
      </c>
      <c r="C21" s="569"/>
      <c r="D21" s="570"/>
      <c r="E21" s="570"/>
      <c r="F21" s="570"/>
      <c r="G21" s="570"/>
      <c r="H21" s="104"/>
      <c r="I21" s="102"/>
    </row>
    <row r="22" spans="2:11" ht="12.75" hidden="1">
      <c r="B22" s="95" t="s">
        <v>308</v>
      </c>
      <c r="C22" s="569"/>
      <c r="D22" s="570"/>
      <c r="E22" s="570"/>
      <c r="F22" s="570"/>
      <c r="G22" s="568"/>
      <c r="H22" s="99">
        <v>0</v>
      </c>
      <c r="I22" s="43"/>
      <c r="J22" s="43"/>
      <c r="K22" s="43"/>
    </row>
    <row r="23" spans="2:11" ht="12.75" hidden="1">
      <c r="B23" s="95" t="s">
        <v>504</v>
      </c>
      <c r="C23" s="569"/>
      <c r="D23" s="570"/>
      <c r="E23" s="570"/>
      <c r="F23" s="570"/>
      <c r="G23" s="568"/>
      <c r="H23" s="99">
        <v>0</v>
      </c>
      <c r="I23" s="43"/>
      <c r="J23" s="43"/>
      <c r="K23" s="43"/>
    </row>
    <row r="24" spans="2:11" ht="13.5" customHeight="1">
      <c r="B24" s="95" t="s">
        <v>644</v>
      </c>
      <c r="C24" s="569"/>
      <c r="D24" s="570">
        <v>100806</v>
      </c>
      <c r="E24" s="570">
        <v>1353</v>
      </c>
      <c r="F24" s="570">
        <v>13932</v>
      </c>
      <c r="G24" s="568">
        <v>116091</v>
      </c>
      <c r="H24" s="99">
        <v>116091</v>
      </c>
      <c r="I24" s="309">
        <v>214023</v>
      </c>
      <c r="J24" s="43"/>
      <c r="K24" s="43"/>
    </row>
    <row r="25" spans="2:11" ht="13.5" customHeight="1">
      <c r="B25" s="96"/>
      <c r="C25" s="569"/>
      <c r="D25" s="570"/>
      <c r="E25" s="570"/>
      <c r="F25" s="570"/>
      <c r="G25" s="568"/>
      <c r="H25" s="99"/>
      <c r="I25" s="43"/>
      <c r="J25" s="43"/>
      <c r="K25" s="43"/>
    </row>
    <row r="26" spans="2:11" ht="26.25" customHeight="1">
      <c r="B26" s="101" t="s">
        <v>61</v>
      </c>
      <c r="C26" s="569"/>
      <c r="D26" s="570"/>
      <c r="E26" s="570"/>
      <c r="F26" s="570"/>
      <c r="G26" s="570"/>
      <c r="H26" s="104"/>
      <c r="I26" s="41"/>
      <c r="J26" s="41"/>
      <c r="K26" s="41"/>
    </row>
    <row r="27" spans="2:11" ht="12.75" hidden="1">
      <c r="B27" s="95" t="s">
        <v>308</v>
      </c>
      <c r="C27" s="570"/>
      <c r="D27" s="570"/>
      <c r="E27" s="570"/>
      <c r="F27" s="570"/>
      <c r="G27" s="568"/>
      <c r="H27" s="99">
        <v>0</v>
      </c>
      <c r="I27" s="43"/>
      <c r="J27" s="43"/>
      <c r="K27" s="43"/>
    </row>
    <row r="28" spans="2:11" ht="12.75" hidden="1">
      <c r="B28" s="95" t="s">
        <v>504</v>
      </c>
      <c r="C28" s="571"/>
      <c r="D28" s="570"/>
      <c r="E28" s="570"/>
      <c r="F28" s="570"/>
      <c r="G28" s="568"/>
      <c r="H28" s="99">
        <v>0</v>
      </c>
      <c r="I28" s="43"/>
      <c r="J28" s="43"/>
      <c r="K28" s="43"/>
    </row>
    <row r="29" spans="2:11" ht="13.5" customHeight="1">
      <c r="B29" s="95" t="s">
        <v>644</v>
      </c>
      <c r="C29" s="571"/>
      <c r="D29" s="571">
        <v>25817</v>
      </c>
      <c r="E29" s="571">
        <v>4632</v>
      </c>
      <c r="F29" s="571">
        <v>67483</v>
      </c>
      <c r="G29" s="568">
        <v>97932</v>
      </c>
      <c r="H29" s="99">
        <v>97932</v>
      </c>
      <c r="I29" s="43"/>
      <c r="J29" s="43"/>
      <c r="K29" s="43"/>
    </row>
    <row r="30" spans="2:11" ht="13.5" customHeight="1">
      <c r="B30" s="96"/>
      <c r="C30" s="571"/>
      <c r="D30" s="571"/>
      <c r="E30" s="571"/>
      <c r="F30" s="571"/>
      <c r="G30" s="568"/>
      <c r="H30" s="99"/>
      <c r="I30" s="43"/>
      <c r="J30" s="43"/>
      <c r="K30" s="43"/>
    </row>
    <row r="31" spans="2:11" ht="13.5" customHeight="1" thickBot="1">
      <c r="B31" s="106"/>
      <c r="C31" s="571"/>
      <c r="D31" s="571"/>
      <c r="E31" s="571"/>
      <c r="F31" s="571"/>
      <c r="G31" s="571"/>
      <c r="H31" s="192"/>
      <c r="I31" s="105"/>
      <c r="J31" s="105"/>
      <c r="K31" s="105"/>
    </row>
    <row r="32" spans="2:10" ht="14.25" customHeight="1">
      <c r="B32" s="182" t="s">
        <v>62</v>
      </c>
      <c r="C32" s="572"/>
      <c r="D32" s="572"/>
      <c r="E32" s="572"/>
      <c r="F32" s="572"/>
      <c r="G32" s="572"/>
      <c r="H32" s="197"/>
      <c r="I32" s="43"/>
      <c r="J32" s="105"/>
    </row>
    <row r="33" spans="2:9" ht="14.25" customHeight="1" hidden="1">
      <c r="B33" s="330" t="s">
        <v>308</v>
      </c>
      <c r="C33" s="573" t="e">
        <v>#REF!</v>
      </c>
      <c r="D33" s="573">
        <v>27769</v>
      </c>
      <c r="E33" s="573">
        <v>6600</v>
      </c>
      <c r="F33" s="573">
        <v>500</v>
      </c>
      <c r="G33" s="573">
        <v>34869</v>
      </c>
      <c r="H33" s="198" t="e">
        <v>#REF!</v>
      </c>
      <c r="I33" s="43"/>
    </row>
    <row r="34" spans="2:9" ht="14.25" customHeight="1" hidden="1">
      <c r="B34" s="383" t="s">
        <v>504</v>
      </c>
      <c r="C34" s="573" t="e">
        <v>#REF!</v>
      </c>
      <c r="D34" s="573">
        <v>27769</v>
      </c>
      <c r="E34" s="573">
        <v>6600</v>
      </c>
      <c r="F34" s="573">
        <v>500</v>
      </c>
      <c r="G34" s="573">
        <v>34869</v>
      </c>
      <c r="H34" s="198" t="e">
        <v>#REF!</v>
      </c>
      <c r="I34" s="43"/>
    </row>
    <row r="35" spans="2:10" ht="14.25" customHeight="1">
      <c r="B35" s="414" t="s">
        <v>644</v>
      </c>
      <c r="C35" s="573">
        <v>1002962</v>
      </c>
      <c r="D35" s="573">
        <v>179065</v>
      </c>
      <c r="E35" s="573">
        <v>13952</v>
      </c>
      <c r="F35" s="573">
        <v>82673</v>
      </c>
      <c r="G35" s="573">
        <v>275690</v>
      </c>
      <c r="H35" s="198">
        <v>1278652</v>
      </c>
      <c r="I35" s="309">
        <v>1278652</v>
      </c>
      <c r="J35" s="415">
        <v>275690</v>
      </c>
    </row>
    <row r="36" spans="2:9" ht="14.25" customHeight="1">
      <c r="B36" s="384" t="s">
        <v>63</v>
      </c>
      <c r="C36" s="574"/>
      <c r="D36" s="574"/>
      <c r="E36" s="574"/>
      <c r="F36" s="574"/>
      <c r="G36" s="574"/>
      <c r="H36" s="199"/>
      <c r="I36" s="41"/>
    </row>
    <row r="37" spans="2:9" ht="14.25" customHeight="1" hidden="1">
      <c r="B37" s="107" t="s">
        <v>491</v>
      </c>
      <c r="C37" s="574"/>
      <c r="D37" s="574"/>
      <c r="E37" s="574"/>
      <c r="F37" s="574"/>
      <c r="G37" s="574"/>
      <c r="H37" s="199">
        <v>0</v>
      </c>
      <c r="I37" s="41"/>
    </row>
    <row r="38" spans="2:9" ht="14.25" customHeight="1" thickBot="1">
      <c r="B38" s="414" t="s">
        <v>644</v>
      </c>
      <c r="C38" s="575"/>
      <c r="D38" s="575"/>
      <c r="E38" s="575"/>
      <c r="F38" s="575"/>
      <c r="G38" s="575"/>
      <c r="H38" s="199">
        <v>-214023</v>
      </c>
      <c r="I38" s="41"/>
    </row>
    <row r="39" spans="2:9" ht="14.25" customHeight="1" thickBot="1">
      <c r="B39" s="108" t="s">
        <v>64</v>
      </c>
      <c r="C39" s="576"/>
      <c r="D39" s="576"/>
      <c r="E39" s="576"/>
      <c r="F39" s="576"/>
      <c r="G39" s="576"/>
      <c r="H39" s="328">
        <v>1064629</v>
      </c>
      <c r="I39" s="41"/>
    </row>
    <row r="40" spans="2:9" ht="14.25" customHeight="1">
      <c r="B40" s="109" t="s">
        <v>65</v>
      </c>
      <c r="C40" s="574"/>
      <c r="D40" s="574"/>
      <c r="E40" s="574"/>
      <c r="F40" s="574"/>
      <c r="G40" s="574"/>
      <c r="H40" s="200"/>
      <c r="I40" s="43"/>
    </row>
    <row r="41" spans="2:10" ht="12.75" hidden="1">
      <c r="B41" s="330" t="s">
        <v>308</v>
      </c>
      <c r="C41" s="574"/>
      <c r="D41" s="574"/>
      <c r="E41" s="574"/>
      <c r="F41" s="574"/>
      <c r="G41" s="574"/>
      <c r="H41" s="199"/>
      <c r="I41" s="43"/>
      <c r="J41" s="105"/>
    </row>
    <row r="42" spans="2:10" ht="12.75" hidden="1">
      <c r="B42" s="383" t="s">
        <v>504</v>
      </c>
      <c r="C42" s="574"/>
      <c r="D42" s="574"/>
      <c r="E42" s="574"/>
      <c r="F42" s="574"/>
      <c r="G42" s="574"/>
      <c r="H42" s="199"/>
      <c r="I42" s="43"/>
      <c r="J42" s="105"/>
    </row>
    <row r="43" spans="2:10" ht="14.25" customHeight="1">
      <c r="B43" s="414" t="s">
        <v>644</v>
      </c>
      <c r="C43" s="574">
        <v>1002962</v>
      </c>
      <c r="D43" s="574">
        <v>179065</v>
      </c>
      <c r="E43" s="574">
        <v>13952</v>
      </c>
      <c r="F43" s="574">
        <v>82673</v>
      </c>
      <c r="G43" s="574">
        <v>275690</v>
      </c>
      <c r="H43" s="199">
        <v>1278652</v>
      </c>
      <c r="I43" s="309"/>
      <c r="J43" s="415">
        <v>275690</v>
      </c>
    </row>
    <row r="44" spans="2:9" ht="12.75">
      <c r="B44" s="384" t="s">
        <v>63</v>
      </c>
      <c r="C44" s="574"/>
      <c r="D44" s="574"/>
      <c r="E44" s="574"/>
      <c r="F44" s="574"/>
      <c r="G44" s="574"/>
      <c r="H44" s="199"/>
      <c r="I44" s="41"/>
    </row>
    <row r="45" spans="2:9" ht="13.5" thickBot="1">
      <c r="B45" s="414" t="s">
        <v>644</v>
      </c>
      <c r="C45" s="577"/>
      <c r="D45" s="577"/>
      <c r="E45" s="577"/>
      <c r="F45" s="577"/>
      <c r="G45" s="577"/>
      <c r="H45" s="200">
        <v>-214023</v>
      </c>
      <c r="I45" s="41"/>
    </row>
    <row r="46" spans="2:10" ht="14.25" customHeight="1" thickBot="1">
      <c r="B46" s="111" t="s">
        <v>67</v>
      </c>
      <c r="C46" s="576"/>
      <c r="D46" s="576"/>
      <c r="E46" s="576"/>
      <c r="F46" s="576"/>
      <c r="G46" s="576"/>
      <c r="H46" s="328">
        <v>1064629</v>
      </c>
      <c r="I46" s="43"/>
      <c r="J46" s="105"/>
    </row>
    <row r="47" spans="2:9" ht="13.5" customHeight="1">
      <c r="B47" s="94" t="s">
        <v>36</v>
      </c>
      <c r="C47" s="571"/>
      <c r="D47" s="571"/>
      <c r="E47" s="571"/>
      <c r="F47" s="571"/>
      <c r="G47" s="571"/>
      <c r="H47" s="192"/>
      <c r="I47" s="43"/>
    </row>
    <row r="48" spans="2:9" ht="13.5" customHeight="1">
      <c r="B48" s="95" t="s">
        <v>644</v>
      </c>
      <c r="C48" s="569">
        <v>48516</v>
      </c>
      <c r="D48" s="570">
        <v>113024</v>
      </c>
      <c r="E48" s="570">
        <v>6810</v>
      </c>
      <c r="F48" s="570">
        <v>37343</v>
      </c>
      <c r="G48" s="570">
        <v>157177</v>
      </c>
      <c r="H48" s="99">
        <v>205693</v>
      </c>
      <c r="I48" s="43"/>
    </row>
    <row r="49" spans="2:9" ht="17.25" customHeight="1">
      <c r="B49" s="112" t="s">
        <v>674</v>
      </c>
      <c r="C49" s="570"/>
      <c r="D49" s="570"/>
      <c r="E49" s="570"/>
      <c r="F49" s="570"/>
      <c r="G49" s="570"/>
      <c r="H49" s="99"/>
      <c r="I49" s="41"/>
    </row>
    <row r="50" spans="2:9" ht="13.5" customHeight="1" hidden="1">
      <c r="B50" s="95" t="s">
        <v>308</v>
      </c>
      <c r="C50" s="570"/>
      <c r="D50" s="570"/>
      <c r="E50" s="570"/>
      <c r="F50" s="570"/>
      <c r="G50" s="570">
        <v>0</v>
      </c>
      <c r="H50" s="99">
        <v>0</v>
      </c>
      <c r="I50" s="41"/>
    </row>
    <row r="51" spans="2:9" ht="13.5" customHeight="1" hidden="1">
      <c r="B51" s="95" t="s">
        <v>504</v>
      </c>
      <c r="C51" s="570"/>
      <c r="D51" s="570"/>
      <c r="E51" s="570"/>
      <c r="F51" s="570"/>
      <c r="G51" s="570">
        <v>0</v>
      </c>
      <c r="H51" s="99">
        <v>0</v>
      </c>
      <c r="I51" s="41"/>
    </row>
    <row r="52" spans="2:9" ht="13.5" customHeight="1">
      <c r="B52" s="95" t="s">
        <v>644</v>
      </c>
      <c r="C52" s="569">
        <v>13694</v>
      </c>
      <c r="D52" s="570">
        <v>30295</v>
      </c>
      <c r="E52" s="570">
        <v>1870</v>
      </c>
      <c r="F52" s="570">
        <v>9805</v>
      </c>
      <c r="G52" s="570">
        <v>41970</v>
      </c>
      <c r="H52" s="99">
        <v>55664</v>
      </c>
      <c r="I52" s="41"/>
    </row>
    <row r="53" spans="2:9" ht="13.5" customHeight="1">
      <c r="B53" s="100" t="s">
        <v>43</v>
      </c>
      <c r="C53" s="570"/>
      <c r="D53" s="570"/>
      <c r="E53" s="570"/>
      <c r="F53" s="570"/>
      <c r="G53" s="570"/>
      <c r="H53" s="99"/>
      <c r="I53" s="41"/>
    </row>
    <row r="54" spans="2:9" ht="13.5" customHeight="1" hidden="1">
      <c r="B54" s="95" t="s">
        <v>308</v>
      </c>
      <c r="C54" s="570"/>
      <c r="D54" s="570"/>
      <c r="E54" s="570"/>
      <c r="F54" s="570"/>
      <c r="G54" s="570">
        <v>0</v>
      </c>
      <c r="H54" s="99">
        <v>0</v>
      </c>
      <c r="I54" s="41"/>
    </row>
    <row r="55" spans="2:9" ht="13.5" customHeight="1" hidden="1">
      <c r="B55" s="95" t="s">
        <v>504</v>
      </c>
      <c r="C55" s="570"/>
      <c r="D55" s="570"/>
      <c r="E55" s="570"/>
      <c r="F55" s="570"/>
      <c r="G55" s="570">
        <v>0</v>
      </c>
      <c r="H55" s="99">
        <v>0</v>
      </c>
      <c r="I55" s="41"/>
    </row>
    <row r="56" spans="2:9" ht="13.5" customHeight="1">
      <c r="B56" s="95" t="s">
        <v>644</v>
      </c>
      <c r="C56" s="569">
        <v>176625</v>
      </c>
      <c r="D56" s="570">
        <v>34901</v>
      </c>
      <c r="E56" s="570">
        <v>5272</v>
      </c>
      <c r="F56" s="570">
        <v>25525</v>
      </c>
      <c r="G56" s="570">
        <v>65698</v>
      </c>
      <c r="H56" s="99">
        <v>242323</v>
      </c>
      <c r="I56" s="41"/>
    </row>
    <row r="57" spans="2:9" ht="25.5" customHeight="1">
      <c r="B57" s="329" t="s">
        <v>456</v>
      </c>
      <c r="C57" s="570"/>
      <c r="D57" s="570"/>
      <c r="E57" s="570"/>
      <c r="F57" s="570"/>
      <c r="G57" s="570"/>
      <c r="H57" s="99"/>
      <c r="I57" s="41"/>
    </row>
    <row r="58" spans="2:9" ht="13.5" customHeight="1" hidden="1">
      <c r="B58" s="95" t="s">
        <v>308</v>
      </c>
      <c r="C58" s="570"/>
      <c r="D58" s="570"/>
      <c r="E58" s="570"/>
      <c r="F58" s="570"/>
      <c r="G58" s="570">
        <v>0</v>
      </c>
      <c r="H58" s="99">
        <v>0</v>
      </c>
      <c r="I58" s="41"/>
    </row>
    <row r="59" spans="2:9" ht="13.5" customHeight="1" hidden="1">
      <c r="B59" s="95" t="s">
        <v>504</v>
      </c>
      <c r="C59" s="570"/>
      <c r="D59" s="570"/>
      <c r="E59" s="570"/>
      <c r="F59" s="570"/>
      <c r="G59" s="570">
        <v>0</v>
      </c>
      <c r="H59" s="99">
        <v>0</v>
      </c>
      <c r="I59" s="41"/>
    </row>
    <row r="60" spans="2:9" ht="13.5" customHeight="1">
      <c r="B60" s="95" t="s">
        <v>644</v>
      </c>
      <c r="C60" s="569">
        <v>153558</v>
      </c>
      <c r="D60" s="570">
        <v>845</v>
      </c>
      <c r="E60" s="570">
        <v>0</v>
      </c>
      <c r="F60" s="570">
        <v>10000</v>
      </c>
      <c r="G60" s="570">
        <v>10845</v>
      </c>
      <c r="H60" s="99">
        <v>164403</v>
      </c>
      <c r="I60" s="41"/>
    </row>
    <row r="61" spans="2:9" ht="13.5" customHeight="1">
      <c r="B61" s="113" t="s">
        <v>44</v>
      </c>
      <c r="C61" s="570"/>
      <c r="D61" s="570"/>
      <c r="E61" s="570"/>
      <c r="F61" s="570"/>
      <c r="G61" s="570"/>
      <c r="H61" s="99"/>
      <c r="I61" s="41"/>
    </row>
    <row r="62" spans="2:9" ht="13.5" customHeight="1" hidden="1">
      <c r="B62" s="95" t="s">
        <v>308</v>
      </c>
      <c r="C62" s="570"/>
      <c r="D62" s="570"/>
      <c r="E62" s="570"/>
      <c r="F62" s="570"/>
      <c r="G62" s="570"/>
      <c r="H62" s="99">
        <v>0</v>
      </c>
      <c r="I62" s="41"/>
    </row>
    <row r="63" spans="2:9" ht="13.5" customHeight="1" hidden="1">
      <c r="B63" s="95" t="s">
        <v>504</v>
      </c>
      <c r="C63" s="570"/>
      <c r="D63" s="570"/>
      <c r="E63" s="570"/>
      <c r="F63" s="570"/>
      <c r="G63" s="570"/>
      <c r="H63" s="99">
        <v>0</v>
      </c>
      <c r="I63" s="41"/>
    </row>
    <row r="64" spans="2:9" ht="13.5" customHeight="1">
      <c r="B64" s="95" t="s">
        <v>644</v>
      </c>
      <c r="C64" s="569">
        <v>9350</v>
      </c>
      <c r="D64" s="570"/>
      <c r="E64" s="570"/>
      <c r="F64" s="570"/>
      <c r="G64" s="570"/>
      <c r="H64" s="99">
        <v>9350</v>
      </c>
      <c r="I64" s="41"/>
    </row>
    <row r="65" spans="2:9" ht="13.5" customHeight="1">
      <c r="B65" s="100" t="s">
        <v>45</v>
      </c>
      <c r="C65" s="570"/>
      <c r="D65" s="570"/>
      <c r="E65" s="570"/>
      <c r="F65" s="570"/>
      <c r="G65" s="570"/>
      <c r="H65" s="99"/>
      <c r="I65" s="41"/>
    </row>
    <row r="66" spans="2:9" ht="13.5" customHeight="1" hidden="1">
      <c r="B66" s="95" t="s">
        <v>308</v>
      </c>
      <c r="C66" s="570"/>
      <c r="D66" s="570"/>
      <c r="E66" s="570"/>
      <c r="F66" s="570"/>
      <c r="G66" s="570"/>
      <c r="H66" s="99">
        <v>0</v>
      </c>
      <c r="I66" s="41"/>
    </row>
    <row r="67" spans="2:9" ht="13.5" customHeight="1" hidden="1">
      <c r="B67" s="95" t="s">
        <v>504</v>
      </c>
      <c r="C67" s="570"/>
      <c r="D67" s="570"/>
      <c r="E67" s="570"/>
      <c r="F67" s="570"/>
      <c r="G67" s="570"/>
      <c r="H67" s="99">
        <v>0</v>
      </c>
      <c r="I67" s="41"/>
    </row>
    <row r="68" spans="2:9" ht="13.5" customHeight="1">
      <c r="B68" s="95" t="s">
        <v>644</v>
      </c>
      <c r="C68" s="569">
        <v>308580</v>
      </c>
      <c r="D68" s="570"/>
      <c r="E68" s="570"/>
      <c r="F68" s="570"/>
      <c r="G68" s="570"/>
      <c r="H68" s="99">
        <v>308580</v>
      </c>
      <c r="I68" s="41"/>
    </row>
    <row r="69" spans="2:9" ht="13.5" customHeight="1">
      <c r="B69" s="100" t="s">
        <v>68</v>
      </c>
      <c r="C69" s="570"/>
      <c r="D69" s="570"/>
      <c r="E69" s="570"/>
      <c r="F69" s="570"/>
      <c r="G69" s="570"/>
      <c r="H69" s="99"/>
      <c r="I69" s="41"/>
    </row>
    <row r="70" spans="2:9" ht="13.5" customHeight="1" hidden="1">
      <c r="B70" s="95" t="s">
        <v>308</v>
      </c>
      <c r="C70" s="570"/>
      <c r="D70" s="570"/>
      <c r="E70" s="570"/>
      <c r="F70" s="570"/>
      <c r="G70" s="570"/>
      <c r="H70" s="99">
        <v>0</v>
      </c>
      <c r="I70" s="41"/>
    </row>
    <row r="71" spans="2:9" ht="13.5" customHeight="1" hidden="1">
      <c r="B71" s="95" t="s">
        <v>504</v>
      </c>
      <c r="C71" s="570"/>
      <c r="D71" s="570"/>
      <c r="E71" s="570"/>
      <c r="F71" s="570"/>
      <c r="G71" s="570"/>
      <c r="H71" s="99">
        <v>0</v>
      </c>
      <c r="I71" s="41"/>
    </row>
    <row r="72" spans="2:9" ht="13.5" customHeight="1">
      <c r="B72" s="95" t="s">
        <v>644</v>
      </c>
      <c r="C72" s="569">
        <v>229494</v>
      </c>
      <c r="D72" s="570"/>
      <c r="E72" s="570"/>
      <c r="F72" s="570"/>
      <c r="G72" s="570"/>
      <c r="H72" s="99">
        <v>229494</v>
      </c>
      <c r="I72" s="41"/>
    </row>
    <row r="73" spans="2:9" ht="13.5" customHeight="1" hidden="1">
      <c r="B73" s="95"/>
      <c r="C73" s="570"/>
      <c r="D73" s="570"/>
      <c r="E73" s="570"/>
      <c r="F73" s="570"/>
      <c r="G73" s="570"/>
      <c r="H73" s="99">
        <v>0</v>
      </c>
      <c r="I73" s="41"/>
    </row>
    <row r="74" spans="2:9" ht="13.5" customHeight="1">
      <c r="B74" s="114" t="s">
        <v>457</v>
      </c>
      <c r="C74" s="570"/>
      <c r="D74" s="570"/>
      <c r="E74" s="570"/>
      <c r="F74" s="570"/>
      <c r="G74" s="570"/>
      <c r="H74" s="99"/>
      <c r="I74" s="41"/>
    </row>
    <row r="75" spans="2:9" ht="13.5" customHeight="1" hidden="1">
      <c r="B75" s="95" t="s">
        <v>308</v>
      </c>
      <c r="C75" s="578"/>
      <c r="D75" s="578"/>
      <c r="E75" s="578"/>
      <c r="F75" s="578"/>
      <c r="G75" s="578"/>
      <c r="H75" s="99">
        <v>0</v>
      </c>
      <c r="I75" s="41"/>
    </row>
    <row r="76" spans="2:9" ht="13.5" customHeight="1" hidden="1">
      <c r="B76" s="95" t="s">
        <v>504</v>
      </c>
      <c r="C76" s="578"/>
      <c r="D76" s="578"/>
      <c r="E76" s="578"/>
      <c r="F76" s="578"/>
      <c r="G76" s="578"/>
      <c r="H76" s="99">
        <v>0</v>
      </c>
      <c r="I76" s="41"/>
    </row>
    <row r="77" spans="2:9" ht="13.5" customHeight="1" thickBot="1">
      <c r="B77" s="314" t="s">
        <v>644</v>
      </c>
      <c r="C77" s="579">
        <v>63145</v>
      </c>
      <c r="D77" s="580"/>
      <c r="E77" s="580"/>
      <c r="F77" s="580"/>
      <c r="G77" s="580"/>
      <c r="H77" s="316">
        <v>63145</v>
      </c>
      <c r="I77" s="41"/>
    </row>
    <row r="78" spans="3:4" ht="12.75">
      <c r="C78" s="11"/>
      <c r="D78" s="11"/>
    </row>
    <row r="79" spans="3:4" ht="12.75" hidden="1">
      <c r="C79" s="51">
        <v>710323</v>
      </c>
      <c r="D79" s="51">
        <v>556765</v>
      </c>
    </row>
    <row r="80" ht="12.75">
      <c r="C80" s="105"/>
    </row>
    <row r="81" ht="12.75" hidden="1"/>
    <row r="82" spans="3:7" ht="12.75" hidden="1">
      <c r="C82" s="105"/>
      <c r="D82" s="105"/>
      <c r="E82" s="105"/>
      <c r="F82" s="105"/>
      <c r="G82" s="105"/>
    </row>
    <row r="83" spans="1:9" s="364" customFormat="1" ht="12.75" customHeight="1" hidden="1">
      <c r="A83" s="382"/>
      <c r="B83" s="1023" t="s">
        <v>55</v>
      </c>
      <c r="C83" s="1025" t="s">
        <v>49</v>
      </c>
      <c r="D83" s="1027" t="s">
        <v>50</v>
      </c>
      <c r="E83" s="1028"/>
      <c r="F83" s="1029"/>
      <c r="G83" s="1025" t="s">
        <v>127</v>
      </c>
      <c r="H83" s="1030" t="s">
        <v>57</v>
      </c>
      <c r="I83" s="41"/>
    </row>
    <row r="84" spans="1:9" s="364" customFormat="1" ht="30.75" customHeight="1" hidden="1" thickBot="1">
      <c r="A84" s="382"/>
      <c r="B84" s="1024"/>
      <c r="C84" s="1026"/>
      <c r="D84" s="196" t="s">
        <v>58</v>
      </c>
      <c r="E84" s="93" t="s">
        <v>52</v>
      </c>
      <c r="F84" s="93" t="s">
        <v>59</v>
      </c>
      <c r="G84" s="1026"/>
      <c r="H84" s="1031"/>
      <c r="I84" s="41"/>
    </row>
    <row r="85" spans="2:9" ht="13.5" customHeight="1" hidden="1">
      <c r="B85" s="94" t="s">
        <v>472</v>
      </c>
      <c r="C85" s="188"/>
      <c r="D85" s="189"/>
      <c r="E85" s="189"/>
      <c r="F85" s="189"/>
      <c r="G85" s="189"/>
      <c r="H85" s="190"/>
      <c r="I85" s="41"/>
    </row>
    <row r="86" spans="2:10" ht="13.5" customHeight="1" hidden="1">
      <c r="B86" s="95" t="s">
        <v>308</v>
      </c>
      <c r="C86" s="97" t="e">
        <v>#REF!</v>
      </c>
      <c r="D86" s="98">
        <v>28319</v>
      </c>
      <c r="E86" s="98">
        <v>6600</v>
      </c>
      <c r="F86" s="98">
        <v>1246</v>
      </c>
      <c r="G86" s="98">
        <v>36165</v>
      </c>
      <c r="H86" s="99" t="e">
        <v>#REF!</v>
      </c>
      <c r="I86" s="41"/>
      <c r="J86" s="105"/>
    </row>
    <row r="87" spans="2:9" ht="13.5" customHeight="1" hidden="1">
      <c r="B87" s="96"/>
      <c r="C87" s="97"/>
      <c r="D87" s="98"/>
      <c r="E87" s="98"/>
      <c r="F87" s="98"/>
      <c r="G87" s="98"/>
      <c r="H87" s="99"/>
      <c r="I87" s="41"/>
    </row>
    <row r="88" spans="2:9" ht="13.5" customHeight="1" hidden="1">
      <c r="B88" s="100" t="s">
        <v>473</v>
      </c>
      <c r="C88" s="97"/>
      <c r="D88" s="103"/>
      <c r="E88" s="103"/>
      <c r="F88" s="103"/>
      <c r="G88" s="103"/>
      <c r="H88" s="104"/>
      <c r="I88" s="43"/>
    </row>
    <row r="89" spans="2:9" ht="13.5" customHeight="1" hidden="1">
      <c r="B89" s="95" t="s">
        <v>308</v>
      </c>
      <c r="C89" s="97" t="e">
        <v>#REF!</v>
      </c>
      <c r="D89" s="103"/>
      <c r="E89" s="103"/>
      <c r="F89" s="103"/>
      <c r="G89" s="98">
        <v>0</v>
      </c>
      <c r="H89" s="99" t="e">
        <v>#REF!</v>
      </c>
      <c r="I89" s="41"/>
    </row>
    <row r="90" spans="2:10" ht="13.5" customHeight="1" hidden="1">
      <c r="B90" s="96"/>
      <c r="C90" s="97"/>
      <c r="D90" s="103"/>
      <c r="E90" s="103"/>
      <c r="F90" s="103"/>
      <c r="G90" s="103"/>
      <c r="H90" s="99"/>
      <c r="I90" s="41"/>
      <c r="J90" s="105"/>
    </row>
    <row r="91" spans="2:11" ht="15.75" customHeight="1" hidden="1">
      <c r="B91" s="100" t="s">
        <v>60</v>
      </c>
      <c r="C91" s="97"/>
      <c r="D91" s="103"/>
      <c r="E91" s="103"/>
      <c r="F91" s="103"/>
      <c r="G91" s="103"/>
      <c r="H91" s="104"/>
      <c r="I91" s="43"/>
      <c r="K91" s="105"/>
    </row>
    <row r="92" spans="2:9" ht="14.25" customHeight="1" hidden="1">
      <c r="B92" s="95" t="s">
        <v>308</v>
      </c>
      <c r="C92" s="97">
        <v>42000</v>
      </c>
      <c r="D92" s="98">
        <v>145931</v>
      </c>
      <c r="E92" s="98">
        <v>21411</v>
      </c>
      <c r="F92" s="98">
        <v>75728</v>
      </c>
      <c r="G92" s="98">
        <v>243070</v>
      </c>
      <c r="H92" s="99">
        <v>285070</v>
      </c>
      <c r="I92" s="41"/>
    </row>
    <row r="93" spans="2:9" ht="14.25" customHeight="1" hidden="1">
      <c r="B93" s="96"/>
      <c r="C93" s="97"/>
      <c r="D93" s="98"/>
      <c r="E93" s="98"/>
      <c r="F93" s="98"/>
      <c r="G93" s="98"/>
      <c r="H93" s="99"/>
      <c r="I93" s="43"/>
    </row>
    <row r="94" spans="2:9" ht="24" hidden="1">
      <c r="B94" s="101" t="s">
        <v>126</v>
      </c>
      <c r="C94" s="97"/>
      <c r="D94" s="103"/>
      <c r="E94" s="103"/>
      <c r="F94" s="103"/>
      <c r="G94" s="103"/>
      <c r="H94" s="104"/>
      <c r="I94" s="102"/>
    </row>
    <row r="95" spans="2:11" ht="13.5" customHeight="1" hidden="1">
      <c r="B95" s="95" t="s">
        <v>308</v>
      </c>
      <c r="C95" s="97"/>
      <c r="D95" s="103">
        <v>101035</v>
      </c>
      <c r="E95" s="103">
        <v>2860</v>
      </c>
      <c r="F95" s="103">
        <v>15210</v>
      </c>
      <c r="G95" s="98">
        <v>119105</v>
      </c>
      <c r="H95" s="99">
        <v>119105</v>
      </c>
      <c r="I95" s="43"/>
      <c r="J95" s="43"/>
      <c r="K95" s="43"/>
    </row>
    <row r="96" spans="2:11" ht="13.5" customHeight="1" hidden="1">
      <c r="B96" s="96"/>
      <c r="C96" s="97"/>
      <c r="D96" s="103"/>
      <c r="E96" s="103"/>
      <c r="F96" s="103"/>
      <c r="G96" s="98"/>
      <c r="H96" s="99"/>
      <c r="I96" s="43"/>
      <c r="J96" s="43"/>
      <c r="K96" s="43"/>
    </row>
    <row r="97" spans="2:11" ht="26.25" customHeight="1" hidden="1">
      <c r="B97" s="101" t="s">
        <v>61</v>
      </c>
      <c r="C97" s="97"/>
      <c r="D97" s="103"/>
      <c r="E97" s="103"/>
      <c r="F97" s="103"/>
      <c r="G97" s="103"/>
      <c r="H97" s="104"/>
      <c r="I97" s="41"/>
      <c r="J97" s="41"/>
      <c r="K97" s="41"/>
    </row>
    <row r="98" spans="2:11" ht="13.5" customHeight="1" hidden="1">
      <c r="B98" s="95" t="s">
        <v>308</v>
      </c>
      <c r="C98" s="103"/>
      <c r="D98" s="188">
        <v>44896</v>
      </c>
      <c r="E98" s="188">
        <v>18551</v>
      </c>
      <c r="F98" s="188">
        <v>60518</v>
      </c>
      <c r="G98" s="98">
        <v>123965</v>
      </c>
      <c r="H98" s="99">
        <v>123965</v>
      </c>
      <c r="I98" s="43"/>
      <c r="J98" s="43"/>
      <c r="K98" s="43"/>
    </row>
    <row r="99" spans="2:11" ht="13.5" customHeight="1" hidden="1">
      <c r="B99" s="96"/>
      <c r="C99" s="188"/>
      <c r="D99" s="188"/>
      <c r="E99" s="188"/>
      <c r="F99" s="188"/>
      <c r="G99" s="98"/>
      <c r="H99" s="99"/>
      <c r="I99" s="43"/>
      <c r="J99" s="43"/>
      <c r="K99" s="43"/>
    </row>
    <row r="100" spans="2:11" ht="13.5" customHeight="1" hidden="1" thickBot="1">
      <c r="B100" s="106"/>
      <c r="C100" s="188"/>
      <c r="D100" s="188"/>
      <c r="E100" s="188"/>
      <c r="F100" s="188"/>
      <c r="G100" s="188"/>
      <c r="H100" s="192"/>
      <c r="I100" s="105"/>
      <c r="J100" s="105"/>
      <c r="K100" s="105"/>
    </row>
    <row r="101" spans="2:10" ht="14.25" customHeight="1" hidden="1">
      <c r="B101" s="182" t="s">
        <v>62</v>
      </c>
      <c r="C101" s="202"/>
      <c r="D101" s="202"/>
      <c r="E101" s="202"/>
      <c r="F101" s="202"/>
      <c r="G101" s="202"/>
      <c r="H101" s="197"/>
      <c r="I101" s="43"/>
      <c r="J101" s="105"/>
    </row>
    <row r="102" spans="2:9" ht="14.25" customHeight="1" hidden="1">
      <c r="B102" s="330" t="s">
        <v>308</v>
      </c>
      <c r="C102" s="203" t="e">
        <v>#REF!</v>
      </c>
      <c r="D102" s="203">
        <v>174250</v>
      </c>
      <c r="E102" s="203">
        <v>28011</v>
      </c>
      <c r="F102" s="203">
        <v>76974</v>
      </c>
      <c r="G102" s="203">
        <v>279235</v>
      </c>
      <c r="H102" s="198" t="e">
        <v>#REF!</v>
      </c>
      <c r="I102" s="43" t="e">
        <v>#REF!</v>
      </c>
    </row>
    <row r="103" spans="2:9" ht="14.25" customHeight="1" hidden="1" thickBot="1">
      <c r="B103" s="107" t="s">
        <v>63</v>
      </c>
      <c r="C103" s="203"/>
      <c r="D103" s="203"/>
      <c r="E103" s="203"/>
      <c r="F103" s="203"/>
      <c r="G103" s="203"/>
      <c r="H103" s="199">
        <v>-243070</v>
      </c>
      <c r="I103" s="41"/>
    </row>
    <row r="104" spans="2:9" ht="14.25" customHeight="1" hidden="1" thickBot="1">
      <c r="B104" s="108" t="s">
        <v>64</v>
      </c>
      <c r="C104" s="205"/>
      <c r="D104" s="205"/>
      <c r="E104" s="205"/>
      <c r="F104" s="205"/>
      <c r="G104" s="205"/>
      <c r="H104" s="328" t="e">
        <v>#REF!</v>
      </c>
      <c r="I104" s="41"/>
    </row>
    <row r="105" spans="2:9" ht="14.25" customHeight="1" hidden="1">
      <c r="B105" s="109" t="s">
        <v>65</v>
      </c>
      <c r="C105" s="204"/>
      <c r="D105" s="204"/>
      <c r="E105" s="204"/>
      <c r="F105" s="204"/>
      <c r="G105" s="204"/>
      <c r="H105" s="200"/>
      <c r="I105" s="43"/>
    </row>
    <row r="106" spans="2:10" ht="14.25" customHeight="1" hidden="1">
      <c r="B106" s="330" t="s">
        <v>308</v>
      </c>
      <c r="C106" s="204">
        <v>1259073</v>
      </c>
      <c r="D106" s="204">
        <v>174250</v>
      </c>
      <c r="E106" s="204">
        <v>28011</v>
      </c>
      <c r="F106" s="204">
        <v>76974</v>
      </c>
      <c r="G106" s="204">
        <v>279235</v>
      </c>
      <c r="H106" s="201">
        <v>1538308</v>
      </c>
      <c r="I106" s="43">
        <v>1538308</v>
      </c>
      <c r="J106" s="105"/>
    </row>
    <row r="107" spans="2:9" ht="14.25" customHeight="1" hidden="1" thickBot="1">
      <c r="B107" s="110" t="s">
        <v>66</v>
      </c>
      <c r="C107" s="206"/>
      <c r="D107" s="206"/>
      <c r="E107" s="206"/>
      <c r="F107" s="206"/>
      <c r="G107" s="204"/>
      <c r="H107" s="198">
        <v>-243070</v>
      </c>
      <c r="I107" s="41"/>
    </row>
    <row r="108" spans="2:10" ht="14.25" customHeight="1" hidden="1" thickBot="1">
      <c r="B108" s="111" t="s">
        <v>67</v>
      </c>
      <c r="C108" s="205"/>
      <c r="D108" s="205"/>
      <c r="E108" s="205"/>
      <c r="F108" s="205"/>
      <c r="G108" s="205"/>
      <c r="H108" s="328">
        <v>1295238</v>
      </c>
      <c r="I108" s="43"/>
      <c r="J108" s="105"/>
    </row>
    <row r="109" spans="2:9" ht="13.5" customHeight="1" hidden="1">
      <c r="B109" s="94" t="s">
        <v>36</v>
      </c>
      <c r="C109" s="188"/>
      <c r="D109" s="188"/>
      <c r="E109" s="188"/>
      <c r="F109" s="188"/>
      <c r="G109" s="188"/>
      <c r="H109" s="192"/>
      <c r="I109" s="43"/>
    </row>
    <row r="110" spans="2:9" ht="13.5" customHeight="1" hidden="1">
      <c r="B110" s="95" t="s">
        <v>308</v>
      </c>
      <c r="C110" s="97">
        <v>44256</v>
      </c>
      <c r="D110" s="103">
        <v>109826</v>
      </c>
      <c r="E110" s="103">
        <v>7277</v>
      </c>
      <c r="F110" s="103">
        <v>36659</v>
      </c>
      <c r="G110" s="103">
        <v>153762</v>
      </c>
      <c r="H110" s="99">
        <v>198018</v>
      </c>
      <c r="I110" s="43"/>
    </row>
    <row r="111" spans="2:9" ht="17.25" customHeight="1" hidden="1">
      <c r="B111" s="112" t="s">
        <v>42</v>
      </c>
      <c r="C111" s="97"/>
      <c r="D111" s="103"/>
      <c r="E111" s="103"/>
      <c r="F111" s="103"/>
      <c r="G111" s="103"/>
      <c r="H111" s="99">
        <v>0</v>
      </c>
      <c r="I111" s="41"/>
    </row>
    <row r="112" spans="2:9" ht="13.5" customHeight="1" hidden="1">
      <c r="B112" s="95" t="s">
        <v>308</v>
      </c>
      <c r="C112" s="97">
        <v>12740</v>
      </c>
      <c r="D112" s="103">
        <v>29838</v>
      </c>
      <c r="E112" s="103">
        <v>1840</v>
      </c>
      <c r="F112" s="103">
        <v>9265</v>
      </c>
      <c r="G112" s="103">
        <v>40943</v>
      </c>
      <c r="H112" s="99">
        <v>53683</v>
      </c>
      <c r="I112" s="41"/>
    </row>
    <row r="113" spans="2:9" ht="13.5" customHeight="1" hidden="1">
      <c r="B113" s="100" t="s">
        <v>43</v>
      </c>
      <c r="C113" s="97"/>
      <c r="D113" s="103"/>
      <c r="E113" s="103"/>
      <c r="F113" s="103"/>
      <c r="G113" s="103"/>
      <c r="H113" s="99">
        <v>0</v>
      </c>
      <c r="I113" s="41"/>
    </row>
    <row r="114" spans="2:9" ht="13.5" customHeight="1" hidden="1">
      <c r="B114" s="95" t="s">
        <v>308</v>
      </c>
      <c r="C114" s="97">
        <v>164454</v>
      </c>
      <c r="D114" s="103">
        <v>30686</v>
      </c>
      <c r="E114" s="103">
        <v>17930</v>
      </c>
      <c r="F114" s="103">
        <v>30990</v>
      </c>
      <c r="G114" s="103">
        <v>79606</v>
      </c>
      <c r="H114" s="99">
        <v>244060</v>
      </c>
      <c r="I114" s="41"/>
    </row>
    <row r="115" spans="2:9" ht="25.5" customHeight="1" hidden="1">
      <c r="B115" s="329" t="s">
        <v>456</v>
      </c>
      <c r="C115" s="97"/>
      <c r="D115" s="103"/>
      <c r="E115" s="103"/>
      <c r="F115" s="103"/>
      <c r="G115" s="103"/>
      <c r="H115" s="99">
        <v>0</v>
      </c>
      <c r="I115" s="41"/>
    </row>
    <row r="116" spans="2:9" ht="13.5" customHeight="1" hidden="1">
      <c r="B116" s="95" t="s">
        <v>308</v>
      </c>
      <c r="C116" s="97">
        <v>520210</v>
      </c>
      <c r="D116" s="103">
        <v>3900</v>
      </c>
      <c r="E116" s="103">
        <v>964</v>
      </c>
      <c r="F116" s="103">
        <v>60</v>
      </c>
      <c r="G116" s="103">
        <v>4924</v>
      </c>
      <c r="H116" s="99">
        <v>525134</v>
      </c>
      <c r="I116" s="41"/>
    </row>
    <row r="117" spans="2:9" ht="13.5" customHeight="1" hidden="1">
      <c r="B117" s="113" t="s">
        <v>44</v>
      </c>
      <c r="C117" s="97"/>
      <c r="D117" s="103"/>
      <c r="E117" s="103"/>
      <c r="F117" s="103"/>
      <c r="G117" s="103"/>
      <c r="H117" s="99">
        <v>0</v>
      </c>
      <c r="I117" s="41"/>
    </row>
    <row r="118" spans="2:9" ht="13.5" customHeight="1" hidden="1">
      <c r="B118" s="95" t="s">
        <v>308</v>
      </c>
      <c r="C118" s="97">
        <v>9250</v>
      </c>
      <c r="D118" s="103"/>
      <c r="E118" s="103"/>
      <c r="F118" s="103"/>
      <c r="G118" s="103"/>
      <c r="H118" s="99">
        <v>9250</v>
      </c>
      <c r="I118" s="41"/>
    </row>
    <row r="119" spans="2:9" ht="13.5" customHeight="1" hidden="1">
      <c r="B119" s="100" t="s">
        <v>45</v>
      </c>
      <c r="C119" s="97"/>
      <c r="D119" s="103"/>
      <c r="E119" s="103"/>
      <c r="F119" s="103"/>
      <c r="G119" s="103"/>
      <c r="H119" s="99"/>
      <c r="I119" s="41"/>
    </row>
    <row r="120" spans="2:9" ht="13.5" customHeight="1" hidden="1">
      <c r="B120" s="95" t="s">
        <v>308</v>
      </c>
      <c r="C120" s="97">
        <v>217924</v>
      </c>
      <c r="D120" s="103"/>
      <c r="E120" s="103"/>
      <c r="F120" s="103"/>
      <c r="G120" s="103"/>
      <c r="H120" s="99">
        <v>217924</v>
      </c>
      <c r="I120" s="41"/>
    </row>
    <row r="121" spans="2:9" ht="13.5" customHeight="1" hidden="1">
      <c r="B121" s="100" t="s">
        <v>68</v>
      </c>
      <c r="C121" s="97"/>
      <c r="D121" s="103"/>
      <c r="E121" s="103"/>
      <c r="F121" s="103"/>
      <c r="G121" s="103"/>
      <c r="H121" s="99"/>
      <c r="I121" s="41"/>
    </row>
    <row r="122" spans="2:9" ht="13.5" customHeight="1" hidden="1">
      <c r="B122" s="95" t="s">
        <v>308</v>
      </c>
      <c r="C122" s="97">
        <v>243070</v>
      </c>
      <c r="D122" s="103"/>
      <c r="E122" s="103"/>
      <c r="F122" s="103"/>
      <c r="G122" s="103"/>
      <c r="H122" s="99">
        <v>243070</v>
      </c>
      <c r="I122" s="41"/>
    </row>
    <row r="123" spans="2:9" ht="13.5" customHeight="1" hidden="1">
      <c r="B123" s="95"/>
      <c r="C123" s="97">
        <v>14478</v>
      </c>
      <c r="D123" s="103"/>
      <c r="E123" s="103"/>
      <c r="F123" s="103"/>
      <c r="G123" s="103"/>
      <c r="H123" s="99">
        <v>14478</v>
      </c>
      <c r="I123" s="41"/>
    </row>
    <row r="124" spans="2:9" ht="13.5" customHeight="1" hidden="1">
      <c r="B124" s="114" t="s">
        <v>457</v>
      </c>
      <c r="C124" s="97"/>
      <c r="D124" s="103"/>
      <c r="E124" s="103"/>
      <c r="F124" s="103"/>
      <c r="G124" s="103"/>
      <c r="H124" s="99"/>
      <c r="I124" s="41"/>
    </row>
    <row r="125" spans="2:9" ht="13.5" customHeight="1" hidden="1" thickBot="1">
      <c r="B125" s="314" t="s">
        <v>308</v>
      </c>
      <c r="C125" s="381">
        <v>32691</v>
      </c>
      <c r="D125" s="193"/>
      <c r="E125" s="193"/>
      <c r="F125" s="193"/>
      <c r="G125" s="193"/>
      <c r="H125" s="316">
        <v>32691</v>
      </c>
      <c r="I125" s="41"/>
    </row>
    <row r="126" ht="12.75" hidden="1"/>
    <row r="127" ht="12.75" hidden="1"/>
    <row r="128" ht="12.75" hidden="1"/>
    <row r="130" ht="12.75">
      <c r="C130" s="105"/>
    </row>
  </sheetData>
  <sheetProtection/>
  <mergeCells count="11">
    <mergeCell ref="B83:B84"/>
    <mergeCell ref="C83:C84"/>
    <mergeCell ref="D83:F83"/>
    <mergeCell ref="G83:G84"/>
    <mergeCell ref="H83:H84"/>
    <mergeCell ref="B2:H2"/>
    <mergeCell ref="B4:B5"/>
    <mergeCell ref="C4:C5"/>
    <mergeCell ref="D4:F4"/>
    <mergeCell ref="G4:G5"/>
    <mergeCell ref="H4:H5"/>
  </mergeCells>
  <printOptions/>
  <pageMargins left="0.7874015748031497" right="0.15748031496062992" top="0.25" bottom="0.15748031496062992" header="0.15748031496062992" footer="0.31496062992125984"/>
  <pageSetup horizontalDpi="600" verticalDpi="600" orientation="landscape" paperSize="9" scale="85" r:id="rId1"/>
  <rowBreaks count="2" manualBreakCount="2">
    <brk id="39" max="8" man="1"/>
    <brk id="7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5"/>
  <sheetViews>
    <sheetView zoomScaleSheetLayoutView="70" zoomScalePageLayoutView="0" workbookViewId="0" topLeftCell="A15">
      <selection activeCell="C78" sqref="C78"/>
    </sheetView>
  </sheetViews>
  <sheetFormatPr defaultColWidth="9.00390625" defaultRowHeight="12.75"/>
  <cols>
    <col min="1" max="1" width="2.00390625" style="157" customWidth="1"/>
    <col min="2" max="2" width="47.375" style="0" customWidth="1"/>
    <col min="3" max="5" width="16.125" style="0" customWidth="1"/>
    <col min="6" max="6" width="18.25390625" style="0" customWidth="1"/>
    <col min="7" max="7" width="8.75390625" style="11" customWidth="1"/>
    <col min="8" max="8" width="9.125" style="0" customWidth="1"/>
  </cols>
  <sheetData>
    <row r="1" spans="2:6" ht="12.75">
      <c r="B1" s="5"/>
      <c r="C1" s="5"/>
      <c r="D1" s="5"/>
      <c r="E1" s="5"/>
      <c r="F1" s="75" t="s">
        <v>312</v>
      </c>
    </row>
    <row r="2" spans="2:6" ht="42.75" customHeight="1">
      <c r="B2" s="1032" t="s">
        <v>952</v>
      </c>
      <c r="C2" s="1033"/>
      <c r="D2" s="1033"/>
      <c r="E2" s="1033"/>
      <c r="F2" s="1033"/>
    </row>
    <row r="3" spans="2:6" ht="11.25" customHeight="1" thickBot="1">
      <c r="B3" s="5"/>
      <c r="C3" s="5"/>
      <c r="D3" s="5"/>
      <c r="E3" s="5"/>
      <c r="F3" s="75" t="s">
        <v>0</v>
      </c>
    </row>
    <row r="4" spans="2:7" ht="12.75" customHeight="1">
      <c r="B4" s="1013" t="s">
        <v>55</v>
      </c>
      <c r="C4" s="1034" t="s">
        <v>49</v>
      </c>
      <c r="D4" s="730" t="s">
        <v>50</v>
      </c>
      <c r="E4" s="1034" t="s">
        <v>127</v>
      </c>
      <c r="F4" s="1019" t="s">
        <v>57</v>
      </c>
      <c r="G4" s="41"/>
    </row>
    <row r="5" spans="2:7" ht="30.75" customHeight="1" thickBot="1">
      <c r="B5" s="1014"/>
      <c r="C5" s="1035"/>
      <c r="D5" s="93" t="s">
        <v>58</v>
      </c>
      <c r="E5" s="1035"/>
      <c r="F5" s="1020"/>
      <c r="G5" s="41"/>
    </row>
    <row r="6" spans="2:7" ht="13.5" customHeight="1">
      <c r="B6" s="619" t="s">
        <v>1117</v>
      </c>
      <c r="C6" s="188"/>
      <c r="D6" s="189"/>
      <c r="E6" s="189"/>
      <c r="F6" s="189"/>
      <c r="G6" s="41"/>
    </row>
    <row r="7" spans="2:8" ht="13.5" customHeight="1">
      <c r="B7" s="528" t="s">
        <v>467</v>
      </c>
      <c r="C7" s="567">
        <f>SUM('2.működés'!E6)-E7-E19</f>
        <v>722422</v>
      </c>
      <c r="D7" s="568">
        <f>SUM('9.hivatal'!F81+'9.hivatal'!F82+'9.hivatal'!F83)</f>
        <v>20863</v>
      </c>
      <c r="E7" s="98">
        <f>SUM(D7:D7)</f>
        <v>20863</v>
      </c>
      <c r="F7" s="98">
        <f>SUM(C7+E7)</f>
        <v>743285</v>
      </c>
      <c r="G7" s="41"/>
      <c r="H7" s="415"/>
    </row>
    <row r="8" spans="2:8" ht="13.5" customHeight="1">
      <c r="B8" s="615" t="s">
        <v>1118</v>
      </c>
      <c r="C8" s="569"/>
      <c r="D8" s="570"/>
      <c r="E8" s="570"/>
      <c r="F8" s="568"/>
      <c r="G8" s="41"/>
      <c r="H8" s="105"/>
    </row>
    <row r="9" spans="2:8" ht="13.5" customHeight="1" hidden="1">
      <c r="B9" s="528" t="e">
        <f>#REF!</f>
        <v>#REF!</v>
      </c>
      <c r="C9" s="567" t="e">
        <f>SUM('3.felh'!#REF!)</f>
        <v>#REF!</v>
      </c>
      <c r="D9" s="570"/>
      <c r="E9" s="568">
        <f>SUM(D9:D9)</f>
        <v>0</v>
      </c>
      <c r="F9" s="568" t="e">
        <f>SUM(C9+E9)</f>
        <v>#REF!</v>
      </c>
      <c r="G9" s="41"/>
      <c r="H9" s="105"/>
    </row>
    <row r="10" spans="2:8" ht="13.5" customHeight="1" hidden="1">
      <c r="B10" s="528" t="s">
        <v>853</v>
      </c>
      <c r="C10" s="567" t="e">
        <f>SUM('3.felh'!#REF!)</f>
        <v>#REF!</v>
      </c>
      <c r="D10" s="570"/>
      <c r="E10" s="568">
        <f>SUM(D10:D10)</f>
        <v>0</v>
      </c>
      <c r="F10" s="568" t="e">
        <f>SUM(C10+E10)</f>
        <v>#REF!</v>
      </c>
      <c r="G10" s="41"/>
      <c r="H10" s="105"/>
    </row>
    <row r="11" spans="2:8" ht="13.5" customHeight="1">
      <c r="B11" s="528" t="str">
        <f>B7</f>
        <v>2018. évi eredeti előirányzat</v>
      </c>
      <c r="C11" s="567">
        <f>SUM('3.felh'!C6)</f>
        <v>207110</v>
      </c>
      <c r="D11" s="570"/>
      <c r="E11" s="568">
        <f>SUM(D11:D11)</f>
        <v>0</v>
      </c>
      <c r="F11" s="568">
        <f>SUM(C11+E11)</f>
        <v>207110</v>
      </c>
      <c r="G11" s="41"/>
      <c r="H11" s="105"/>
    </row>
    <row r="12" spans="2:9" ht="15.75" customHeight="1">
      <c r="B12" s="615" t="s">
        <v>60</v>
      </c>
      <c r="C12" s="569"/>
      <c r="D12" s="570"/>
      <c r="E12" s="570"/>
      <c r="F12" s="570"/>
      <c r="G12" s="43"/>
      <c r="I12" s="105"/>
    </row>
    <row r="13" spans="2:7" ht="12.75" hidden="1">
      <c r="B13" s="528" t="e">
        <f>B9</f>
        <v>#REF!</v>
      </c>
      <c r="C13" s="567" t="e">
        <f>SUM(C17+C29)</f>
        <v>#REF!</v>
      </c>
      <c r="D13" s="568" t="e">
        <f>SUM(D21+D25+D17)</f>
        <v>#REF!</v>
      </c>
      <c r="E13" s="568" t="e">
        <f>SUM(D13:D13)</f>
        <v>#REF!</v>
      </c>
      <c r="F13" s="568" t="e">
        <f>SUM(C13+E13)</f>
        <v>#REF!</v>
      </c>
      <c r="G13" s="41"/>
    </row>
    <row r="14" spans="2:7" ht="12.75" hidden="1">
      <c r="B14" s="528" t="s">
        <v>853</v>
      </c>
      <c r="C14" s="567" t="e">
        <f>SUM(C18+C30)</f>
        <v>#REF!</v>
      </c>
      <c r="D14" s="568" t="e">
        <f>SUM(D22+D26+D18)</f>
        <v>#REF!</v>
      </c>
      <c r="E14" s="568" t="e">
        <f>SUM(D14:D14)</f>
        <v>#REF!</v>
      </c>
      <c r="F14" s="568" t="e">
        <f>SUM(C14+E14)</f>
        <v>#REF!</v>
      </c>
      <c r="G14" s="41"/>
    </row>
    <row r="15" spans="2:7" ht="12.75">
      <c r="B15" s="528" t="str">
        <f>B11</f>
        <v>2018. évi eredeti előirányzat</v>
      </c>
      <c r="C15" s="567">
        <f>SUM(C19+C31+C23)</f>
        <v>1519824</v>
      </c>
      <c r="D15" s="568">
        <f>SUM(D23+D27+D19)</f>
        <v>184663</v>
      </c>
      <c r="E15" s="568">
        <f>SUM(D15:D15)</f>
        <v>184663</v>
      </c>
      <c r="F15" s="568">
        <f>SUM(C15+E15)</f>
        <v>1704487</v>
      </c>
      <c r="G15" s="309"/>
    </row>
    <row r="16" spans="2:7" ht="14.25" customHeight="1">
      <c r="B16" s="721" t="s">
        <v>633</v>
      </c>
      <c r="C16" s="569"/>
      <c r="D16" s="568"/>
      <c r="E16" s="568"/>
      <c r="F16" s="568"/>
      <c r="G16" s="43"/>
    </row>
    <row r="17" spans="2:7" ht="14.25" customHeight="1" hidden="1">
      <c r="B17" s="528" t="e">
        <f>B13</f>
        <v>#REF!</v>
      </c>
      <c r="C17" s="569" t="e">
        <f>SUM('1.Bev-kiad.'!C55-D17)</f>
        <v>#REF!</v>
      </c>
      <c r="D17" s="570" t="e">
        <f>SUM('9.hivatal'!#REF!)</f>
        <v>#REF!</v>
      </c>
      <c r="E17" s="568" t="e">
        <f>SUM(D17:D17)</f>
        <v>#REF!</v>
      </c>
      <c r="F17" s="568" t="e">
        <f>SUM(C17+E17)</f>
        <v>#REF!</v>
      </c>
      <c r="G17" s="43"/>
    </row>
    <row r="18" spans="2:7" ht="14.25" customHeight="1" hidden="1">
      <c r="B18" s="528" t="s">
        <v>853</v>
      </c>
      <c r="C18" s="569" t="e">
        <f>SUM('1.Bev-kiad.'!D55-D18)</f>
        <v>#REF!</v>
      </c>
      <c r="D18" s="570" t="e">
        <f>SUM('9.hivatal'!#REF!)</f>
        <v>#REF!</v>
      </c>
      <c r="E18" s="568" t="e">
        <f>SUM(D18:D18)</f>
        <v>#REF!</v>
      </c>
      <c r="F18" s="568" t="e">
        <f>SUM(C18+E18)</f>
        <v>#REF!</v>
      </c>
      <c r="G18" s="43"/>
    </row>
    <row r="19" spans="2:7" ht="14.25" customHeight="1">
      <c r="B19" s="528" t="str">
        <f>B15</f>
        <v>2018. évi eredeti előirányzat</v>
      </c>
      <c r="C19" s="569">
        <f>SUM('1.Bev-kiad.'!E53)</f>
        <v>1341624</v>
      </c>
      <c r="D19" s="570">
        <f>SUM('9.hivatal'!F80)</f>
        <v>19461</v>
      </c>
      <c r="E19" s="568">
        <f>SUM(D19:D19)</f>
        <v>19461</v>
      </c>
      <c r="F19" s="568">
        <f>SUM(C19+E19)</f>
        <v>1361085</v>
      </c>
      <c r="G19" s="43"/>
    </row>
    <row r="20" spans="2:7" ht="24">
      <c r="B20" s="722" t="s">
        <v>126</v>
      </c>
      <c r="C20" s="569"/>
      <c r="D20" s="570"/>
      <c r="E20" s="570"/>
      <c r="F20" s="570"/>
      <c r="G20" s="102"/>
    </row>
    <row r="21" spans="2:9" ht="12.75" hidden="1">
      <c r="B21" s="528" t="e">
        <f>B17</f>
        <v>#REF!</v>
      </c>
      <c r="C21" s="569"/>
      <c r="D21" s="570" t="e">
        <f>SUM('9.hivatal'!#REF!)</f>
        <v>#REF!</v>
      </c>
      <c r="E21" s="568" t="e">
        <f>SUM(D21:D21)</f>
        <v>#REF!</v>
      </c>
      <c r="F21" s="568" t="e">
        <f>SUM(C21+E21)</f>
        <v>#REF!</v>
      </c>
      <c r="G21" s="43"/>
      <c r="H21" s="43"/>
      <c r="I21" s="43"/>
    </row>
    <row r="22" spans="2:9" ht="12.75" hidden="1">
      <c r="B22" s="528" t="s">
        <v>853</v>
      </c>
      <c r="C22" s="569"/>
      <c r="D22" s="570" t="e">
        <f>SUM('9.hivatal'!#REF!)</f>
        <v>#REF!</v>
      </c>
      <c r="E22" s="568" t="e">
        <f>SUM(D22:D22)</f>
        <v>#REF!</v>
      </c>
      <c r="F22" s="568" t="e">
        <f>SUM(C22+E22)</f>
        <v>#REF!</v>
      </c>
      <c r="G22" s="43"/>
      <c r="H22" s="43"/>
      <c r="I22" s="43"/>
    </row>
    <row r="23" spans="2:9" ht="12.75">
      <c r="B23" s="528" t="str">
        <f>B19</f>
        <v>2018. évi eredeti előirányzat</v>
      </c>
      <c r="C23" s="569"/>
      <c r="D23" s="570">
        <f>SUM('9.hivatal'!F79)</f>
        <v>100898</v>
      </c>
      <c r="E23" s="568">
        <f>SUM(D23:D23)</f>
        <v>100898</v>
      </c>
      <c r="F23" s="568">
        <f>SUM(C23+E23)</f>
        <v>100898</v>
      </c>
      <c r="G23" s="309"/>
      <c r="H23" s="43"/>
      <c r="I23" s="43"/>
    </row>
    <row r="24" spans="2:9" ht="26.25" customHeight="1">
      <c r="B24" s="722" t="s">
        <v>61</v>
      </c>
      <c r="C24" s="569"/>
      <c r="D24" s="570"/>
      <c r="E24" s="570"/>
      <c r="F24" s="570"/>
      <c r="G24" s="41"/>
      <c r="H24" s="41"/>
      <c r="I24" s="41"/>
    </row>
    <row r="25" spans="2:9" ht="12.75" hidden="1">
      <c r="B25" s="528" t="e">
        <f>B21</f>
        <v>#REF!</v>
      </c>
      <c r="C25" s="570"/>
      <c r="D25" s="570" t="e">
        <f>SUM('9.hivatal'!#REF!)</f>
        <v>#REF!</v>
      </c>
      <c r="E25" s="568" t="e">
        <f>SUM(D25:D25)</f>
        <v>#REF!</v>
      </c>
      <c r="F25" s="568" t="e">
        <f>SUM(E25)</f>
        <v>#REF!</v>
      </c>
      <c r="G25" s="43"/>
      <c r="H25" s="43"/>
      <c r="I25" s="43"/>
    </row>
    <row r="26" spans="2:9" ht="12.75" hidden="1">
      <c r="B26" s="528" t="s">
        <v>853</v>
      </c>
      <c r="C26" s="570"/>
      <c r="D26" s="570" t="e">
        <f>SUM('9.hivatal'!#REF!)</f>
        <v>#REF!</v>
      </c>
      <c r="E26" s="568" t="e">
        <f>SUM(D26:D26)</f>
        <v>#REF!</v>
      </c>
      <c r="F26" s="568" t="e">
        <f>SUM(E26)</f>
        <v>#REF!</v>
      </c>
      <c r="G26" s="43"/>
      <c r="H26" s="43"/>
      <c r="I26" s="43"/>
    </row>
    <row r="27" spans="2:9" ht="13.5" customHeight="1">
      <c r="B27" s="528" t="str">
        <f>B23</f>
        <v>2018. évi eredeti előirányzat</v>
      </c>
      <c r="C27" s="570"/>
      <c r="D27" s="570">
        <f>SUM('9.hivatal'!F85)</f>
        <v>64304</v>
      </c>
      <c r="E27" s="568">
        <f>SUM(D27:D27)</f>
        <v>64304</v>
      </c>
      <c r="F27" s="568">
        <f>SUM(E27)</f>
        <v>64304</v>
      </c>
      <c r="G27" s="43"/>
      <c r="H27" s="43"/>
      <c r="I27" s="43"/>
    </row>
    <row r="28" spans="2:9" ht="13.5" customHeight="1">
      <c r="B28" s="722" t="s">
        <v>799</v>
      </c>
      <c r="C28" s="578"/>
      <c r="D28" s="578"/>
      <c r="E28" s="627"/>
      <c r="F28" s="627"/>
      <c r="G28" s="43"/>
      <c r="H28" s="43"/>
      <c r="I28" s="43"/>
    </row>
    <row r="29" spans="2:9" ht="13.5" customHeight="1" hidden="1">
      <c r="B29" s="753" t="e">
        <f>B25</f>
        <v>#REF!</v>
      </c>
      <c r="C29" s="578" t="e">
        <f>'3.felh'!#REF!</f>
        <v>#REF!</v>
      </c>
      <c r="D29" s="578"/>
      <c r="E29" s="627"/>
      <c r="F29" s="98" t="e">
        <f>SUM(C29+E29)</f>
        <v>#REF!</v>
      </c>
      <c r="G29" s="43"/>
      <c r="H29" s="43"/>
      <c r="I29" s="43"/>
    </row>
    <row r="30" spans="2:9" ht="13.5" customHeight="1" hidden="1">
      <c r="B30" s="528" t="s">
        <v>853</v>
      </c>
      <c r="C30" s="578" t="e">
        <f>'3.felh'!#REF!</f>
        <v>#REF!</v>
      </c>
      <c r="D30" s="578"/>
      <c r="E30" s="627"/>
      <c r="F30" s="98" t="e">
        <f>SUM(C30+E30)</f>
        <v>#REF!</v>
      </c>
      <c r="G30" s="43"/>
      <c r="H30" s="43"/>
      <c r="I30" s="43"/>
    </row>
    <row r="31" spans="2:9" ht="13.5" customHeight="1" thickBot="1">
      <c r="B31" s="753" t="str">
        <f>B27</f>
        <v>2018. évi eredeti előirányzat</v>
      </c>
      <c r="C31" s="578">
        <f>'3.felh'!C41</f>
        <v>178200</v>
      </c>
      <c r="D31" s="578"/>
      <c r="E31" s="627"/>
      <c r="F31" s="98">
        <f>SUM(C31+E31)</f>
        <v>178200</v>
      </c>
      <c r="G31" s="43"/>
      <c r="H31" s="43"/>
      <c r="I31" s="43"/>
    </row>
    <row r="32" spans="2:8" ht="14.25" customHeight="1">
      <c r="B32" s="182" t="s">
        <v>62</v>
      </c>
      <c r="C32" s="572"/>
      <c r="D32" s="572"/>
      <c r="E32" s="572"/>
      <c r="F32" s="584"/>
      <c r="G32" s="43"/>
      <c r="H32" s="105"/>
    </row>
    <row r="33" spans="2:8" ht="14.25" customHeight="1" hidden="1">
      <c r="B33" s="414" t="e">
        <f>B25</f>
        <v>#REF!</v>
      </c>
      <c r="C33" s="574" t="e">
        <f>SUM(#REF!+C13+C9)</f>
        <v>#REF!</v>
      </c>
      <c r="D33" s="574" t="e">
        <f>SUM(#REF!+D13)</f>
        <v>#REF!</v>
      </c>
      <c r="E33" s="574" t="e">
        <f>SUM(D33:D33)</f>
        <v>#REF!</v>
      </c>
      <c r="F33" s="586" t="e">
        <f>SUM(C33+E33)</f>
        <v>#REF!</v>
      </c>
      <c r="G33" s="309" t="e">
        <f>SUM(#REF!+F13+F9)</f>
        <v>#REF!</v>
      </c>
      <c r="H33" s="415" t="e">
        <f>SUM(E13+#REF!)</f>
        <v>#REF!</v>
      </c>
    </row>
    <row r="34" spans="2:8" ht="14.25" customHeight="1" hidden="1">
      <c r="B34" s="414" t="str">
        <f>B26</f>
        <v>Módosított előirányzat 2017. 09. havi</v>
      </c>
      <c r="C34" s="574" t="e">
        <f>SUM(#REF!+C14+C10)</f>
        <v>#REF!</v>
      </c>
      <c r="D34" s="574" t="e">
        <f>SUM(#REF!+D14)</f>
        <v>#REF!</v>
      </c>
      <c r="E34" s="574" t="e">
        <f>SUM(D34:D34)</f>
        <v>#REF!</v>
      </c>
      <c r="F34" s="586" t="e">
        <f>SUM(C34+E34)</f>
        <v>#REF!</v>
      </c>
      <c r="G34" s="309" t="e">
        <f>SUM(#REF!+F14+F10)</f>
        <v>#REF!</v>
      </c>
      <c r="H34" s="415" t="e">
        <f>SUM(E14+#REF!)</f>
        <v>#REF!</v>
      </c>
    </row>
    <row r="35" spans="2:8" ht="14.25" customHeight="1">
      <c r="B35" s="414" t="str">
        <f>B27</f>
        <v>2018. évi eredeti előirányzat</v>
      </c>
      <c r="C35" s="574">
        <f>SUM(C7+C15+C11)</f>
        <v>2449356</v>
      </c>
      <c r="D35" s="574">
        <f>SUM(D7+D15)</f>
        <v>205526</v>
      </c>
      <c r="E35" s="574">
        <f>SUM(D35:D35)</f>
        <v>205526</v>
      </c>
      <c r="F35" s="586">
        <f>SUM(C35+E35)</f>
        <v>2654882</v>
      </c>
      <c r="G35" s="309">
        <f>SUM(F7+F15+F11)</f>
        <v>2654882</v>
      </c>
      <c r="H35" s="415">
        <f>SUM(E15+E7)</f>
        <v>205526</v>
      </c>
    </row>
    <row r="36" spans="2:7" ht="14.25" customHeight="1">
      <c r="B36" s="754" t="s">
        <v>63</v>
      </c>
      <c r="C36" s="574"/>
      <c r="D36" s="574"/>
      <c r="E36" s="574"/>
      <c r="F36" s="586"/>
      <c r="G36" s="41"/>
    </row>
    <row r="37" spans="2:7" ht="14.25" customHeight="1" hidden="1">
      <c r="B37" s="754" t="e">
        <f>B33</f>
        <v>#REF!</v>
      </c>
      <c r="C37" s="574"/>
      <c r="D37" s="574"/>
      <c r="E37" s="574"/>
      <c r="F37" s="586" t="e">
        <f>-E21-E25</f>
        <v>#REF!</v>
      </c>
      <c r="G37" s="41"/>
    </row>
    <row r="38" spans="2:7" ht="14.25" customHeight="1" hidden="1">
      <c r="B38" s="754" t="str">
        <f>B34</f>
        <v>Módosított előirányzat 2017. 09. havi</v>
      </c>
      <c r="C38" s="573"/>
      <c r="D38" s="573"/>
      <c r="E38" s="573"/>
      <c r="F38" s="586" t="e">
        <f>-E22-E26</f>
        <v>#REF!</v>
      </c>
      <c r="G38" s="41"/>
    </row>
    <row r="39" spans="2:9" ht="14.25" customHeight="1" thickBot="1">
      <c r="B39" s="754" t="str">
        <f>B35</f>
        <v>2018. évi eredeti előirányzat</v>
      </c>
      <c r="C39" s="573"/>
      <c r="D39" s="573"/>
      <c r="E39" s="573"/>
      <c r="F39" s="586">
        <f>-E23-E27</f>
        <v>-165202</v>
      </c>
      <c r="G39" s="41"/>
      <c r="I39" s="105">
        <f>SUM(G45-F35)</f>
        <v>0.2705118111334741</v>
      </c>
    </row>
    <row r="40" spans="2:7" ht="14.25" customHeight="1" thickBot="1">
      <c r="B40" s="111" t="s">
        <v>64</v>
      </c>
      <c r="C40" s="576"/>
      <c r="D40" s="576"/>
      <c r="E40" s="576"/>
      <c r="F40" s="587">
        <f>SUM(F35+F39)</f>
        <v>2489680</v>
      </c>
      <c r="G40" s="41"/>
    </row>
    <row r="41" spans="2:7" ht="0.75" customHeight="1">
      <c r="B41" s="809"/>
      <c r="C41" s="575"/>
      <c r="D41" s="575"/>
      <c r="E41" s="575"/>
      <c r="F41" s="810"/>
      <c r="G41" s="41"/>
    </row>
    <row r="42" spans="2:7" ht="14.25" customHeight="1">
      <c r="B42" s="726" t="s">
        <v>65</v>
      </c>
      <c r="C42" s="577"/>
      <c r="D42" s="577"/>
      <c r="E42" s="577"/>
      <c r="F42" s="588"/>
      <c r="G42" s="43"/>
    </row>
    <row r="43" spans="2:8" ht="12.75" customHeight="1" hidden="1">
      <c r="B43" s="414" t="e">
        <f aca="true" t="shared" si="0" ref="B43:B49">B33</f>
        <v>#REF!</v>
      </c>
      <c r="C43" s="574" t="e">
        <f>SUM(C52+C56+C60+C64+C68+C72+C76+C80)</f>
        <v>#REF!</v>
      </c>
      <c r="D43" s="574" t="e">
        <f aca="true" t="shared" si="1" ref="D43:E45">SUM(D52+D56+D60+D64)</f>
        <v>#REF!</v>
      </c>
      <c r="E43" s="574" t="e">
        <f t="shared" si="1"/>
        <v>#REF!</v>
      </c>
      <c r="F43" s="586" t="e">
        <f>SUM(C43+E43)</f>
        <v>#REF!</v>
      </c>
      <c r="G43" s="309" t="e">
        <f>SUM(F52+F56+F60+F64+F68+F72+F76+F80)</f>
        <v>#REF!</v>
      </c>
      <c r="H43" s="415" t="e">
        <f>SUM(E52+E56+E60+E64)</f>
        <v>#REF!</v>
      </c>
    </row>
    <row r="44" spans="2:8" ht="12.75" customHeight="1" hidden="1">
      <c r="B44" s="414" t="str">
        <f t="shared" si="0"/>
        <v>Módosított előirányzat 2017. 09. havi</v>
      </c>
      <c r="C44" s="574">
        <f>SUM(C53+C57+C61+C65+C69+C73+C77+C81)</f>
        <v>2315708</v>
      </c>
      <c r="D44" s="574">
        <f t="shared" si="1"/>
        <v>186535</v>
      </c>
      <c r="E44" s="574">
        <f t="shared" si="1"/>
        <v>186535</v>
      </c>
      <c r="F44" s="586">
        <f>SUM(C44+E44)</f>
        <v>2502243</v>
      </c>
      <c r="G44" s="309">
        <f>SUM(F53+F57+F61+F65+F69+F73+F77+F81)</f>
        <v>2502243</v>
      </c>
      <c r="H44" s="415">
        <f>SUM(E53+E57+E61+E65)</f>
        <v>186535</v>
      </c>
    </row>
    <row r="45" spans="2:8" ht="14.25" customHeight="1">
      <c r="B45" s="414" t="str">
        <f t="shared" si="0"/>
        <v>2018. évi eredeti előirányzat</v>
      </c>
      <c r="C45" s="574">
        <f>SUM(C54+C58+C62+C66+C70+C74+C78+C82)</f>
        <v>2449356.270511811</v>
      </c>
      <c r="D45" s="574">
        <f t="shared" si="1"/>
        <v>205526</v>
      </c>
      <c r="E45" s="574">
        <f t="shared" si="1"/>
        <v>205526</v>
      </c>
      <c r="F45" s="586">
        <f>SUM(C45+E45)</f>
        <v>2654882.270511811</v>
      </c>
      <c r="G45" s="309">
        <f>SUM(F54+F58+F62+F66+F70+F74+F78+F82)</f>
        <v>2654882.270511811</v>
      </c>
      <c r="H45" s="415">
        <f>SUM(E54+E58+E62+E66)</f>
        <v>205526</v>
      </c>
    </row>
    <row r="46" spans="2:9" ht="12.75">
      <c r="B46" s="414" t="str">
        <f t="shared" si="0"/>
        <v>Intézményfinanszírozás </v>
      </c>
      <c r="C46" s="574"/>
      <c r="D46" s="574"/>
      <c r="E46" s="574"/>
      <c r="F46" s="586">
        <f>F36</f>
        <v>0</v>
      </c>
      <c r="G46" s="41"/>
      <c r="I46" s="105"/>
    </row>
    <row r="47" spans="2:7" ht="12.75" hidden="1">
      <c r="B47" s="414" t="e">
        <f t="shared" si="0"/>
        <v>#REF!</v>
      </c>
      <c r="C47" s="573"/>
      <c r="D47" s="573"/>
      <c r="E47" s="573"/>
      <c r="F47" s="586" t="e">
        <f>F37</f>
        <v>#REF!</v>
      </c>
      <c r="G47" s="41"/>
    </row>
    <row r="48" spans="2:7" ht="12.75" hidden="1">
      <c r="B48" s="414" t="str">
        <f t="shared" si="0"/>
        <v>Módosított előirányzat 2017. 09. havi</v>
      </c>
      <c r="C48" s="573"/>
      <c r="D48" s="573"/>
      <c r="E48" s="573"/>
      <c r="F48" s="586" t="e">
        <f>F38</f>
        <v>#REF!</v>
      </c>
      <c r="G48" s="41"/>
    </row>
    <row r="49" spans="2:7" ht="13.5" thickBot="1">
      <c r="B49" s="414" t="str">
        <f t="shared" si="0"/>
        <v>2018. évi eredeti előirányzat</v>
      </c>
      <c r="C49" s="573"/>
      <c r="D49" s="573"/>
      <c r="E49" s="573"/>
      <c r="F49" s="586">
        <f>F39</f>
        <v>-165202</v>
      </c>
      <c r="G49" s="41"/>
    </row>
    <row r="50" spans="2:8" ht="14.25" customHeight="1" thickBot="1">
      <c r="B50" s="111" t="s">
        <v>67</v>
      </c>
      <c r="C50" s="576"/>
      <c r="D50" s="576"/>
      <c r="E50" s="576"/>
      <c r="F50" s="587">
        <f>SUM(F45+F49)</f>
        <v>2489680.270511811</v>
      </c>
      <c r="G50" s="43"/>
      <c r="H50" s="105"/>
    </row>
    <row r="51" spans="2:7" ht="13.5" customHeight="1">
      <c r="B51" s="629" t="s">
        <v>36</v>
      </c>
      <c r="C51" s="571"/>
      <c r="D51" s="571"/>
      <c r="E51" s="571"/>
      <c r="F51" s="571"/>
      <c r="G51" s="43"/>
    </row>
    <row r="52" spans="2:7" ht="13.5" customHeight="1" hidden="1">
      <c r="B52" s="724" t="e">
        <f>B33</f>
        <v>#REF!</v>
      </c>
      <c r="C52" s="569" t="e">
        <f>SUM('8.Önk.'!#REF!)</f>
        <v>#REF!</v>
      </c>
      <c r="D52" s="570" t="e">
        <f>SUM('9.hivatal'!#REF!)</f>
        <v>#REF!</v>
      </c>
      <c r="E52" s="568" t="e">
        <f>SUM(D52)</f>
        <v>#REF!</v>
      </c>
      <c r="F52" s="568" t="e">
        <f>SUM(C52+E52)</f>
        <v>#REF!</v>
      </c>
      <c r="G52" s="43"/>
    </row>
    <row r="53" spans="2:7" ht="13.5" customHeight="1" hidden="1">
      <c r="B53" s="724" t="str">
        <f>B34</f>
        <v>Módosított előirányzat 2017. 09. havi</v>
      </c>
      <c r="C53" s="569">
        <v>49825</v>
      </c>
      <c r="D53" s="570">
        <v>130900</v>
      </c>
      <c r="E53" s="568">
        <f>SUM(D53)</f>
        <v>130900</v>
      </c>
      <c r="F53" s="568">
        <f>SUM(C53+E53)</f>
        <v>180725</v>
      </c>
      <c r="G53" s="43"/>
    </row>
    <row r="54" spans="2:7" ht="13.5" customHeight="1">
      <c r="B54" s="724" t="str">
        <f>B35</f>
        <v>2018. évi eredeti előirányzat</v>
      </c>
      <c r="C54" s="569">
        <f>SUM('8.Önk.'!AE28)</f>
        <v>90335</v>
      </c>
      <c r="D54" s="570">
        <f>SUM('9.hivatal'!F17)</f>
        <v>141713</v>
      </c>
      <c r="E54" s="568">
        <f>SUM(D54)</f>
        <v>141713</v>
      </c>
      <c r="F54" s="568">
        <f>SUM(C54+E54)</f>
        <v>232048</v>
      </c>
      <c r="G54" s="43"/>
    </row>
    <row r="55" spans="2:7" ht="14.25" customHeight="1">
      <c r="B55" s="629" t="s">
        <v>674</v>
      </c>
      <c r="C55" s="569"/>
      <c r="D55" s="570"/>
      <c r="E55" s="568"/>
      <c r="F55" s="568"/>
      <c r="G55" s="41"/>
    </row>
    <row r="56" spans="2:7" ht="13.5" customHeight="1" hidden="1">
      <c r="B56" s="724" t="e">
        <f>B52</f>
        <v>#REF!</v>
      </c>
      <c r="C56" s="569" t="e">
        <f>SUM('8.Önk.'!#REF!)</f>
        <v>#REF!</v>
      </c>
      <c r="D56" s="570" t="e">
        <f>SUM('9.hivatal'!#REF!)</f>
        <v>#REF!</v>
      </c>
      <c r="E56" s="568" t="e">
        <f>SUM(D56)</f>
        <v>#REF!</v>
      </c>
      <c r="F56" s="568" t="e">
        <f>SUM(C56+E56)</f>
        <v>#REF!</v>
      </c>
      <c r="G56" s="41"/>
    </row>
    <row r="57" spans="2:7" ht="13.5" customHeight="1" hidden="1">
      <c r="B57" s="724" t="str">
        <f>B53</f>
        <v>Módosított előirányzat 2017. 09. havi</v>
      </c>
      <c r="C57" s="569">
        <v>9950</v>
      </c>
      <c r="D57" s="570">
        <v>27068</v>
      </c>
      <c r="E57" s="568">
        <f>SUM(D57)</f>
        <v>27068</v>
      </c>
      <c r="F57" s="568">
        <f>SUM(C57+E57)</f>
        <v>37018</v>
      </c>
      <c r="G57" s="41"/>
    </row>
    <row r="58" spans="2:7" ht="13.5" customHeight="1">
      <c r="B58" s="724" t="str">
        <f>B54</f>
        <v>2018. évi eredeti előirányzat</v>
      </c>
      <c r="C58" s="569">
        <f>SUM('8.Önk.'!AE32)</f>
        <v>16235.135</v>
      </c>
      <c r="D58" s="570">
        <f>SUM('9.hivatal'!F20)</f>
        <v>28104</v>
      </c>
      <c r="E58" s="568">
        <f>SUM(D58)</f>
        <v>28104</v>
      </c>
      <c r="F58" s="568">
        <f>SUM(C58+E58)</f>
        <v>44339.135</v>
      </c>
      <c r="G58" s="41"/>
    </row>
    <row r="59" spans="2:7" ht="13.5" customHeight="1">
      <c r="B59" s="617" t="s">
        <v>43</v>
      </c>
      <c r="C59" s="570"/>
      <c r="D59" s="570"/>
      <c r="E59" s="568"/>
      <c r="F59" s="568"/>
      <c r="G59" s="41"/>
    </row>
    <row r="60" spans="2:7" ht="13.5" customHeight="1" hidden="1">
      <c r="B60" s="724" t="e">
        <f>B56</f>
        <v>#REF!</v>
      </c>
      <c r="C60" s="569" t="e">
        <f>SUM('8.Önk.'!#REF!)</f>
        <v>#REF!</v>
      </c>
      <c r="D60" s="570" t="e">
        <f>SUM('9.hivatal'!#REF!)</f>
        <v>#REF!</v>
      </c>
      <c r="E60" s="568" t="e">
        <f>SUM(D60)</f>
        <v>#REF!</v>
      </c>
      <c r="F60" s="568" t="e">
        <f>SUM(C60+E60)</f>
        <v>#REF!</v>
      </c>
      <c r="G60" s="41"/>
    </row>
    <row r="61" spans="2:7" ht="13.5" customHeight="1" hidden="1">
      <c r="B61" s="724" t="str">
        <f>B57</f>
        <v>Módosított előirányzat 2017. 09. havi</v>
      </c>
      <c r="C61" s="569">
        <v>183273</v>
      </c>
      <c r="D61" s="570">
        <v>28567</v>
      </c>
      <c r="E61" s="568">
        <f>SUM(D61)</f>
        <v>28567</v>
      </c>
      <c r="F61" s="568">
        <f>SUM(C61+E61)</f>
        <v>211840</v>
      </c>
      <c r="G61" s="41"/>
    </row>
    <row r="62" spans="2:7" ht="13.5" customHeight="1">
      <c r="B62" s="724" t="str">
        <f>B58</f>
        <v>2018. évi eredeti előirányzat</v>
      </c>
      <c r="C62" s="569">
        <f>SUM('8.Önk.'!AE106)</f>
        <v>261353.135511811</v>
      </c>
      <c r="D62" s="570">
        <f>SUM('9.hivatal'!F69)</f>
        <v>33609</v>
      </c>
      <c r="E62" s="568">
        <f>SUM(D62)</f>
        <v>33609</v>
      </c>
      <c r="F62" s="568">
        <f>SUM(C62+E62)</f>
        <v>294962.135511811</v>
      </c>
      <c r="G62" s="41"/>
    </row>
    <row r="63" spans="2:7" ht="25.5" customHeight="1">
      <c r="B63" s="618" t="s">
        <v>456</v>
      </c>
      <c r="C63" s="570"/>
      <c r="D63" s="570"/>
      <c r="E63" s="568"/>
      <c r="F63" s="568"/>
      <c r="G63" s="41"/>
    </row>
    <row r="64" spans="2:7" ht="13.5" customHeight="1" hidden="1">
      <c r="B64" s="724" t="e">
        <f>B60</f>
        <v>#REF!</v>
      </c>
      <c r="C64" s="569" t="e">
        <f>SUM('8.Önk.'!#REF!)</f>
        <v>#REF!</v>
      </c>
      <c r="D64" s="570"/>
      <c r="E64" s="568"/>
      <c r="F64" s="568" t="e">
        <f>SUM(C64+E64)</f>
        <v>#REF!</v>
      </c>
      <c r="G64" s="41"/>
    </row>
    <row r="65" spans="2:7" ht="13.5" customHeight="1" hidden="1">
      <c r="B65" s="724" t="str">
        <f>B61</f>
        <v>Módosított előirányzat 2017. 09. havi</v>
      </c>
      <c r="C65" s="569">
        <v>601506</v>
      </c>
      <c r="D65" s="570"/>
      <c r="E65" s="568"/>
      <c r="F65" s="568">
        <f>SUM(C65+E65)</f>
        <v>601506</v>
      </c>
      <c r="G65" s="41"/>
    </row>
    <row r="66" spans="2:7" ht="13.5" customHeight="1">
      <c r="B66" s="724" t="str">
        <f>B62</f>
        <v>2018. évi eredeti előirányzat</v>
      </c>
      <c r="C66" s="569">
        <f>SUM('8.Önk.'!AE110)</f>
        <v>981179</v>
      </c>
      <c r="D66" s="570">
        <f>SUM('9.hivatal'!F73)</f>
        <v>2100</v>
      </c>
      <c r="E66" s="570">
        <f>SUM(D66)</f>
        <v>2100</v>
      </c>
      <c r="F66" s="568">
        <f>SUM(C66+E66)</f>
        <v>983279</v>
      </c>
      <c r="G66" s="41"/>
    </row>
    <row r="67" spans="2:7" ht="13.5" customHeight="1">
      <c r="B67" s="725" t="s">
        <v>687</v>
      </c>
      <c r="C67" s="570"/>
      <c r="D67" s="570"/>
      <c r="E67" s="568"/>
      <c r="F67" s="568"/>
      <c r="G67" s="41"/>
    </row>
    <row r="68" spans="2:7" ht="13.5" customHeight="1" hidden="1">
      <c r="B68" s="724" t="e">
        <f>B64</f>
        <v>#REF!</v>
      </c>
      <c r="C68" s="569" t="e">
        <f>SUM('8.Önk.'!#REF!)</f>
        <v>#REF!</v>
      </c>
      <c r="D68" s="570"/>
      <c r="E68" s="568"/>
      <c r="F68" s="568" t="e">
        <f>SUM(C68)</f>
        <v>#REF!</v>
      </c>
      <c r="G68" s="41"/>
    </row>
    <row r="69" spans="2:7" ht="13.5" customHeight="1" hidden="1">
      <c r="B69" s="724" t="str">
        <f>B65</f>
        <v>Módosított előirányzat 2017. 09. havi</v>
      </c>
      <c r="C69" s="569">
        <v>8146</v>
      </c>
      <c r="D69" s="570"/>
      <c r="E69" s="568"/>
      <c r="F69" s="568">
        <f>SUM(C69)</f>
        <v>8146</v>
      </c>
      <c r="G69" s="41"/>
    </row>
    <row r="70" spans="2:7" ht="13.5" customHeight="1">
      <c r="B70" s="724" t="str">
        <f>B66</f>
        <v>2018. évi eredeti előirányzat</v>
      </c>
      <c r="C70" s="569">
        <f>SUM('8.Önk.'!AE107)</f>
        <v>9600</v>
      </c>
      <c r="D70" s="570"/>
      <c r="E70" s="568"/>
      <c r="F70" s="568">
        <f>SUM(C70)</f>
        <v>9600</v>
      </c>
      <c r="G70" s="41"/>
    </row>
    <row r="71" spans="2:7" ht="13.5" customHeight="1">
      <c r="B71" s="617" t="s">
        <v>45</v>
      </c>
      <c r="C71" s="570"/>
      <c r="D71" s="570"/>
      <c r="E71" s="568"/>
      <c r="F71" s="568"/>
      <c r="G71" s="41"/>
    </row>
    <row r="72" spans="2:7" ht="13.5" customHeight="1" hidden="1">
      <c r="B72" s="724" t="e">
        <f>B68</f>
        <v>#REF!</v>
      </c>
      <c r="C72" s="569" t="e">
        <f>SUM('8.Önk.'!#REF!)</f>
        <v>#REF!</v>
      </c>
      <c r="D72" s="570"/>
      <c r="E72" s="568"/>
      <c r="F72" s="568" t="e">
        <f>SUM(C72)</f>
        <v>#REF!</v>
      </c>
      <c r="G72" s="41"/>
    </row>
    <row r="73" spans="2:7" ht="13.5" customHeight="1" hidden="1">
      <c r="B73" s="724" t="str">
        <f>B69</f>
        <v>Módosított előirányzat 2017. 09. havi</v>
      </c>
      <c r="C73" s="569">
        <v>389512</v>
      </c>
      <c r="D73" s="570"/>
      <c r="E73" s="568"/>
      <c r="F73" s="568">
        <f>SUM(C73)</f>
        <v>389512</v>
      </c>
      <c r="G73" s="41"/>
    </row>
    <row r="74" spans="2:7" ht="13.5" customHeight="1">
      <c r="B74" s="724" t="str">
        <f>B70</f>
        <v>2018. évi eredeti előirányzat</v>
      </c>
      <c r="C74" s="569">
        <f>SUM('8.Önk.'!AE108)</f>
        <v>317687</v>
      </c>
      <c r="D74" s="570"/>
      <c r="E74" s="568"/>
      <c r="F74" s="568">
        <f>SUM(C74)</f>
        <v>317687</v>
      </c>
      <c r="G74" s="41"/>
    </row>
    <row r="75" spans="2:7" ht="13.5" customHeight="1">
      <c r="B75" s="617" t="s">
        <v>68</v>
      </c>
      <c r="C75" s="570"/>
      <c r="D75" s="570"/>
      <c r="E75" s="568"/>
      <c r="F75" s="568"/>
      <c r="G75" s="41"/>
    </row>
    <row r="76" spans="2:7" ht="13.5" customHeight="1" hidden="1">
      <c r="B76" s="724" t="e">
        <f>B72</f>
        <v>#REF!</v>
      </c>
      <c r="C76" s="569" t="e">
        <f>SUM('1.Bev-kiad.'!C75+-F37)</f>
        <v>#REF!</v>
      </c>
      <c r="D76" s="570"/>
      <c r="E76" s="568"/>
      <c r="F76" s="568" t="e">
        <f>SUM(C76)</f>
        <v>#REF!</v>
      </c>
      <c r="G76" s="41"/>
    </row>
    <row r="77" spans="2:7" ht="13.5" customHeight="1" hidden="1">
      <c r="B77" s="724" t="str">
        <f>B73</f>
        <v>Módosított előirányzat 2017. 09. havi</v>
      </c>
      <c r="C77" s="569">
        <v>165164</v>
      </c>
      <c r="D77" s="570"/>
      <c r="E77" s="568"/>
      <c r="F77" s="568">
        <f>SUM(C77)</f>
        <v>165164</v>
      </c>
      <c r="G77" s="41"/>
    </row>
    <row r="78" spans="2:7" ht="13.5" customHeight="1">
      <c r="B78" s="724" t="str">
        <f>B74</f>
        <v>2018. évi eredeti előirányzat</v>
      </c>
      <c r="C78" s="569">
        <f>SUM('2.működés'!E100)+E23+E27</f>
        <v>179306</v>
      </c>
      <c r="D78" s="570"/>
      <c r="E78" s="568"/>
      <c r="F78" s="568">
        <f>SUM(C78)</f>
        <v>179306</v>
      </c>
      <c r="G78" s="41"/>
    </row>
    <row r="79" spans="2:7" ht="13.5" customHeight="1">
      <c r="B79" s="723" t="s">
        <v>457</v>
      </c>
      <c r="C79" s="570"/>
      <c r="D79" s="570"/>
      <c r="E79" s="568"/>
      <c r="F79" s="568"/>
      <c r="G79" s="41"/>
    </row>
    <row r="80" spans="2:7" ht="13.5" customHeight="1" hidden="1">
      <c r="B80" s="724" t="e">
        <f>B76</f>
        <v>#REF!</v>
      </c>
      <c r="C80" s="569" t="e">
        <f>SUM('3.felh'!#REF!+'2.működés'!C96)</f>
        <v>#REF!</v>
      </c>
      <c r="D80" s="570"/>
      <c r="E80" s="568"/>
      <c r="F80" s="568" t="e">
        <f>SUM(C80)</f>
        <v>#REF!</v>
      </c>
      <c r="G80" s="41"/>
    </row>
    <row r="81" spans="2:7" ht="13.5" customHeight="1" hidden="1">
      <c r="B81" s="724" t="str">
        <f>B77</f>
        <v>Módosított előirányzat 2017. 09. havi</v>
      </c>
      <c r="C81" s="569">
        <v>908332</v>
      </c>
      <c r="D81" s="570"/>
      <c r="E81" s="568"/>
      <c r="F81" s="568">
        <f>SUM(C81)</f>
        <v>908332</v>
      </c>
      <c r="G81" s="41"/>
    </row>
    <row r="82" spans="2:7" ht="13.5" customHeight="1">
      <c r="B82" s="724" t="str">
        <f>B78</f>
        <v>2018. évi eredeti előirányzat</v>
      </c>
      <c r="C82" s="569">
        <f>SUM('2.működés'!E96+'3.felh'!C75)</f>
        <v>593661</v>
      </c>
      <c r="D82" s="570"/>
      <c r="E82" s="568"/>
      <c r="F82" s="568">
        <f>SUM(C82)</f>
        <v>593661</v>
      </c>
      <c r="G82" s="41"/>
    </row>
    <row r="83" spans="2:4" ht="12.75">
      <c r="B83" s="116"/>
      <c r="C83" s="11"/>
      <c r="D83" s="11"/>
    </row>
    <row r="84" spans="3:4" ht="12.75">
      <c r="C84" s="51"/>
      <c r="D84" s="51"/>
    </row>
    <row r="85" ht="12.75">
      <c r="C85" s="105"/>
    </row>
    <row r="86" ht="12.75" hidden="1"/>
    <row r="87" spans="3:5" ht="12.75" hidden="1">
      <c r="C87" s="105"/>
      <c r="D87" s="105"/>
      <c r="E87" s="105"/>
    </row>
    <row r="88" spans="1:7" s="364" customFormat="1" ht="12.75" customHeight="1" hidden="1">
      <c r="A88" s="382"/>
      <c r="B88" s="1023" t="s">
        <v>55</v>
      </c>
      <c r="C88" s="1025" t="s">
        <v>49</v>
      </c>
      <c r="D88" s="729" t="s">
        <v>50</v>
      </c>
      <c r="E88" s="1025" t="s">
        <v>127</v>
      </c>
      <c r="F88" s="1030" t="s">
        <v>57</v>
      </c>
      <c r="G88" s="41"/>
    </row>
    <row r="89" spans="1:7" s="364" customFormat="1" ht="30.75" customHeight="1" hidden="1" thickBot="1">
      <c r="A89" s="382"/>
      <c r="B89" s="1024"/>
      <c r="C89" s="1026"/>
      <c r="D89" s="196" t="s">
        <v>58</v>
      </c>
      <c r="E89" s="1026"/>
      <c r="F89" s="1031"/>
      <c r="G89" s="41"/>
    </row>
    <row r="90" spans="2:7" ht="13.5" customHeight="1" hidden="1">
      <c r="B90" s="94" t="s">
        <v>472</v>
      </c>
      <c r="C90" s="188"/>
      <c r="D90" s="189"/>
      <c r="E90" s="189"/>
      <c r="F90" s="190"/>
      <c r="G90" s="41"/>
    </row>
    <row r="91" spans="2:8" ht="13.5" customHeight="1" hidden="1">
      <c r="B91" s="95" t="s">
        <v>308</v>
      </c>
      <c r="C91" s="97" t="e">
        <f>C111-C94-C97</f>
        <v>#REF!</v>
      </c>
      <c r="D91" s="98">
        <f>26969+800+345+5+200</f>
        <v>28319</v>
      </c>
      <c r="E91" s="98">
        <f>SUM(D91:D91)</f>
        <v>28319</v>
      </c>
      <c r="F91" s="99" t="e">
        <f>SUM(C91+E91)</f>
        <v>#REF!</v>
      </c>
      <c r="G91" s="41"/>
      <c r="H91" s="105"/>
    </row>
    <row r="92" spans="2:7" ht="13.5" customHeight="1" hidden="1">
      <c r="B92" s="96"/>
      <c r="C92" s="97"/>
      <c r="D92" s="98"/>
      <c r="E92" s="98"/>
      <c r="F92" s="99"/>
      <c r="G92" s="41"/>
    </row>
    <row r="93" spans="2:7" ht="13.5" customHeight="1" hidden="1">
      <c r="B93" s="100" t="s">
        <v>473</v>
      </c>
      <c r="C93" s="97"/>
      <c r="D93" s="103"/>
      <c r="E93" s="103"/>
      <c r="F93" s="104"/>
      <c r="G93" s="43"/>
    </row>
    <row r="94" spans="2:7" ht="13.5" customHeight="1" hidden="1">
      <c r="B94" s="95" t="s">
        <v>308</v>
      </c>
      <c r="C94" s="97" t="e">
        <f>'[4]5.Bev.össz.'!C37</f>
        <v>#REF!</v>
      </c>
      <c r="D94" s="103"/>
      <c r="E94" s="98">
        <f>SUM(D94:D94)</f>
        <v>0</v>
      </c>
      <c r="F94" s="99" t="e">
        <f>SUM(C94)</f>
        <v>#REF!</v>
      </c>
      <c r="G94" s="41"/>
    </row>
    <row r="95" spans="2:8" ht="13.5" customHeight="1" hidden="1">
      <c r="B95" s="96"/>
      <c r="C95" s="97"/>
      <c r="D95" s="103"/>
      <c r="E95" s="103"/>
      <c r="F95" s="99"/>
      <c r="G95" s="41"/>
      <c r="H95" s="105"/>
    </row>
    <row r="96" spans="2:9" ht="15.75" customHeight="1" hidden="1">
      <c r="B96" s="100" t="s">
        <v>60</v>
      </c>
      <c r="C96" s="97"/>
      <c r="D96" s="103"/>
      <c r="E96" s="103"/>
      <c r="F96" s="104"/>
      <c r="G96" s="43"/>
      <c r="I96" s="105"/>
    </row>
    <row r="97" spans="2:7" ht="14.25" customHeight="1" hidden="1">
      <c r="B97" s="95" t="s">
        <v>308</v>
      </c>
      <c r="C97" s="97">
        <v>42000</v>
      </c>
      <c r="D97" s="98">
        <f>SUM(D100+D103)</f>
        <v>145931</v>
      </c>
      <c r="E97" s="98">
        <f>SUM(D97:D97)</f>
        <v>145931</v>
      </c>
      <c r="F97" s="99">
        <f>SUM(E97+C97)</f>
        <v>187931</v>
      </c>
      <c r="G97" s="41"/>
    </row>
    <row r="98" spans="2:7" ht="14.25" customHeight="1" hidden="1">
      <c r="B98" s="96"/>
      <c r="C98" s="97"/>
      <c r="D98" s="98"/>
      <c r="E98" s="98"/>
      <c r="F98" s="99"/>
      <c r="G98" s="43"/>
    </row>
    <row r="99" spans="2:7" ht="24" hidden="1">
      <c r="B99" s="101" t="s">
        <v>126</v>
      </c>
      <c r="C99" s="97"/>
      <c r="D99" s="103"/>
      <c r="E99" s="103"/>
      <c r="F99" s="104"/>
      <c r="G99" s="102"/>
    </row>
    <row r="100" spans="2:9" ht="13.5" customHeight="1" hidden="1">
      <c r="B100" s="95" t="s">
        <v>308</v>
      </c>
      <c r="C100" s="97"/>
      <c r="D100" s="103">
        <v>101035</v>
      </c>
      <c r="E100" s="98">
        <f>SUM(D100:D100)</f>
        <v>101035</v>
      </c>
      <c r="F100" s="99">
        <f>SUM(C100+E100)</f>
        <v>101035</v>
      </c>
      <c r="G100" s="43"/>
      <c r="H100" s="43"/>
      <c r="I100" s="43"/>
    </row>
    <row r="101" spans="2:9" ht="13.5" customHeight="1" hidden="1">
      <c r="B101" s="96"/>
      <c r="C101" s="97"/>
      <c r="D101" s="103"/>
      <c r="E101" s="98"/>
      <c r="F101" s="99"/>
      <c r="G101" s="43"/>
      <c r="H101" s="43"/>
      <c r="I101" s="43"/>
    </row>
    <row r="102" spans="2:9" ht="26.25" customHeight="1" hidden="1">
      <c r="B102" s="101" t="s">
        <v>61</v>
      </c>
      <c r="C102" s="97"/>
      <c r="D102" s="103"/>
      <c r="E102" s="103"/>
      <c r="F102" s="104"/>
      <c r="G102" s="41"/>
      <c r="H102" s="41"/>
      <c r="I102" s="41"/>
    </row>
    <row r="103" spans="2:9" ht="13.5" customHeight="1" hidden="1">
      <c r="B103" s="95" t="s">
        <v>308</v>
      </c>
      <c r="C103" s="103"/>
      <c r="D103" s="188">
        <f>41546-345-5-200+3900</f>
        <v>44896</v>
      </c>
      <c r="E103" s="98">
        <f>SUM(D103:D103)</f>
        <v>44896</v>
      </c>
      <c r="F103" s="99">
        <f>SUM(E103)</f>
        <v>44896</v>
      </c>
      <c r="G103" s="43"/>
      <c r="H103" s="43"/>
      <c r="I103" s="43"/>
    </row>
    <row r="104" spans="2:9" ht="13.5" customHeight="1" hidden="1">
      <c r="B104" s="96"/>
      <c r="C104" s="188"/>
      <c r="D104" s="188"/>
      <c r="E104" s="98"/>
      <c r="F104" s="99"/>
      <c r="G104" s="43"/>
      <c r="H104" s="43"/>
      <c r="I104" s="43"/>
    </row>
    <row r="105" spans="2:9" ht="13.5" customHeight="1" hidden="1" thickBot="1">
      <c r="B105" s="106"/>
      <c r="C105" s="188"/>
      <c r="D105" s="188"/>
      <c r="E105" s="188"/>
      <c r="F105" s="192"/>
      <c r="G105" s="105"/>
      <c r="H105" s="105"/>
      <c r="I105" s="105"/>
    </row>
    <row r="106" spans="2:8" ht="14.25" customHeight="1" hidden="1">
      <c r="B106" s="182" t="s">
        <v>62</v>
      </c>
      <c r="C106" s="202"/>
      <c r="D106" s="202"/>
      <c r="E106" s="202"/>
      <c r="F106" s="197"/>
      <c r="G106" s="43"/>
      <c r="H106" s="105"/>
    </row>
    <row r="107" spans="2:7" ht="14.25" customHeight="1" hidden="1">
      <c r="B107" s="330" t="s">
        <v>308</v>
      </c>
      <c r="C107" s="203" t="e">
        <f>SUM(C91+C94+C97)</f>
        <v>#REF!</v>
      </c>
      <c r="D107" s="203">
        <f>SUM(D91+D97)</f>
        <v>174250</v>
      </c>
      <c r="E107" s="203">
        <f>SUM(D107:D107)</f>
        <v>174250</v>
      </c>
      <c r="F107" s="198" t="e">
        <f>SUM(C107+E107)</f>
        <v>#REF!</v>
      </c>
      <c r="G107" s="43" t="e">
        <f>SUM(F91+F94+F97)</f>
        <v>#REF!</v>
      </c>
    </row>
    <row r="108" spans="2:7" ht="14.25" customHeight="1" hidden="1" thickBot="1">
      <c r="B108" s="107" t="s">
        <v>63</v>
      </c>
      <c r="C108" s="203"/>
      <c r="D108" s="203"/>
      <c r="E108" s="203"/>
      <c r="F108" s="199">
        <v>-243070</v>
      </c>
      <c r="G108" s="41"/>
    </row>
    <row r="109" spans="2:7" ht="14.25" customHeight="1" hidden="1" thickBot="1">
      <c r="B109" s="108" t="s">
        <v>64</v>
      </c>
      <c r="C109" s="205"/>
      <c r="D109" s="205"/>
      <c r="E109" s="205"/>
      <c r="F109" s="328" t="e">
        <f>SUM(F107+F108)</f>
        <v>#REF!</v>
      </c>
      <c r="G109" s="41"/>
    </row>
    <row r="110" spans="2:7" ht="14.25" customHeight="1" hidden="1">
      <c r="B110" s="109" t="s">
        <v>65</v>
      </c>
      <c r="C110" s="204"/>
      <c r="D110" s="204"/>
      <c r="E110" s="204"/>
      <c r="F110" s="200"/>
      <c r="G110" s="43"/>
    </row>
    <row r="111" spans="2:8" ht="14.25" customHeight="1" hidden="1">
      <c r="B111" s="330" t="s">
        <v>308</v>
      </c>
      <c r="C111" s="204">
        <f>SUM(C115+C117+C119+C121+C123+C125+C127+C128+C130)</f>
        <v>1259073</v>
      </c>
      <c r="D111" s="204">
        <f>SUM(D115+D117+D119+D121)</f>
        <v>174250</v>
      </c>
      <c r="E111" s="204">
        <f>SUM(D111:D111)</f>
        <v>174250</v>
      </c>
      <c r="F111" s="201">
        <f>SUM(C111+E111)</f>
        <v>1433323</v>
      </c>
      <c r="G111" s="43">
        <f>SUM(F115+F117+F119+F121+F123+F125+F127+F128+F130)</f>
        <v>1433323</v>
      </c>
      <c r="H111" s="105"/>
    </row>
    <row r="112" spans="2:7" ht="14.25" customHeight="1" hidden="1" thickBot="1">
      <c r="B112" s="110" t="s">
        <v>66</v>
      </c>
      <c r="C112" s="206"/>
      <c r="D112" s="206"/>
      <c r="E112" s="204"/>
      <c r="F112" s="198">
        <v>-243070</v>
      </c>
      <c r="G112" s="41"/>
    </row>
    <row r="113" spans="2:8" ht="14.25" customHeight="1" hidden="1" thickBot="1">
      <c r="B113" s="111" t="s">
        <v>67</v>
      </c>
      <c r="C113" s="205"/>
      <c r="D113" s="205"/>
      <c r="E113" s="205"/>
      <c r="F113" s="328">
        <f>SUM(F111+F112)</f>
        <v>1190253</v>
      </c>
      <c r="G113" s="43"/>
      <c r="H113" s="105"/>
    </row>
    <row r="114" spans="2:7" ht="13.5" customHeight="1" hidden="1">
      <c r="B114" s="94" t="s">
        <v>36</v>
      </c>
      <c r="C114" s="188"/>
      <c r="D114" s="188"/>
      <c r="E114" s="188"/>
      <c r="F114" s="192"/>
      <c r="G114" s="43"/>
    </row>
    <row r="115" spans="2:7" ht="13.5" customHeight="1" hidden="1">
      <c r="B115" s="95" t="s">
        <v>308</v>
      </c>
      <c r="C115" s="97">
        <f>38123+6133</f>
        <v>44256</v>
      </c>
      <c r="D115" s="103">
        <f>107196+2630</f>
        <v>109826</v>
      </c>
      <c r="E115" s="103">
        <f>SUM(D115:D115)</f>
        <v>109826</v>
      </c>
      <c r="F115" s="99">
        <f aca="true" t="shared" si="2" ref="F115:F122">SUM(C115+E115)</f>
        <v>154082</v>
      </c>
      <c r="G115" s="43"/>
    </row>
    <row r="116" spans="2:7" ht="17.25" customHeight="1" hidden="1">
      <c r="B116" s="112" t="s">
        <v>42</v>
      </c>
      <c r="C116" s="97"/>
      <c r="D116" s="103"/>
      <c r="E116" s="103"/>
      <c r="F116" s="99">
        <f t="shared" si="2"/>
        <v>0</v>
      </c>
      <c r="G116" s="41"/>
    </row>
    <row r="117" spans="2:7" ht="13.5" customHeight="1" hidden="1">
      <c r="B117" s="95" t="s">
        <v>308</v>
      </c>
      <c r="C117" s="97">
        <f>11240+1500</f>
        <v>12740</v>
      </c>
      <c r="D117" s="103">
        <f>29288+550</f>
        <v>29838</v>
      </c>
      <c r="E117" s="103">
        <f>SUM(D117:D117)</f>
        <v>29838</v>
      </c>
      <c r="F117" s="99">
        <f t="shared" si="2"/>
        <v>42578</v>
      </c>
      <c r="G117" s="41"/>
    </row>
    <row r="118" spans="2:7" ht="13.5" customHeight="1" hidden="1">
      <c r="B118" s="100" t="s">
        <v>43</v>
      </c>
      <c r="C118" s="97"/>
      <c r="D118" s="103"/>
      <c r="E118" s="103"/>
      <c r="F118" s="99">
        <f t="shared" si="2"/>
        <v>0</v>
      </c>
      <c r="G118" s="41"/>
    </row>
    <row r="119" spans="2:7" ht="13.5" customHeight="1" hidden="1">
      <c r="B119" s="95" t="s">
        <v>308</v>
      </c>
      <c r="C119" s="97">
        <f>104425+234+975+1067+200+725+400+300-8000+800+9315-3340+18550+31450-1500+8853</f>
        <v>164454</v>
      </c>
      <c r="D119" s="103">
        <f>29666+1020</f>
        <v>30686</v>
      </c>
      <c r="E119" s="103">
        <f>SUM(D119:D119)</f>
        <v>30686</v>
      </c>
      <c r="F119" s="99">
        <f t="shared" si="2"/>
        <v>195140</v>
      </c>
      <c r="G119" s="41"/>
    </row>
    <row r="120" spans="2:7" ht="25.5" customHeight="1" hidden="1">
      <c r="B120" s="329" t="s">
        <v>456</v>
      </c>
      <c r="C120" s="97"/>
      <c r="D120" s="103"/>
      <c r="E120" s="103"/>
      <c r="F120" s="99">
        <f t="shared" si="2"/>
        <v>0</v>
      </c>
      <c r="G120" s="41"/>
    </row>
    <row r="121" spans="2:7" ht="13.5" customHeight="1" hidden="1">
      <c r="B121" s="95" t="s">
        <v>308</v>
      </c>
      <c r="C121" s="97">
        <f>12026+330268+117937+41198-17250+49726+1676+16079-31450</f>
        <v>520210</v>
      </c>
      <c r="D121" s="103">
        <f>4200-300</f>
        <v>3900</v>
      </c>
      <c r="E121" s="103">
        <f>SUM(D121:D121)</f>
        <v>3900</v>
      </c>
      <c r="F121" s="99">
        <f t="shared" si="2"/>
        <v>524110</v>
      </c>
      <c r="G121" s="41"/>
    </row>
    <row r="122" spans="2:7" ht="13.5" customHeight="1" hidden="1">
      <c r="B122" s="113" t="s">
        <v>44</v>
      </c>
      <c r="C122" s="97"/>
      <c r="D122" s="103"/>
      <c r="E122" s="103"/>
      <c r="F122" s="99">
        <f t="shared" si="2"/>
        <v>0</v>
      </c>
      <c r="G122" s="41"/>
    </row>
    <row r="123" spans="2:7" ht="13.5" customHeight="1" hidden="1">
      <c r="B123" s="95" t="s">
        <v>308</v>
      </c>
      <c r="C123" s="97">
        <f>15350-6100</f>
        <v>9250</v>
      </c>
      <c r="D123" s="103"/>
      <c r="E123" s="103"/>
      <c r="F123" s="99">
        <f>SUM(C123)</f>
        <v>9250</v>
      </c>
      <c r="G123" s="41"/>
    </row>
    <row r="124" spans="2:7" ht="13.5" customHeight="1" hidden="1">
      <c r="B124" s="100" t="s">
        <v>45</v>
      </c>
      <c r="C124" s="97"/>
      <c r="D124" s="103"/>
      <c r="E124" s="103"/>
      <c r="F124" s="99"/>
      <c r="G124" s="41"/>
    </row>
    <row r="125" spans="2:7" ht="13.5" customHeight="1" hidden="1">
      <c r="B125" s="95" t="s">
        <v>308</v>
      </c>
      <c r="C125" s="97">
        <f>216330+1094+500</f>
        <v>217924</v>
      </c>
      <c r="D125" s="103"/>
      <c r="E125" s="103"/>
      <c r="F125" s="99">
        <f>SUM(C125)</f>
        <v>217924</v>
      </c>
      <c r="G125" s="41"/>
    </row>
    <row r="126" spans="2:7" ht="13.5" customHeight="1" hidden="1">
      <c r="B126" s="100" t="s">
        <v>68</v>
      </c>
      <c r="C126" s="97"/>
      <c r="D126" s="103"/>
      <c r="E126" s="103"/>
      <c r="F126" s="99"/>
      <c r="G126" s="41"/>
    </row>
    <row r="127" spans="2:7" ht="13.5" customHeight="1" hidden="1">
      <c r="B127" s="95" t="s">
        <v>308</v>
      </c>
      <c r="C127" s="97">
        <f>237934-1296+3900+154+150+2228</f>
        <v>243070</v>
      </c>
      <c r="D127" s="103"/>
      <c r="E127" s="103"/>
      <c r="F127" s="99">
        <f>SUM(C127)</f>
        <v>243070</v>
      </c>
      <c r="G127" s="41"/>
    </row>
    <row r="128" spans="2:7" ht="13.5" customHeight="1" hidden="1">
      <c r="B128" s="95"/>
      <c r="C128" s="97">
        <v>14478</v>
      </c>
      <c r="D128" s="103"/>
      <c r="E128" s="103"/>
      <c r="F128" s="99">
        <f>SUM(C128)</f>
        <v>14478</v>
      </c>
      <c r="G128" s="41"/>
    </row>
    <row r="129" spans="2:7" ht="13.5" customHeight="1" hidden="1">
      <c r="B129" s="114" t="s">
        <v>457</v>
      </c>
      <c r="C129" s="97"/>
      <c r="D129" s="103"/>
      <c r="E129" s="103"/>
      <c r="F129" s="99"/>
      <c r="G129" s="41"/>
    </row>
    <row r="130" spans="2:7" ht="13.5" customHeight="1" hidden="1" thickBot="1">
      <c r="B130" s="314" t="s">
        <v>308</v>
      </c>
      <c r="C130" s="381">
        <f>25714-3688-17135+10800+2799+500+2000+31454+14383+435-4877+500-14478-6133-1500-25603+17250+6100-3900-150-2228+448</f>
        <v>32691</v>
      </c>
      <c r="D130" s="193"/>
      <c r="E130" s="193"/>
      <c r="F130" s="316">
        <f>SUM(C130)</f>
        <v>32691</v>
      </c>
      <c r="G130" s="41"/>
    </row>
    <row r="131" ht="12.75" hidden="1"/>
    <row r="132" ht="12.75" hidden="1"/>
    <row r="133" ht="12.75" hidden="1"/>
    <row r="135" ht="12.75">
      <c r="C135" s="105"/>
    </row>
  </sheetData>
  <sheetProtection/>
  <mergeCells count="9">
    <mergeCell ref="F4:F5"/>
    <mergeCell ref="B88:B89"/>
    <mergeCell ref="C88:C89"/>
    <mergeCell ref="E88:E89"/>
    <mergeCell ref="F88:F89"/>
    <mergeCell ref="B2:F2"/>
    <mergeCell ref="B4:B5"/>
    <mergeCell ref="C4:C5"/>
    <mergeCell ref="E4:E5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0"/>
  <sheetViews>
    <sheetView zoomScale="90" zoomScaleNormal="90" zoomScalePageLayoutView="0" workbookViewId="0" topLeftCell="B20">
      <selection activeCell="H60" sqref="H60"/>
    </sheetView>
  </sheetViews>
  <sheetFormatPr defaultColWidth="9.00390625" defaultRowHeight="12.75"/>
  <cols>
    <col min="1" max="1" width="9.125" style="157" customWidth="1"/>
    <col min="2" max="2" width="38.875" style="0" customWidth="1"/>
    <col min="3" max="3" width="19.375" style="0" customWidth="1"/>
    <col min="4" max="4" width="16.375" style="0" customWidth="1"/>
    <col min="5" max="5" width="14.75390625" style="0" customWidth="1"/>
    <col min="6" max="6" width="15.25390625" style="0" customWidth="1"/>
    <col min="7" max="7" width="15.75390625" style="0" customWidth="1"/>
    <col min="8" max="8" width="19.625" style="0" customWidth="1"/>
    <col min="9" max="9" width="8.75390625" style="11" customWidth="1"/>
    <col min="10" max="10" width="0" style="0" hidden="1" customWidth="1"/>
  </cols>
  <sheetData>
    <row r="1" spans="2:8" ht="12.75">
      <c r="B1" s="5"/>
      <c r="C1" s="5"/>
      <c r="D1" s="5"/>
      <c r="E1" s="5"/>
      <c r="F1" s="5"/>
      <c r="G1" s="5"/>
      <c r="H1" s="75" t="s">
        <v>312</v>
      </c>
    </row>
    <row r="2" spans="2:8" ht="38.25" customHeight="1">
      <c r="B2" s="1012" t="s">
        <v>640</v>
      </c>
      <c r="C2" s="971"/>
      <c r="D2" s="971"/>
      <c r="E2" s="971"/>
      <c r="F2" s="971"/>
      <c r="G2" s="971"/>
      <c r="H2" s="971"/>
    </row>
    <row r="3" spans="2:8" ht="11.25" customHeight="1" thickBot="1">
      <c r="B3" s="5"/>
      <c r="C3" s="5"/>
      <c r="D3" s="5"/>
      <c r="E3" s="5"/>
      <c r="F3" s="5"/>
      <c r="G3" s="5"/>
      <c r="H3" s="75" t="s">
        <v>0</v>
      </c>
    </row>
    <row r="4" spans="2:9" ht="12.75" customHeight="1">
      <c r="B4" s="1013" t="s">
        <v>55</v>
      </c>
      <c r="C4" s="1015" t="s">
        <v>49</v>
      </c>
      <c r="D4" s="1017" t="s">
        <v>50</v>
      </c>
      <c r="E4" s="1018"/>
      <c r="F4" s="1018"/>
      <c r="G4" s="1019" t="s">
        <v>127</v>
      </c>
      <c r="H4" s="1021" t="s">
        <v>57</v>
      </c>
      <c r="I4" s="41"/>
    </row>
    <row r="5" spans="2:9" ht="30.75" customHeight="1" thickBot="1">
      <c r="B5" s="1014"/>
      <c r="C5" s="1016"/>
      <c r="D5" s="196" t="s">
        <v>58</v>
      </c>
      <c r="E5" s="93" t="s">
        <v>52</v>
      </c>
      <c r="F5" s="93" t="s">
        <v>59</v>
      </c>
      <c r="G5" s="1020"/>
      <c r="H5" s="1022"/>
      <c r="I5" s="41"/>
    </row>
    <row r="6" spans="2:9" ht="13.5" customHeight="1">
      <c r="B6" s="94" t="s">
        <v>572</v>
      </c>
      <c r="C6" s="188"/>
      <c r="D6" s="189"/>
      <c r="E6" s="189"/>
      <c r="F6" s="189"/>
      <c r="G6" s="189"/>
      <c r="H6" s="190"/>
      <c r="I6" s="41"/>
    </row>
    <row r="7" spans="2:10" ht="13.5" customHeight="1" hidden="1">
      <c r="B7" s="95" t="s">
        <v>308</v>
      </c>
      <c r="C7" s="191">
        <v>837274</v>
      </c>
      <c r="D7" s="98">
        <v>27769</v>
      </c>
      <c r="E7" s="191">
        <v>6600</v>
      </c>
      <c r="F7" s="98">
        <v>500</v>
      </c>
      <c r="G7" s="98">
        <f>SUM(D7:F7)</f>
        <v>34869</v>
      </c>
      <c r="H7" s="99">
        <f>SUM(C7+G7)</f>
        <v>872143</v>
      </c>
      <c r="I7" s="41"/>
      <c r="J7" s="105"/>
    </row>
    <row r="8" spans="2:10" ht="13.5" customHeight="1" hidden="1">
      <c r="B8" s="95" t="s">
        <v>504</v>
      </c>
      <c r="C8" s="191">
        <v>837274</v>
      </c>
      <c r="D8" s="98">
        <v>27769</v>
      </c>
      <c r="E8" s="191">
        <v>6600</v>
      </c>
      <c r="F8" s="98">
        <v>500</v>
      </c>
      <c r="G8" s="98">
        <f>SUM(D8:F8)</f>
        <v>34869</v>
      </c>
      <c r="H8" s="99">
        <f>SUM(C8+G8)</f>
        <v>872143</v>
      </c>
      <c r="I8" s="41"/>
      <c r="J8" s="105"/>
    </row>
    <row r="9" spans="2:10" ht="13.5" customHeight="1">
      <c r="B9" s="95" t="s">
        <v>638</v>
      </c>
      <c r="C9" s="567">
        <f>771919+1+203+701+4584+1531+13179+1480+2976+19913</f>
        <v>816487</v>
      </c>
      <c r="D9" s="568" t="e">
        <f>#REF!+#REF!</f>
        <v>#REF!</v>
      </c>
      <c r="E9" s="567" t="e">
        <f>#REF!</f>
        <v>#REF!</v>
      </c>
      <c r="F9" s="568" t="e">
        <f>#REF!</f>
        <v>#REF!</v>
      </c>
      <c r="G9" s="568" t="e">
        <f>SUM(D9:F9)</f>
        <v>#REF!</v>
      </c>
      <c r="H9" s="581" t="e">
        <f>SUM(C9+G9)</f>
        <v>#REF!</v>
      </c>
      <c r="I9" s="41"/>
      <c r="J9" s="415"/>
    </row>
    <row r="10" spans="2:9" ht="13.5" customHeight="1">
      <c r="B10" s="96"/>
      <c r="C10" s="567"/>
      <c r="D10" s="568"/>
      <c r="E10" s="568"/>
      <c r="F10" s="568"/>
      <c r="G10" s="568"/>
      <c r="H10" s="581"/>
      <c r="I10" s="41"/>
    </row>
    <row r="11" spans="2:10" ht="13.5" customHeight="1">
      <c r="B11" s="100" t="s">
        <v>480</v>
      </c>
      <c r="C11" s="569"/>
      <c r="D11" s="570"/>
      <c r="E11" s="570"/>
      <c r="F11" s="570"/>
      <c r="G11" s="570"/>
      <c r="H11" s="581"/>
      <c r="I11" s="41"/>
      <c r="J11" s="105"/>
    </row>
    <row r="12" spans="2:10" ht="13.5" customHeight="1">
      <c r="B12" s="95" t="s">
        <v>638</v>
      </c>
      <c r="C12" s="567" t="e">
        <f>SUM('3.felh'!#REF!)</f>
        <v>#REF!</v>
      </c>
      <c r="D12" s="570"/>
      <c r="E12" s="570"/>
      <c r="F12" s="570"/>
      <c r="G12" s="568">
        <f>SUM(D12:F12)</f>
        <v>0</v>
      </c>
      <c r="H12" s="581" t="e">
        <f>SUM(C12+G12)</f>
        <v>#REF!</v>
      </c>
      <c r="I12" s="41"/>
      <c r="J12" s="105"/>
    </row>
    <row r="13" spans="2:10" ht="13.5" customHeight="1">
      <c r="B13" s="96"/>
      <c r="C13" s="569"/>
      <c r="D13" s="570"/>
      <c r="E13" s="570"/>
      <c r="F13" s="570"/>
      <c r="G13" s="570"/>
      <c r="H13" s="581"/>
      <c r="I13" s="41"/>
      <c r="J13" s="105"/>
    </row>
    <row r="14" spans="2:11" ht="15.75" customHeight="1">
      <c r="B14" s="100" t="s">
        <v>60</v>
      </c>
      <c r="C14" s="569"/>
      <c r="D14" s="570"/>
      <c r="E14" s="570"/>
      <c r="F14" s="570"/>
      <c r="G14" s="570"/>
      <c r="H14" s="582"/>
      <c r="I14" s="43"/>
      <c r="K14" s="105"/>
    </row>
    <row r="15" spans="2:9" ht="14.25" customHeight="1" hidden="1">
      <c r="B15" s="95" t="s">
        <v>308</v>
      </c>
      <c r="C15" s="569"/>
      <c r="D15" s="568">
        <f aca="true" t="shared" si="0" ref="D15:F16">SUM(D22+D27)</f>
        <v>0</v>
      </c>
      <c r="E15" s="568">
        <f t="shared" si="0"/>
        <v>0</v>
      </c>
      <c r="F15" s="568">
        <f t="shared" si="0"/>
        <v>0</v>
      </c>
      <c r="G15" s="568">
        <f>SUM(D15:F15)</f>
        <v>0</v>
      </c>
      <c r="H15" s="581">
        <f>SUM(G15)</f>
        <v>0</v>
      </c>
      <c r="I15" s="41"/>
    </row>
    <row r="16" spans="2:9" ht="14.25" customHeight="1" hidden="1">
      <c r="B16" s="95" t="s">
        <v>504</v>
      </c>
      <c r="C16" s="569">
        <v>42000</v>
      </c>
      <c r="D16" s="568">
        <f t="shared" si="0"/>
        <v>0</v>
      </c>
      <c r="E16" s="568">
        <f t="shared" si="0"/>
        <v>0</v>
      </c>
      <c r="F16" s="568">
        <f t="shared" si="0"/>
        <v>0</v>
      </c>
      <c r="G16" s="568">
        <f>SUM(D16:F16)</f>
        <v>0</v>
      </c>
      <c r="H16" s="581">
        <f>SUM(G16)</f>
        <v>0</v>
      </c>
      <c r="I16" s="41"/>
    </row>
    <row r="17" spans="2:9" ht="14.25" customHeight="1">
      <c r="B17" s="95" t="s">
        <v>638</v>
      </c>
      <c r="C17" s="567">
        <f>SUM(C20+C24+C29)</f>
        <v>134067</v>
      </c>
      <c r="D17" s="568" t="e">
        <f>SUM(D24+D29+D20)</f>
        <v>#REF!</v>
      </c>
      <c r="E17" s="568" t="e">
        <f>SUM(E24+E29+E20)</f>
        <v>#REF!</v>
      </c>
      <c r="F17" s="568" t="e">
        <f>SUM(F24+F29+F20)</f>
        <v>#REF!</v>
      </c>
      <c r="G17" s="568" t="e">
        <f>SUM(D17:F17)</f>
        <v>#REF!</v>
      </c>
      <c r="H17" s="581" t="e">
        <f>SUM(C17+G17)</f>
        <v>#REF!</v>
      </c>
      <c r="I17" s="309" t="e">
        <f>SUM(G20+G24+G29)</f>
        <v>#REF!</v>
      </c>
    </row>
    <row r="18" spans="2:9" ht="14.25" customHeight="1">
      <c r="B18" s="96"/>
      <c r="C18" s="569"/>
      <c r="D18" s="568"/>
      <c r="E18" s="568"/>
      <c r="F18" s="568"/>
      <c r="G18" s="568"/>
      <c r="H18" s="581"/>
      <c r="I18" s="43"/>
    </row>
    <row r="19" spans="2:9" ht="14.25" customHeight="1">
      <c r="B19" s="413" t="s">
        <v>633</v>
      </c>
      <c r="C19" s="569"/>
      <c r="D19" s="568"/>
      <c r="E19" s="568"/>
      <c r="F19" s="568"/>
      <c r="G19" s="568"/>
      <c r="H19" s="581"/>
      <c r="I19" s="43"/>
    </row>
    <row r="20" spans="2:9" ht="14.25" customHeight="1">
      <c r="B20" s="96" t="s">
        <v>466</v>
      </c>
      <c r="C20" s="567">
        <v>134067</v>
      </c>
      <c r="D20" s="570" t="e">
        <f>#REF!</f>
        <v>#REF!</v>
      </c>
      <c r="E20" s="570" t="e">
        <f>#REF!</f>
        <v>#REF!</v>
      </c>
      <c r="F20" s="570" t="e">
        <f>#REF!</f>
        <v>#REF!</v>
      </c>
      <c r="G20" s="568" t="e">
        <f>SUM(D20:F20)</f>
        <v>#REF!</v>
      </c>
      <c r="H20" s="581" t="e">
        <f>SUM(C20+G20)</f>
        <v>#REF!</v>
      </c>
      <c r="I20" s="43"/>
    </row>
    <row r="21" spans="2:9" ht="24">
      <c r="B21" s="101" t="s">
        <v>126</v>
      </c>
      <c r="C21" s="569"/>
      <c r="D21" s="570"/>
      <c r="E21" s="570"/>
      <c r="F21" s="570"/>
      <c r="G21" s="570"/>
      <c r="H21" s="582"/>
      <c r="I21" s="102"/>
    </row>
    <row r="22" spans="2:11" ht="12.75" hidden="1">
      <c r="B22" s="95" t="s">
        <v>308</v>
      </c>
      <c r="C22" s="569"/>
      <c r="D22" s="570"/>
      <c r="E22" s="570"/>
      <c r="F22" s="570"/>
      <c r="G22" s="568"/>
      <c r="H22" s="581">
        <f>SUM(C22+G22)</f>
        <v>0</v>
      </c>
      <c r="I22" s="43"/>
      <c r="J22" s="43"/>
      <c r="K22" s="43"/>
    </row>
    <row r="23" spans="2:11" ht="12.75" hidden="1">
      <c r="B23" s="95" t="s">
        <v>504</v>
      </c>
      <c r="C23" s="569"/>
      <c r="D23" s="570"/>
      <c r="E23" s="570"/>
      <c r="F23" s="570"/>
      <c r="G23" s="568"/>
      <c r="H23" s="581">
        <f>SUM(C23+G23)</f>
        <v>0</v>
      </c>
      <c r="I23" s="43"/>
      <c r="J23" s="43"/>
      <c r="K23" s="43"/>
    </row>
    <row r="24" spans="2:11" ht="13.5" customHeight="1">
      <c r="B24" s="95" t="s">
        <v>638</v>
      </c>
      <c r="C24" s="569"/>
      <c r="D24" s="570" t="e">
        <f>#REF!</f>
        <v>#REF!</v>
      </c>
      <c r="E24" s="570" t="e">
        <f>#REF!</f>
        <v>#REF!</v>
      </c>
      <c r="F24" s="570" t="e">
        <f>#REF!</f>
        <v>#REF!</v>
      </c>
      <c r="G24" s="568" t="e">
        <f>SUM(D24:F24)</f>
        <v>#REF!</v>
      </c>
      <c r="H24" s="581" t="e">
        <f>SUM(C24+G24)</f>
        <v>#REF!</v>
      </c>
      <c r="I24" s="309" t="e">
        <f>SUM(G24+G29)</f>
        <v>#REF!</v>
      </c>
      <c r="J24" s="43"/>
      <c r="K24" s="43"/>
    </row>
    <row r="25" spans="2:11" ht="13.5" customHeight="1">
      <c r="B25" s="96"/>
      <c r="C25" s="569"/>
      <c r="D25" s="570"/>
      <c r="E25" s="570"/>
      <c r="F25" s="570"/>
      <c r="G25" s="568"/>
      <c r="H25" s="581"/>
      <c r="I25" s="43"/>
      <c r="J25" s="43"/>
      <c r="K25" s="43"/>
    </row>
    <row r="26" spans="2:11" ht="26.25" customHeight="1">
      <c r="B26" s="101" t="s">
        <v>61</v>
      </c>
      <c r="C26" s="569"/>
      <c r="D26" s="570"/>
      <c r="E26" s="570"/>
      <c r="F26" s="570"/>
      <c r="G26" s="570"/>
      <c r="H26" s="582"/>
      <c r="I26" s="41"/>
      <c r="J26" s="41"/>
      <c r="K26" s="41"/>
    </row>
    <row r="27" spans="2:11" ht="12.75" hidden="1">
      <c r="B27" s="95" t="s">
        <v>308</v>
      </c>
      <c r="C27" s="570"/>
      <c r="D27" s="570"/>
      <c r="E27" s="570"/>
      <c r="F27" s="570"/>
      <c r="G27" s="568"/>
      <c r="H27" s="581">
        <f>SUM(G27)</f>
        <v>0</v>
      </c>
      <c r="I27" s="43"/>
      <c r="J27" s="43"/>
      <c r="K27" s="43"/>
    </row>
    <row r="28" spans="2:11" ht="12.75" hidden="1">
      <c r="B28" s="95" t="s">
        <v>504</v>
      </c>
      <c r="C28" s="571"/>
      <c r="D28" s="570"/>
      <c r="E28" s="570"/>
      <c r="F28" s="570"/>
      <c r="G28" s="568"/>
      <c r="H28" s="581">
        <f>SUM(G28)</f>
        <v>0</v>
      </c>
      <c r="I28" s="43"/>
      <c r="J28" s="43"/>
      <c r="K28" s="43"/>
    </row>
    <row r="29" spans="2:11" ht="13.5" customHeight="1">
      <c r="B29" s="95" t="s">
        <v>638</v>
      </c>
      <c r="C29" s="571"/>
      <c r="D29" s="571">
        <f>16392+4000+1702+3999+379-655+5386+7290+1196</f>
        <v>39689</v>
      </c>
      <c r="E29" s="571">
        <f>2127+2505</f>
        <v>4632</v>
      </c>
      <c r="F29" s="571">
        <f>65628+1635+220+822+1404+1076</f>
        <v>70785</v>
      </c>
      <c r="G29" s="568">
        <f>SUM(D29:F29)</f>
        <v>115106</v>
      </c>
      <c r="H29" s="581">
        <f>SUM(G29)</f>
        <v>115106</v>
      </c>
      <c r="I29" s="43"/>
      <c r="J29" s="43"/>
      <c r="K29" s="43"/>
    </row>
    <row r="30" spans="2:11" ht="13.5" customHeight="1">
      <c r="B30" s="96"/>
      <c r="C30" s="571"/>
      <c r="D30" s="571"/>
      <c r="E30" s="571"/>
      <c r="F30" s="571"/>
      <c r="G30" s="568"/>
      <c r="H30" s="581"/>
      <c r="I30" s="43"/>
      <c r="J30" s="43"/>
      <c r="K30" s="43"/>
    </row>
    <row r="31" spans="2:11" ht="13.5" customHeight="1" thickBot="1">
      <c r="B31" s="106"/>
      <c r="C31" s="571"/>
      <c r="D31" s="571"/>
      <c r="E31" s="571"/>
      <c r="F31" s="571"/>
      <c r="G31" s="571"/>
      <c r="H31" s="583"/>
      <c r="I31" s="105"/>
      <c r="J31" s="105"/>
      <c r="K31" s="105"/>
    </row>
    <row r="32" spans="2:10" ht="14.25" customHeight="1">
      <c r="B32" s="182" t="s">
        <v>62</v>
      </c>
      <c r="C32" s="572"/>
      <c r="D32" s="572"/>
      <c r="E32" s="572"/>
      <c r="F32" s="572"/>
      <c r="G32" s="572"/>
      <c r="H32" s="584"/>
      <c r="I32" s="43"/>
      <c r="J32" s="105"/>
    </row>
    <row r="33" spans="2:9" ht="14.25" customHeight="1" hidden="1">
      <c r="B33" s="330" t="s">
        <v>308</v>
      </c>
      <c r="C33" s="573" t="e">
        <f>SUM(C7+#REF!)</f>
        <v>#REF!</v>
      </c>
      <c r="D33" s="573">
        <f aca="true" t="shared" si="1" ref="D33:F35">SUM(D7+D15)</f>
        <v>27769</v>
      </c>
      <c r="E33" s="573">
        <f t="shared" si="1"/>
        <v>6600</v>
      </c>
      <c r="F33" s="573">
        <f t="shared" si="1"/>
        <v>500</v>
      </c>
      <c r="G33" s="573">
        <f>SUM(D33:F33)</f>
        <v>34869</v>
      </c>
      <c r="H33" s="585" t="e">
        <f>SUM(C33+G33)</f>
        <v>#REF!</v>
      </c>
      <c r="I33" s="43"/>
    </row>
    <row r="34" spans="2:9" ht="14.25" customHeight="1" hidden="1">
      <c r="B34" s="383" t="s">
        <v>504</v>
      </c>
      <c r="C34" s="573" t="e">
        <f>SUM(C8+#REF!+C16)</f>
        <v>#REF!</v>
      </c>
      <c r="D34" s="573">
        <f t="shared" si="1"/>
        <v>27769</v>
      </c>
      <c r="E34" s="573">
        <f t="shared" si="1"/>
        <v>6600</v>
      </c>
      <c r="F34" s="573">
        <f t="shared" si="1"/>
        <v>500</v>
      </c>
      <c r="G34" s="573">
        <f>SUM(D34:F34)</f>
        <v>34869</v>
      </c>
      <c r="H34" s="585" t="e">
        <f>SUM(C34+G34)</f>
        <v>#REF!</v>
      </c>
      <c r="I34" s="43"/>
    </row>
    <row r="35" spans="2:10" ht="14.25" customHeight="1">
      <c r="B35" s="414" t="s">
        <v>638</v>
      </c>
      <c r="C35" s="573" t="e">
        <f>SUM(C9+C17+C12)</f>
        <v>#REF!</v>
      </c>
      <c r="D35" s="573" t="e">
        <f t="shared" si="1"/>
        <v>#REF!</v>
      </c>
      <c r="E35" s="573" t="e">
        <f t="shared" si="1"/>
        <v>#REF!</v>
      </c>
      <c r="F35" s="573" t="e">
        <f t="shared" si="1"/>
        <v>#REF!</v>
      </c>
      <c r="G35" s="573" t="e">
        <f>SUM(D35:F35)</f>
        <v>#REF!</v>
      </c>
      <c r="H35" s="585" t="e">
        <f>SUM(C35+G35)</f>
        <v>#REF!</v>
      </c>
      <c r="I35" s="309" t="e">
        <f>SUM(H9+H17+H12)</f>
        <v>#REF!</v>
      </c>
      <c r="J35" s="415" t="e">
        <f>SUM(G17+G9)</f>
        <v>#REF!</v>
      </c>
    </row>
    <row r="36" spans="2:9" ht="14.25" customHeight="1">
      <c r="B36" s="384" t="s">
        <v>63</v>
      </c>
      <c r="C36" s="574"/>
      <c r="D36" s="574"/>
      <c r="E36" s="574"/>
      <c r="F36" s="574"/>
      <c r="G36" s="574"/>
      <c r="H36" s="586"/>
      <c r="I36" s="41"/>
    </row>
    <row r="37" spans="2:9" ht="14.25" customHeight="1" hidden="1">
      <c r="B37" s="107" t="s">
        <v>491</v>
      </c>
      <c r="C37" s="574"/>
      <c r="D37" s="574"/>
      <c r="E37" s="574"/>
      <c r="F37" s="574"/>
      <c r="G37" s="574"/>
      <c r="H37" s="586">
        <f>-G23-G28</f>
        <v>0</v>
      </c>
      <c r="I37" s="41"/>
    </row>
    <row r="38" spans="2:9" ht="14.25" customHeight="1" thickBot="1">
      <c r="B38" s="414" t="s">
        <v>638</v>
      </c>
      <c r="C38" s="575"/>
      <c r="D38" s="575"/>
      <c r="E38" s="575"/>
      <c r="F38" s="575"/>
      <c r="G38" s="575"/>
      <c r="H38" s="586" t="e">
        <f>-G24-G29</f>
        <v>#REF!</v>
      </c>
      <c r="I38" s="41"/>
    </row>
    <row r="39" spans="2:9" ht="14.25" customHeight="1" thickBot="1">
      <c r="B39" s="108" t="s">
        <v>64</v>
      </c>
      <c r="C39" s="576"/>
      <c r="D39" s="576"/>
      <c r="E39" s="576"/>
      <c r="F39" s="576"/>
      <c r="G39" s="576"/>
      <c r="H39" s="587" t="e">
        <f>SUM(H35+H38)</f>
        <v>#REF!</v>
      </c>
      <c r="I39" s="41"/>
    </row>
    <row r="40" spans="2:9" ht="14.25" customHeight="1">
      <c r="B40" s="109" t="s">
        <v>65</v>
      </c>
      <c r="C40" s="574"/>
      <c r="D40" s="574"/>
      <c r="E40" s="574"/>
      <c r="F40" s="574"/>
      <c r="G40" s="574"/>
      <c r="H40" s="588"/>
      <c r="I40" s="43"/>
    </row>
    <row r="41" spans="2:10" ht="12.75" hidden="1">
      <c r="B41" s="330" t="s">
        <v>308</v>
      </c>
      <c r="C41" s="574"/>
      <c r="D41" s="574"/>
      <c r="E41" s="574"/>
      <c r="F41" s="574"/>
      <c r="G41" s="574"/>
      <c r="H41" s="586"/>
      <c r="I41" s="43"/>
      <c r="J41" s="105"/>
    </row>
    <row r="42" spans="2:10" ht="12.75" hidden="1">
      <c r="B42" s="383" t="s">
        <v>504</v>
      </c>
      <c r="C42" s="574"/>
      <c r="D42" s="574"/>
      <c r="E42" s="574"/>
      <c r="F42" s="574"/>
      <c r="G42" s="574"/>
      <c r="H42" s="586"/>
      <c r="I42" s="43"/>
      <c r="J42" s="105"/>
    </row>
    <row r="43" spans="2:10" ht="14.25" customHeight="1">
      <c r="B43" s="414" t="s">
        <v>638</v>
      </c>
      <c r="C43" s="574" t="e">
        <f>SUM(C48+C52+C56+C60+C64+C68+C72+C73+C77)</f>
        <v>#REF!</v>
      </c>
      <c r="D43" s="574" t="e">
        <f>SUM(D48+D52+D56+D60)</f>
        <v>#REF!</v>
      </c>
      <c r="E43" s="574" t="e">
        <f>SUM(E48+E52+E56+E60)</f>
        <v>#REF!</v>
      </c>
      <c r="F43" s="574" t="e">
        <f>SUM(F48+F52+F56+F60)</f>
        <v>#REF!</v>
      </c>
      <c r="G43" s="574" t="e">
        <f>SUM(G48+G52+G56+G60)</f>
        <v>#REF!</v>
      </c>
      <c r="H43" s="586" t="e">
        <f>SUM(C43+G43)</f>
        <v>#REF!</v>
      </c>
      <c r="I43" s="309"/>
      <c r="J43" s="415" t="e">
        <f>SUM(G48+G52+G56+G60)</f>
        <v>#REF!</v>
      </c>
    </row>
    <row r="44" spans="2:9" ht="13.5" thickBot="1">
      <c r="B44" s="384" t="s">
        <v>63</v>
      </c>
      <c r="C44" s="574"/>
      <c r="D44" s="574"/>
      <c r="E44" s="574"/>
      <c r="F44" s="574"/>
      <c r="G44" s="574"/>
      <c r="H44" s="586" t="e">
        <f>SUM(H38)</f>
        <v>#REF!</v>
      </c>
      <c r="I44" s="41"/>
    </row>
    <row r="45" spans="2:9" ht="13.5" hidden="1" thickBot="1">
      <c r="B45" s="107" t="s">
        <v>491</v>
      </c>
      <c r="C45" s="577"/>
      <c r="D45" s="577"/>
      <c r="E45" s="577"/>
      <c r="F45" s="577"/>
      <c r="G45" s="577"/>
      <c r="H45" s="588"/>
      <c r="I45" s="41"/>
    </row>
    <row r="46" spans="2:10" ht="14.25" customHeight="1" thickBot="1">
      <c r="B46" s="111" t="s">
        <v>67</v>
      </c>
      <c r="C46" s="576"/>
      <c r="D46" s="576"/>
      <c r="E46" s="576"/>
      <c r="F46" s="576"/>
      <c r="G46" s="576"/>
      <c r="H46" s="587" t="e">
        <f>SUM(H43+H44)</f>
        <v>#REF!</v>
      </c>
      <c r="I46" s="43"/>
      <c r="J46" s="105"/>
    </row>
    <row r="47" spans="2:9" ht="13.5" customHeight="1">
      <c r="B47" s="94" t="s">
        <v>36</v>
      </c>
      <c r="C47" s="571"/>
      <c r="D47" s="571"/>
      <c r="E47" s="571"/>
      <c r="F47" s="571"/>
      <c r="G47" s="571"/>
      <c r="H47" s="583"/>
      <c r="I47" s="43"/>
    </row>
    <row r="48" spans="2:9" ht="13.5" customHeight="1">
      <c r="B48" s="543" t="s">
        <v>638</v>
      </c>
      <c r="C48" s="569">
        <f>'8.Önk jav. mód.. '!N30</f>
        <v>46800</v>
      </c>
      <c r="D48" s="570" t="e">
        <f>#REF!</f>
        <v>#REF!</v>
      </c>
      <c r="E48" s="570" t="e">
        <f>#REF!</f>
        <v>#REF!</v>
      </c>
      <c r="F48" s="570" t="e">
        <f>#REF!</f>
        <v>#REF!</v>
      </c>
      <c r="G48" s="570" t="e">
        <f aca="true" t="shared" si="2" ref="G48:G60">SUM(D48:F48)</f>
        <v>#REF!</v>
      </c>
      <c r="H48" s="581" t="e">
        <f aca="true" t="shared" si="3" ref="H48:H60">SUM(C48+G48)</f>
        <v>#REF!</v>
      </c>
      <c r="I48" s="43"/>
    </row>
    <row r="49" spans="2:9" ht="17.25" customHeight="1">
      <c r="B49" s="112" t="s">
        <v>674</v>
      </c>
      <c r="C49" s="570"/>
      <c r="D49" s="570"/>
      <c r="E49" s="570"/>
      <c r="F49" s="570"/>
      <c r="G49" s="570"/>
      <c r="H49" s="581"/>
      <c r="I49" s="41"/>
    </row>
    <row r="50" spans="2:9" ht="13.5" customHeight="1" hidden="1">
      <c r="B50" s="95" t="s">
        <v>308</v>
      </c>
      <c r="C50" s="570"/>
      <c r="D50" s="570"/>
      <c r="E50" s="570"/>
      <c r="F50" s="570"/>
      <c r="G50" s="570">
        <f t="shared" si="2"/>
        <v>0</v>
      </c>
      <c r="H50" s="581">
        <f t="shared" si="3"/>
        <v>0</v>
      </c>
      <c r="I50" s="41"/>
    </row>
    <row r="51" spans="2:9" ht="13.5" customHeight="1" hidden="1">
      <c r="B51" s="95" t="s">
        <v>504</v>
      </c>
      <c r="C51" s="570"/>
      <c r="D51" s="570"/>
      <c r="E51" s="570"/>
      <c r="F51" s="570"/>
      <c r="G51" s="570">
        <f t="shared" si="2"/>
        <v>0</v>
      </c>
      <c r="H51" s="581">
        <f t="shared" si="3"/>
        <v>0</v>
      </c>
      <c r="I51" s="41"/>
    </row>
    <row r="52" spans="2:9" ht="13.5" customHeight="1">
      <c r="B52" s="95" t="s">
        <v>638</v>
      </c>
      <c r="C52" s="569">
        <f>'8.Önk jav. mód.. '!N34</f>
        <v>13749</v>
      </c>
      <c r="D52" s="570" t="e">
        <f>#REF!</f>
        <v>#REF!</v>
      </c>
      <c r="E52" s="570" t="e">
        <f>#REF!</f>
        <v>#REF!</v>
      </c>
      <c r="F52" s="570" t="e">
        <f>#REF!</f>
        <v>#REF!</v>
      </c>
      <c r="G52" s="570" t="e">
        <f>SUM(D52:F52)</f>
        <v>#REF!</v>
      </c>
      <c r="H52" s="581" t="e">
        <f t="shared" si="3"/>
        <v>#REF!</v>
      </c>
      <c r="I52" s="41"/>
    </row>
    <row r="53" spans="2:9" ht="13.5" customHeight="1">
      <c r="B53" s="100" t="s">
        <v>43</v>
      </c>
      <c r="C53" s="570"/>
      <c r="D53" s="570"/>
      <c r="E53" s="570"/>
      <c r="F53" s="570"/>
      <c r="G53" s="570"/>
      <c r="H53" s="581"/>
      <c r="I53" s="41"/>
    </row>
    <row r="54" spans="2:9" ht="13.5" customHeight="1" hidden="1">
      <c r="B54" s="95" t="s">
        <v>308</v>
      </c>
      <c r="C54" s="570"/>
      <c r="D54" s="570"/>
      <c r="E54" s="570"/>
      <c r="F54" s="570"/>
      <c r="G54" s="570">
        <f t="shared" si="2"/>
        <v>0</v>
      </c>
      <c r="H54" s="581">
        <f t="shared" si="3"/>
        <v>0</v>
      </c>
      <c r="I54" s="41"/>
    </row>
    <row r="55" spans="2:9" ht="13.5" customHeight="1" hidden="1">
      <c r="B55" s="95" t="s">
        <v>504</v>
      </c>
      <c r="C55" s="570"/>
      <c r="D55" s="570"/>
      <c r="E55" s="570"/>
      <c r="F55" s="570"/>
      <c r="G55" s="570">
        <f t="shared" si="2"/>
        <v>0</v>
      </c>
      <c r="H55" s="581">
        <f t="shared" si="3"/>
        <v>0</v>
      </c>
      <c r="I55" s="41"/>
    </row>
    <row r="56" spans="2:9" ht="13.5" customHeight="1">
      <c r="B56" s="95" t="s">
        <v>638</v>
      </c>
      <c r="C56" s="569">
        <f>'8.Önk jav. mód.. '!N119</f>
        <v>190766</v>
      </c>
      <c r="D56" s="570" t="e">
        <f>#REF!</f>
        <v>#REF!</v>
      </c>
      <c r="E56" s="570" t="e">
        <f>#REF!</f>
        <v>#REF!</v>
      </c>
      <c r="F56" s="570" t="e">
        <f>#REF!</f>
        <v>#REF!</v>
      </c>
      <c r="G56" s="570" t="e">
        <f t="shared" si="2"/>
        <v>#REF!</v>
      </c>
      <c r="H56" s="581" t="e">
        <f t="shared" si="3"/>
        <v>#REF!</v>
      </c>
      <c r="I56" s="41"/>
    </row>
    <row r="57" spans="2:9" ht="25.5" customHeight="1">
      <c r="B57" s="329" t="s">
        <v>456</v>
      </c>
      <c r="C57" s="570"/>
      <c r="D57" s="570"/>
      <c r="E57" s="570"/>
      <c r="F57" s="570"/>
      <c r="G57" s="570"/>
      <c r="H57" s="581"/>
      <c r="I57" s="41"/>
    </row>
    <row r="58" spans="2:9" ht="13.5" customHeight="1" hidden="1">
      <c r="B58" s="95" t="s">
        <v>308</v>
      </c>
      <c r="C58" s="570"/>
      <c r="D58" s="570"/>
      <c r="E58" s="570"/>
      <c r="F58" s="570"/>
      <c r="G58" s="570">
        <f t="shared" si="2"/>
        <v>0</v>
      </c>
      <c r="H58" s="581">
        <f t="shared" si="3"/>
        <v>0</v>
      </c>
      <c r="I58" s="41"/>
    </row>
    <row r="59" spans="2:9" ht="13.5" customHeight="1" hidden="1">
      <c r="B59" s="95" t="s">
        <v>504</v>
      </c>
      <c r="C59" s="570"/>
      <c r="D59" s="570"/>
      <c r="E59" s="570"/>
      <c r="F59" s="570"/>
      <c r="G59" s="570">
        <f t="shared" si="2"/>
        <v>0</v>
      </c>
      <c r="H59" s="581">
        <f t="shared" si="3"/>
        <v>0</v>
      </c>
      <c r="I59" s="41"/>
    </row>
    <row r="60" spans="2:9" ht="13.5" customHeight="1">
      <c r="B60" s="95" t="s">
        <v>638</v>
      </c>
      <c r="C60" s="569" t="e">
        <f>'3.felh'!#REF!+'3.felh'!#REF!+'3.felh'!#REF!</f>
        <v>#REF!</v>
      </c>
      <c r="D60" s="570" t="e">
        <f>#REF!</f>
        <v>#REF!</v>
      </c>
      <c r="E60" s="570" t="e">
        <f>#REF!</f>
        <v>#REF!</v>
      </c>
      <c r="F60" s="570" t="e">
        <f>#REF!</f>
        <v>#REF!</v>
      </c>
      <c r="G60" s="570" t="e">
        <f t="shared" si="2"/>
        <v>#REF!</v>
      </c>
      <c r="H60" s="581" t="e">
        <f t="shared" si="3"/>
        <v>#REF!</v>
      </c>
      <c r="I60" s="41"/>
    </row>
    <row r="61" spans="2:9" ht="13.5" customHeight="1">
      <c r="B61" s="113" t="s">
        <v>44</v>
      </c>
      <c r="C61" s="570"/>
      <c r="D61" s="570"/>
      <c r="E61" s="570"/>
      <c r="F61" s="570"/>
      <c r="G61" s="570"/>
      <c r="H61" s="581"/>
      <c r="I61" s="41"/>
    </row>
    <row r="62" spans="2:9" ht="13.5" customHeight="1" hidden="1">
      <c r="B62" s="95" t="s">
        <v>308</v>
      </c>
      <c r="C62" s="570"/>
      <c r="D62" s="570"/>
      <c r="E62" s="570"/>
      <c r="F62" s="570"/>
      <c r="G62" s="570"/>
      <c r="H62" s="581">
        <f>SUM(C62)</f>
        <v>0</v>
      </c>
      <c r="I62" s="41"/>
    </row>
    <row r="63" spans="2:9" ht="13.5" customHeight="1" hidden="1">
      <c r="B63" s="95" t="s">
        <v>504</v>
      </c>
      <c r="C63" s="570"/>
      <c r="D63" s="570"/>
      <c r="E63" s="570"/>
      <c r="F63" s="570"/>
      <c r="G63" s="570"/>
      <c r="H63" s="581">
        <f>SUM(C63)</f>
        <v>0</v>
      </c>
      <c r="I63" s="41"/>
    </row>
    <row r="64" spans="2:9" ht="13.5" customHeight="1">
      <c r="B64" s="95" t="s">
        <v>466</v>
      </c>
      <c r="C64" s="569">
        <f>'8.Önk jav. mód.. '!N120</f>
        <v>9350</v>
      </c>
      <c r="D64" s="570"/>
      <c r="E64" s="570"/>
      <c r="F64" s="570"/>
      <c r="G64" s="570"/>
      <c r="H64" s="581">
        <f>SUM(C64)</f>
        <v>9350</v>
      </c>
      <c r="I64" s="41"/>
    </row>
    <row r="65" spans="2:9" ht="13.5" customHeight="1">
      <c r="B65" s="100" t="s">
        <v>45</v>
      </c>
      <c r="C65" s="570"/>
      <c r="D65" s="570"/>
      <c r="E65" s="570"/>
      <c r="F65" s="570"/>
      <c r="G65" s="570"/>
      <c r="H65" s="581"/>
      <c r="I65" s="41"/>
    </row>
    <row r="66" spans="2:9" ht="13.5" customHeight="1" hidden="1">
      <c r="B66" s="95" t="s">
        <v>308</v>
      </c>
      <c r="C66" s="570"/>
      <c r="D66" s="570"/>
      <c r="E66" s="570"/>
      <c r="F66" s="570"/>
      <c r="G66" s="570"/>
      <c r="H66" s="581">
        <f>SUM(C66)</f>
        <v>0</v>
      </c>
      <c r="I66" s="41"/>
    </row>
    <row r="67" spans="2:9" ht="13.5" customHeight="1" hidden="1">
      <c r="B67" s="95" t="s">
        <v>504</v>
      </c>
      <c r="C67" s="570"/>
      <c r="D67" s="570"/>
      <c r="E67" s="570"/>
      <c r="F67" s="570"/>
      <c r="G67" s="570"/>
      <c r="H67" s="581">
        <f>SUM(C67)</f>
        <v>0</v>
      </c>
      <c r="I67" s="41"/>
    </row>
    <row r="68" spans="2:9" ht="13.5" customHeight="1">
      <c r="B68" s="95" t="s">
        <v>638</v>
      </c>
      <c r="C68" s="569" t="e">
        <f>'4. Átadott p.eszk.'!#REF!</f>
        <v>#REF!</v>
      </c>
      <c r="D68" s="570"/>
      <c r="E68" s="570"/>
      <c r="F68" s="570"/>
      <c r="G68" s="570"/>
      <c r="H68" s="581" t="e">
        <f>SUM(C68)</f>
        <v>#REF!</v>
      </c>
      <c r="I68" s="41"/>
    </row>
    <row r="69" spans="2:9" ht="13.5" customHeight="1">
      <c r="B69" s="100" t="s">
        <v>68</v>
      </c>
      <c r="C69" s="570"/>
      <c r="D69" s="570"/>
      <c r="E69" s="570"/>
      <c r="F69" s="570"/>
      <c r="G69" s="570"/>
      <c r="H69" s="581"/>
      <c r="I69" s="41"/>
    </row>
    <row r="70" spans="2:9" ht="13.5" customHeight="1" hidden="1">
      <c r="B70" s="95" t="s">
        <v>308</v>
      </c>
      <c r="C70" s="570"/>
      <c r="D70" s="570"/>
      <c r="E70" s="570"/>
      <c r="F70" s="570"/>
      <c r="G70" s="570"/>
      <c r="H70" s="581">
        <f>SUM(C70)</f>
        <v>0</v>
      </c>
      <c r="I70" s="41"/>
    </row>
    <row r="71" spans="2:9" ht="13.5" customHeight="1" hidden="1">
      <c r="B71" s="95" t="s">
        <v>504</v>
      </c>
      <c r="C71" s="570"/>
      <c r="D71" s="570"/>
      <c r="E71" s="570"/>
      <c r="F71" s="570"/>
      <c r="G71" s="570"/>
      <c r="H71" s="581">
        <f aca="true" t="shared" si="4" ref="H71:H76">SUM(C71)</f>
        <v>0</v>
      </c>
      <c r="I71" s="41"/>
    </row>
    <row r="72" spans="2:9" ht="13.5" customHeight="1">
      <c r="B72" s="95" t="s">
        <v>638</v>
      </c>
      <c r="C72" s="569" t="e">
        <f>'1.Bev-kiad.'!#REF!+'7.finanszírozás jav. mód..'!G24+'7.finanszírozás jav. mód..'!G29</f>
        <v>#REF!</v>
      </c>
      <c r="D72" s="570"/>
      <c r="E72" s="570"/>
      <c r="F72" s="570"/>
      <c r="G72" s="570"/>
      <c r="H72" s="581" t="e">
        <f t="shared" si="4"/>
        <v>#REF!</v>
      </c>
      <c r="I72" s="41"/>
    </row>
    <row r="73" spans="2:9" ht="13.5" customHeight="1" hidden="1">
      <c r="B73" s="95"/>
      <c r="C73" s="570"/>
      <c r="D73" s="570"/>
      <c r="E73" s="570"/>
      <c r="F73" s="570"/>
      <c r="G73" s="570"/>
      <c r="H73" s="581">
        <f t="shared" si="4"/>
        <v>0</v>
      </c>
      <c r="I73" s="41"/>
    </row>
    <row r="74" spans="2:9" ht="13.5" customHeight="1">
      <c r="B74" s="114" t="s">
        <v>457</v>
      </c>
      <c r="C74" s="570"/>
      <c r="D74" s="570"/>
      <c r="E74" s="570"/>
      <c r="F74" s="570"/>
      <c r="G74" s="570"/>
      <c r="H74" s="581"/>
      <c r="I74" s="41"/>
    </row>
    <row r="75" spans="2:9" ht="13.5" customHeight="1" hidden="1">
      <c r="B75" s="95" t="s">
        <v>308</v>
      </c>
      <c r="C75" s="578"/>
      <c r="D75" s="578"/>
      <c r="E75" s="578"/>
      <c r="F75" s="578"/>
      <c r="G75" s="578"/>
      <c r="H75" s="581">
        <f t="shared" si="4"/>
        <v>0</v>
      </c>
      <c r="I75" s="41"/>
    </row>
    <row r="76" spans="2:9" ht="13.5" customHeight="1" hidden="1">
      <c r="B76" s="95" t="s">
        <v>504</v>
      </c>
      <c r="C76" s="578"/>
      <c r="D76" s="578"/>
      <c r="E76" s="578"/>
      <c r="F76" s="578"/>
      <c r="G76" s="578"/>
      <c r="H76" s="581">
        <f t="shared" si="4"/>
        <v>0</v>
      </c>
      <c r="I76" s="41"/>
    </row>
    <row r="77" spans="2:9" ht="13.5" customHeight="1" thickBot="1">
      <c r="B77" s="314" t="s">
        <v>638</v>
      </c>
      <c r="C77" s="579" t="e">
        <f>'2.működés'!#REF!+'2.működés'!#REF!+'3.felh'!#REF!</f>
        <v>#REF!</v>
      </c>
      <c r="D77" s="580"/>
      <c r="E77" s="580"/>
      <c r="F77" s="580"/>
      <c r="G77" s="580"/>
      <c r="H77" s="589" t="e">
        <f>SUM(C77)</f>
        <v>#REF!</v>
      </c>
      <c r="I77" s="41"/>
    </row>
    <row r="78" spans="3:4" ht="12.75">
      <c r="C78" s="11"/>
      <c r="D78" s="11"/>
    </row>
    <row r="79" spans="3:4" ht="12.75" hidden="1">
      <c r="C79" s="51" t="e">
        <f>SUM(C48+C52+C56+C60+C64+C68)</f>
        <v>#REF!</v>
      </c>
      <c r="D79" s="51" t="e">
        <f>SUM(C48+C52+C56+C64+C68)</f>
        <v>#REF!</v>
      </c>
    </row>
    <row r="80" ht="12.75">
      <c r="C80" s="105"/>
    </row>
    <row r="81" ht="12.75" hidden="1"/>
    <row r="82" spans="3:7" ht="12.75" hidden="1">
      <c r="C82" s="105"/>
      <c r="D82" s="105"/>
      <c r="E82" s="105"/>
      <c r="F82" s="105"/>
      <c r="G82" s="105"/>
    </row>
    <row r="83" spans="1:9" s="364" customFormat="1" ht="12.75" customHeight="1" hidden="1">
      <c r="A83" s="382"/>
      <c r="B83" s="1023" t="s">
        <v>55</v>
      </c>
      <c r="C83" s="1025" t="s">
        <v>49</v>
      </c>
      <c r="D83" s="1027" t="s">
        <v>50</v>
      </c>
      <c r="E83" s="1028"/>
      <c r="F83" s="1029"/>
      <c r="G83" s="1025" t="s">
        <v>127</v>
      </c>
      <c r="H83" s="1030" t="s">
        <v>57</v>
      </c>
      <c r="I83" s="41"/>
    </row>
    <row r="84" spans="1:9" s="364" customFormat="1" ht="30.75" customHeight="1" hidden="1" thickBot="1">
      <c r="A84" s="382"/>
      <c r="B84" s="1024"/>
      <c r="C84" s="1026"/>
      <c r="D84" s="196" t="s">
        <v>58</v>
      </c>
      <c r="E84" s="93" t="s">
        <v>52</v>
      </c>
      <c r="F84" s="93" t="s">
        <v>59</v>
      </c>
      <c r="G84" s="1026"/>
      <c r="H84" s="1031"/>
      <c r="I84" s="41"/>
    </row>
    <row r="85" spans="2:9" ht="13.5" customHeight="1" hidden="1">
      <c r="B85" s="94" t="s">
        <v>472</v>
      </c>
      <c r="C85" s="188"/>
      <c r="D85" s="189"/>
      <c r="E85" s="189"/>
      <c r="F85" s="189"/>
      <c r="G85" s="189"/>
      <c r="H85" s="190"/>
      <c r="I85" s="41"/>
    </row>
    <row r="86" spans="2:10" ht="13.5" customHeight="1" hidden="1">
      <c r="B86" s="95" t="s">
        <v>308</v>
      </c>
      <c r="C86" s="97" t="e">
        <f>C106-C89-C92</f>
        <v>#REF!</v>
      </c>
      <c r="D86" s="98">
        <f>26969+800+345+5+200</f>
        <v>28319</v>
      </c>
      <c r="E86" s="98">
        <f>2600+4000</f>
        <v>6600</v>
      </c>
      <c r="F86" s="98">
        <f>500+746</f>
        <v>1246</v>
      </c>
      <c r="G86" s="98">
        <f>SUM(D86:F86)</f>
        <v>36165</v>
      </c>
      <c r="H86" s="99" t="e">
        <f>SUM(C86+G86)</f>
        <v>#REF!</v>
      </c>
      <c r="I86" s="41"/>
      <c r="J86" s="105"/>
    </row>
    <row r="87" spans="2:9" ht="13.5" customHeight="1" hidden="1">
      <c r="B87" s="96"/>
      <c r="C87" s="97"/>
      <c r="D87" s="98"/>
      <c r="E87" s="98"/>
      <c r="F87" s="98"/>
      <c r="G87" s="98"/>
      <c r="H87" s="99"/>
      <c r="I87" s="41"/>
    </row>
    <row r="88" spans="2:9" ht="13.5" customHeight="1" hidden="1">
      <c r="B88" s="100" t="s">
        <v>473</v>
      </c>
      <c r="C88" s="97"/>
      <c r="D88" s="103"/>
      <c r="E88" s="103"/>
      <c r="F88" s="103"/>
      <c r="G88" s="103"/>
      <c r="H88" s="104"/>
      <c r="I88" s="43"/>
    </row>
    <row r="89" spans="2:9" ht="13.5" customHeight="1" hidden="1">
      <c r="B89" s="95" t="s">
        <v>308</v>
      </c>
      <c r="C89" s="97" t="e">
        <f>'[4]5.Bev.össz.'!C37</f>
        <v>#REF!</v>
      </c>
      <c r="D89" s="103"/>
      <c r="E89" s="103"/>
      <c r="F89" s="103"/>
      <c r="G89" s="98">
        <f>SUM(D89:F89)</f>
        <v>0</v>
      </c>
      <c r="H89" s="99" t="e">
        <f>SUM(C89)</f>
        <v>#REF!</v>
      </c>
      <c r="I89" s="41"/>
    </row>
    <row r="90" spans="2:10" ht="13.5" customHeight="1" hidden="1">
      <c r="B90" s="96"/>
      <c r="C90" s="97"/>
      <c r="D90" s="103"/>
      <c r="E90" s="103"/>
      <c r="F90" s="103"/>
      <c r="G90" s="103"/>
      <c r="H90" s="99"/>
      <c r="I90" s="41"/>
      <c r="J90" s="105"/>
    </row>
    <row r="91" spans="2:11" ht="15.75" customHeight="1" hidden="1">
      <c r="B91" s="100" t="s">
        <v>60</v>
      </c>
      <c r="C91" s="97"/>
      <c r="D91" s="103"/>
      <c r="E91" s="103"/>
      <c r="F91" s="103"/>
      <c r="G91" s="103"/>
      <c r="H91" s="104"/>
      <c r="I91" s="43"/>
      <c r="K91" s="105"/>
    </row>
    <row r="92" spans="2:9" ht="14.25" customHeight="1" hidden="1">
      <c r="B92" s="95" t="s">
        <v>308</v>
      </c>
      <c r="C92" s="97">
        <v>42000</v>
      </c>
      <c r="D92" s="98">
        <f>SUM(D95+D98)</f>
        <v>145931</v>
      </c>
      <c r="E92" s="98">
        <f>SUM(E95+E98)</f>
        <v>21411</v>
      </c>
      <c r="F92" s="98">
        <f>SUM(F95+F98)</f>
        <v>75728</v>
      </c>
      <c r="G92" s="98">
        <f>SUM(D92:F92)</f>
        <v>243070</v>
      </c>
      <c r="H92" s="99">
        <f>SUM(G92+C92)</f>
        <v>285070</v>
      </c>
      <c r="I92" s="41"/>
    </row>
    <row r="93" spans="2:9" ht="14.25" customHeight="1" hidden="1">
      <c r="B93" s="96"/>
      <c r="C93" s="97"/>
      <c r="D93" s="98"/>
      <c r="E93" s="98"/>
      <c r="F93" s="98"/>
      <c r="G93" s="98"/>
      <c r="H93" s="99"/>
      <c r="I93" s="43"/>
    </row>
    <row r="94" spans="2:9" ht="24" hidden="1">
      <c r="B94" s="101" t="s">
        <v>126</v>
      </c>
      <c r="C94" s="97"/>
      <c r="D94" s="103"/>
      <c r="E94" s="103"/>
      <c r="F94" s="103"/>
      <c r="G94" s="103"/>
      <c r="H94" s="104"/>
      <c r="I94" s="102"/>
    </row>
    <row r="95" spans="2:11" ht="13.5" customHeight="1" hidden="1">
      <c r="B95" s="95" t="s">
        <v>308</v>
      </c>
      <c r="C95" s="97"/>
      <c r="D95" s="103">
        <v>101035</v>
      </c>
      <c r="E95" s="103">
        <f>2706+154</f>
        <v>2860</v>
      </c>
      <c r="F95" s="103">
        <f>15210</f>
        <v>15210</v>
      </c>
      <c r="G95" s="98">
        <f>SUM(D95:F95)</f>
        <v>119105</v>
      </c>
      <c r="H95" s="99">
        <f>SUM(C95+G95)</f>
        <v>119105</v>
      </c>
      <c r="I95" s="43"/>
      <c r="J95" s="43"/>
      <c r="K95" s="43"/>
    </row>
    <row r="96" spans="2:11" ht="13.5" customHeight="1" hidden="1">
      <c r="B96" s="96"/>
      <c r="C96" s="97"/>
      <c r="D96" s="103"/>
      <c r="E96" s="103"/>
      <c r="F96" s="103"/>
      <c r="G96" s="98"/>
      <c r="H96" s="99"/>
      <c r="I96" s="43"/>
      <c r="J96" s="43"/>
      <c r="K96" s="43"/>
    </row>
    <row r="97" spans="2:11" ht="26.25" customHeight="1" hidden="1">
      <c r="B97" s="101" t="s">
        <v>61</v>
      </c>
      <c r="C97" s="97"/>
      <c r="D97" s="103"/>
      <c r="E97" s="103"/>
      <c r="F97" s="103"/>
      <c r="G97" s="103"/>
      <c r="H97" s="104"/>
      <c r="I97" s="41"/>
      <c r="J97" s="41"/>
      <c r="K97" s="41"/>
    </row>
    <row r="98" spans="2:11" ht="13.5" customHeight="1" hidden="1">
      <c r="B98" s="95" t="s">
        <v>308</v>
      </c>
      <c r="C98" s="103"/>
      <c r="D98" s="188">
        <f>41546-345-5-200+3900</f>
        <v>44896</v>
      </c>
      <c r="E98" s="188">
        <f>18401+150</f>
        <v>18551</v>
      </c>
      <c r="F98" s="188">
        <f>59036-746+2228</f>
        <v>60518</v>
      </c>
      <c r="G98" s="98">
        <f>SUM(D98:F98)</f>
        <v>123965</v>
      </c>
      <c r="H98" s="99">
        <f>SUM(G98)</f>
        <v>123965</v>
      </c>
      <c r="I98" s="43"/>
      <c r="J98" s="43"/>
      <c r="K98" s="43"/>
    </row>
    <row r="99" spans="2:11" ht="13.5" customHeight="1" hidden="1">
      <c r="B99" s="96"/>
      <c r="C99" s="188"/>
      <c r="D99" s="188"/>
      <c r="E99" s="188"/>
      <c r="F99" s="188"/>
      <c r="G99" s="98"/>
      <c r="H99" s="99"/>
      <c r="I99" s="43"/>
      <c r="J99" s="43"/>
      <c r="K99" s="43"/>
    </row>
    <row r="100" spans="2:11" ht="13.5" customHeight="1" hidden="1" thickBot="1">
      <c r="B100" s="106"/>
      <c r="C100" s="188"/>
      <c r="D100" s="188"/>
      <c r="E100" s="188"/>
      <c r="F100" s="188"/>
      <c r="G100" s="188"/>
      <c r="H100" s="192"/>
      <c r="I100" s="105"/>
      <c r="J100" s="105"/>
      <c r="K100" s="105"/>
    </row>
    <row r="101" spans="2:10" ht="14.25" customHeight="1" hidden="1">
      <c r="B101" s="182" t="s">
        <v>62</v>
      </c>
      <c r="C101" s="202"/>
      <c r="D101" s="202"/>
      <c r="E101" s="202"/>
      <c r="F101" s="202"/>
      <c r="G101" s="202"/>
      <c r="H101" s="197"/>
      <c r="I101" s="43"/>
      <c r="J101" s="105"/>
    </row>
    <row r="102" spans="2:9" ht="14.25" customHeight="1" hidden="1">
      <c r="B102" s="330" t="s">
        <v>308</v>
      </c>
      <c r="C102" s="203" t="e">
        <f>SUM(C86+C89+C92)</f>
        <v>#REF!</v>
      </c>
      <c r="D102" s="203">
        <f>SUM(D86+D92)</f>
        <v>174250</v>
      </c>
      <c r="E102" s="203">
        <f>SUM(E86+E92)</f>
        <v>28011</v>
      </c>
      <c r="F102" s="203">
        <f>SUM(F86+F92)</f>
        <v>76974</v>
      </c>
      <c r="G102" s="203">
        <f>SUM(D102:F102)</f>
        <v>279235</v>
      </c>
      <c r="H102" s="198" t="e">
        <f>SUM(C102+G102)</f>
        <v>#REF!</v>
      </c>
      <c r="I102" s="43" t="e">
        <f>SUM(H86+H89+H92)</f>
        <v>#REF!</v>
      </c>
    </row>
    <row r="103" spans="2:9" ht="14.25" customHeight="1" hidden="1" thickBot="1">
      <c r="B103" s="107" t="s">
        <v>63</v>
      </c>
      <c r="C103" s="203"/>
      <c r="D103" s="203"/>
      <c r="E103" s="203"/>
      <c r="F103" s="203"/>
      <c r="G103" s="203"/>
      <c r="H103" s="199">
        <v>-243070</v>
      </c>
      <c r="I103" s="41"/>
    </row>
    <row r="104" spans="2:9" ht="14.25" customHeight="1" hidden="1" thickBot="1">
      <c r="B104" s="108" t="s">
        <v>64</v>
      </c>
      <c r="C104" s="205"/>
      <c r="D104" s="205"/>
      <c r="E104" s="205"/>
      <c r="F104" s="205"/>
      <c r="G104" s="205"/>
      <c r="H104" s="328" t="e">
        <f>SUM(H102+H103)</f>
        <v>#REF!</v>
      </c>
      <c r="I104" s="41"/>
    </row>
    <row r="105" spans="2:9" ht="14.25" customHeight="1" hidden="1">
      <c r="B105" s="109" t="s">
        <v>65</v>
      </c>
      <c r="C105" s="204"/>
      <c r="D105" s="204"/>
      <c r="E105" s="204"/>
      <c r="F105" s="204"/>
      <c r="G105" s="204"/>
      <c r="H105" s="200"/>
      <c r="I105" s="43"/>
    </row>
    <row r="106" spans="2:10" ht="14.25" customHeight="1" hidden="1">
      <c r="B106" s="330" t="s">
        <v>308</v>
      </c>
      <c r="C106" s="204">
        <f>SUM(C110+C112+C114+C116+C118+C120+C122+C123+C125)</f>
        <v>1259073</v>
      </c>
      <c r="D106" s="204">
        <f>SUM(D110+D112+D114+D116)</f>
        <v>174250</v>
      </c>
      <c r="E106" s="204">
        <f>SUM(E110+E112+E114+E116)</f>
        <v>28011</v>
      </c>
      <c r="F106" s="204">
        <f>SUM(F110+F112+F114+F116)</f>
        <v>76974</v>
      </c>
      <c r="G106" s="204">
        <f>SUM(D106:F106)</f>
        <v>279235</v>
      </c>
      <c r="H106" s="201">
        <f>SUM(C106+G106)</f>
        <v>1538308</v>
      </c>
      <c r="I106" s="43">
        <f>SUM(H110+H112+H114+H116+H118+H120+H122+H123+H125)</f>
        <v>1538308</v>
      </c>
      <c r="J106" s="105"/>
    </row>
    <row r="107" spans="2:9" ht="14.25" customHeight="1" hidden="1" thickBot="1">
      <c r="B107" s="110" t="s">
        <v>66</v>
      </c>
      <c r="C107" s="206"/>
      <c r="D107" s="206"/>
      <c r="E107" s="206"/>
      <c r="F107" s="206"/>
      <c r="G107" s="204"/>
      <c r="H107" s="198">
        <v>-243070</v>
      </c>
      <c r="I107" s="41"/>
    </row>
    <row r="108" spans="2:10" ht="14.25" customHeight="1" hidden="1" thickBot="1">
      <c r="B108" s="111" t="s">
        <v>67</v>
      </c>
      <c r="C108" s="205"/>
      <c r="D108" s="205"/>
      <c r="E108" s="205"/>
      <c r="F108" s="205"/>
      <c r="G108" s="205"/>
      <c r="H108" s="328">
        <f>SUM(H106+H107)</f>
        <v>1295238</v>
      </c>
      <c r="I108" s="43"/>
      <c r="J108" s="105"/>
    </row>
    <row r="109" spans="2:9" ht="13.5" customHeight="1" hidden="1">
      <c r="B109" s="94" t="s">
        <v>36</v>
      </c>
      <c r="C109" s="188"/>
      <c r="D109" s="188"/>
      <c r="E109" s="188"/>
      <c r="F109" s="188"/>
      <c r="G109" s="188"/>
      <c r="H109" s="192"/>
      <c r="I109" s="43"/>
    </row>
    <row r="110" spans="2:9" ht="13.5" customHeight="1" hidden="1">
      <c r="B110" s="95" t="s">
        <v>308</v>
      </c>
      <c r="C110" s="97">
        <f>38123+6133</f>
        <v>44256</v>
      </c>
      <c r="D110" s="103">
        <f>107196+2630</f>
        <v>109826</v>
      </c>
      <c r="E110" s="103">
        <f>6877+400</f>
        <v>7277</v>
      </c>
      <c r="F110" s="103">
        <f>34206+2453</f>
        <v>36659</v>
      </c>
      <c r="G110" s="103">
        <f>SUM(D110:F110)</f>
        <v>153762</v>
      </c>
      <c r="H110" s="99">
        <f aca="true" t="shared" si="5" ref="H110:H117">SUM(C110+G110)</f>
        <v>198018</v>
      </c>
      <c r="I110" s="43"/>
    </row>
    <row r="111" spans="2:9" ht="17.25" customHeight="1" hidden="1">
      <c r="B111" s="112" t="s">
        <v>42</v>
      </c>
      <c r="C111" s="97"/>
      <c r="D111" s="103"/>
      <c r="E111" s="103"/>
      <c r="F111" s="103"/>
      <c r="G111" s="103"/>
      <c r="H111" s="99">
        <f t="shared" si="5"/>
        <v>0</v>
      </c>
      <c r="I111" s="41"/>
    </row>
    <row r="112" spans="2:9" ht="13.5" customHeight="1" hidden="1">
      <c r="B112" s="95" t="s">
        <v>308</v>
      </c>
      <c r="C112" s="97">
        <f>11240+1500</f>
        <v>12740</v>
      </c>
      <c r="D112" s="103">
        <f>29288+550</f>
        <v>29838</v>
      </c>
      <c r="E112" s="103">
        <v>1840</v>
      </c>
      <c r="F112" s="103">
        <f>8875+390</f>
        <v>9265</v>
      </c>
      <c r="G112" s="103">
        <f>SUM(D112:F112)</f>
        <v>40943</v>
      </c>
      <c r="H112" s="99">
        <f t="shared" si="5"/>
        <v>53683</v>
      </c>
      <c r="I112" s="41"/>
    </row>
    <row r="113" spans="2:9" ht="13.5" customHeight="1" hidden="1">
      <c r="B113" s="100" t="s">
        <v>43</v>
      </c>
      <c r="C113" s="97"/>
      <c r="D113" s="103"/>
      <c r="E113" s="103"/>
      <c r="F113" s="103"/>
      <c r="G113" s="103"/>
      <c r="H113" s="99">
        <f t="shared" si="5"/>
        <v>0</v>
      </c>
      <c r="I113" s="41"/>
    </row>
    <row r="114" spans="2:9" ht="13.5" customHeight="1" hidden="1">
      <c r="B114" s="95" t="s">
        <v>308</v>
      </c>
      <c r="C114" s="97">
        <f>104425+234+975+1067+200+725+400+300-8000+800+9315-3340+18550+31450-1500+8853</f>
        <v>164454</v>
      </c>
      <c r="D114" s="103">
        <f>29666+1020</f>
        <v>30686</v>
      </c>
      <c r="E114" s="103">
        <f>18330-400</f>
        <v>17930</v>
      </c>
      <c r="F114" s="103">
        <f>31665-250-700+80+1000+50+50-170+100-835</f>
        <v>30990</v>
      </c>
      <c r="G114" s="103">
        <f>SUM(D114:F114)</f>
        <v>79606</v>
      </c>
      <c r="H114" s="99">
        <f t="shared" si="5"/>
        <v>244060</v>
      </c>
      <c r="I114" s="41"/>
    </row>
    <row r="115" spans="2:9" ht="25.5" customHeight="1" hidden="1">
      <c r="B115" s="329" t="s">
        <v>456</v>
      </c>
      <c r="C115" s="97"/>
      <c r="D115" s="103"/>
      <c r="E115" s="103"/>
      <c r="F115" s="103"/>
      <c r="G115" s="103"/>
      <c r="H115" s="99">
        <f t="shared" si="5"/>
        <v>0</v>
      </c>
      <c r="I115" s="41"/>
    </row>
    <row r="116" spans="2:9" ht="13.5" customHeight="1" hidden="1">
      <c r="B116" s="95" t="s">
        <v>308</v>
      </c>
      <c r="C116" s="97">
        <f>12026+330268+117937+41198-17250+49726+1676+16079-31450</f>
        <v>520210</v>
      </c>
      <c r="D116" s="103">
        <f>4200-300</f>
        <v>3900</v>
      </c>
      <c r="E116" s="103">
        <f>660+304</f>
        <v>964</v>
      </c>
      <c r="F116" s="103">
        <f>0+50+10</f>
        <v>60</v>
      </c>
      <c r="G116" s="103">
        <f>SUM(D116:F116)</f>
        <v>4924</v>
      </c>
      <c r="H116" s="99">
        <f t="shared" si="5"/>
        <v>525134</v>
      </c>
      <c r="I116" s="41"/>
    </row>
    <row r="117" spans="2:9" ht="13.5" customHeight="1" hidden="1">
      <c r="B117" s="113" t="s">
        <v>44</v>
      </c>
      <c r="C117" s="97"/>
      <c r="D117" s="103"/>
      <c r="E117" s="103"/>
      <c r="F117" s="103"/>
      <c r="G117" s="103"/>
      <c r="H117" s="99">
        <f t="shared" si="5"/>
        <v>0</v>
      </c>
      <c r="I117" s="41"/>
    </row>
    <row r="118" spans="2:9" ht="13.5" customHeight="1" hidden="1">
      <c r="B118" s="95" t="s">
        <v>308</v>
      </c>
      <c r="C118" s="97">
        <f>15350-6100</f>
        <v>9250</v>
      </c>
      <c r="D118" s="103"/>
      <c r="E118" s="103"/>
      <c r="F118" s="103"/>
      <c r="G118" s="103"/>
      <c r="H118" s="99">
        <f>SUM(C118)</f>
        <v>9250</v>
      </c>
      <c r="I118" s="41"/>
    </row>
    <row r="119" spans="2:9" ht="13.5" customHeight="1" hidden="1">
      <c r="B119" s="100" t="s">
        <v>45</v>
      </c>
      <c r="C119" s="97"/>
      <c r="D119" s="103"/>
      <c r="E119" s="103"/>
      <c r="F119" s="103"/>
      <c r="G119" s="103"/>
      <c r="H119" s="99"/>
      <c r="I119" s="41"/>
    </row>
    <row r="120" spans="2:9" ht="13.5" customHeight="1" hidden="1">
      <c r="B120" s="95" t="s">
        <v>308</v>
      </c>
      <c r="C120" s="97">
        <f>216330+1094+500</f>
        <v>217924</v>
      </c>
      <c r="D120" s="103"/>
      <c r="E120" s="103"/>
      <c r="F120" s="103"/>
      <c r="G120" s="103"/>
      <c r="H120" s="99">
        <f>SUM(C120)</f>
        <v>217924</v>
      </c>
      <c r="I120" s="41"/>
    </row>
    <row r="121" spans="2:9" ht="13.5" customHeight="1" hidden="1">
      <c r="B121" s="100" t="s">
        <v>68</v>
      </c>
      <c r="C121" s="97"/>
      <c r="D121" s="103"/>
      <c r="E121" s="103"/>
      <c r="F121" s="103"/>
      <c r="G121" s="103"/>
      <c r="H121" s="99"/>
      <c r="I121" s="41"/>
    </row>
    <row r="122" spans="2:9" ht="13.5" customHeight="1" hidden="1">
      <c r="B122" s="95" t="s">
        <v>308</v>
      </c>
      <c r="C122" s="97">
        <f>237934-1296+3900+154+150+2228</f>
        <v>243070</v>
      </c>
      <c r="D122" s="103"/>
      <c r="E122" s="103"/>
      <c r="F122" s="103"/>
      <c r="G122" s="103"/>
      <c r="H122" s="99">
        <f>SUM(C122)</f>
        <v>243070</v>
      </c>
      <c r="I122" s="41"/>
    </row>
    <row r="123" spans="2:9" ht="13.5" customHeight="1" hidden="1">
      <c r="B123" s="95"/>
      <c r="C123" s="97">
        <v>14478</v>
      </c>
      <c r="D123" s="103"/>
      <c r="E123" s="103"/>
      <c r="F123" s="103"/>
      <c r="G123" s="103"/>
      <c r="H123" s="99">
        <f>SUM(C123)</f>
        <v>14478</v>
      </c>
      <c r="I123" s="41"/>
    </row>
    <row r="124" spans="2:9" ht="13.5" customHeight="1" hidden="1">
      <c r="B124" s="114" t="s">
        <v>457</v>
      </c>
      <c r="C124" s="97"/>
      <c r="D124" s="103"/>
      <c r="E124" s="103"/>
      <c r="F124" s="103"/>
      <c r="G124" s="103"/>
      <c r="H124" s="99"/>
      <c r="I124" s="41"/>
    </row>
    <row r="125" spans="2:9" ht="13.5" customHeight="1" hidden="1" thickBot="1">
      <c r="B125" s="314" t="s">
        <v>308</v>
      </c>
      <c r="C125" s="381">
        <f>25714-3688-17135+10800+2799+500+2000+31454+14383+435-4877+500-14478-6133-1500-25603+17250+6100-3900-150-2228+448</f>
        <v>32691</v>
      </c>
      <c r="D125" s="193"/>
      <c r="E125" s="193"/>
      <c r="F125" s="193"/>
      <c r="G125" s="193"/>
      <c r="H125" s="316">
        <f>SUM(C125)</f>
        <v>32691</v>
      </c>
      <c r="I125" s="41"/>
    </row>
    <row r="126" ht="12.75" hidden="1"/>
    <row r="127" ht="12.75" hidden="1"/>
    <row r="128" ht="12.75" hidden="1"/>
    <row r="130" ht="12.75">
      <c r="C130" s="105"/>
    </row>
  </sheetData>
  <sheetProtection/>
  <mergeCells count="11">
    <mergeCell ref="B83:B84"/>
    <mergeCell ref="C83:C84"/>
    <mergeCell ref="D83:F83"/>
    <mergeCell ref="G83:G84"/>
    <mergeCell ref="H83:H84"/>
    <mergeCell ref="B2:H2"/>
    <mergeCell ref="B4:B5"/>
    <mergeCell ref="C4:C5"/>
    <mergeCell ref="D4:F4"/>
    <mergeCell ref="G4:G5"/>
    <mergeCell ref="H4:H5"/>
  </mergeCells>
  <printOptions/>
  <pageMargins left="0.7874015748031497" right="0.15748031496062992" top="0.25" bottom="0.15748031496062992" header="0.15748031496062992" footer="0.31496062992125984"/>
  <pageSetup horizontalDpi="600" verticalDpi="600" orientation="landscape" paperSize="9" scale="85" r:id="rId1"/>
  <rowBreaks count="2" manualBreakCount="2">
    <brk id="39" max="8" man="1"/>
    <brk id="78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52"/>
  <sheetViews>
    <sheetView zoomScale="90" zoomScaleNormal="90" zoomScaleSheetLayoutView="70" zoomScalePageLayoutView="80" workbookViewId="0" topLeftCell="D1">
      <selection activeCell="D111" sqref="D111"/>
    </sheetView>
  </sheetViews>
  <sheetFormatPr defaultColWidth="9.00390625" defaultRowHeight="12.75"/>
  <cols>
    <col min="1" max="1" width="5.125" style="318" customWidth="1"/>
    <col min="2" max="2" width="53.25390625" style="0" customWidth="1"/>
    <col min="3" max="3" width="24.75390625" style="0" hidden="1" customWidth="1"/>
    <col min="4" max="4" width="11.875" style="0" customWidth="1"/>
    <col min="5" max="5" width="8.375" style="11" hidden="1" customWidth="1"/>
    <col min="6" max="6" width="18.125" style="11" hidden="1" customWidth="1"/>
    <col min="7" max="7" width="11.625" style="11" customWidth="1"/>
    <col min="8" max="8" width="9.125" style="0" hidden="1" customWidth="1"/>
    <col min="9" max="9" width="10.375" style="0" hidden="1" customWidth="1"/>
    <col min="10" max="10" width="11.375" style="0" customWidth="1"/>
    <col min="11" max="11" width="9.125" style="0" hidden="1" customWidth="1"/>
    <col min="12" max="12" width="10.375" style="0" hidden="1" customWidth="1"/>
    <col min="13" max="13" width="10.75390625" style="0" customWidth="1"/>
    <col min="14" max="14" width="12.625" style="0" customWidth="1"/>
    <col min="15" max="15" width="11.125" style="0" customWidth="1"/>
    <col min="16" max="16" width="9.125" style="0" hidden="1" customWidth="1"/>
    <col min="17" max="17" width="11.125" style="0" customWidth="1"/>
    <col min="18" max="19" width="9.125" style="0" hidden="1" customWidth="1"/>
    <col min="20" max="20" width="10.75390625" style="0" customWidth="1"/>
    <col min="21" max="22" width="9.125" style="0" hidden="1" customWidth="1"/>
    <col min="23" max="23" width="10.25390625" style="0" customWidth="1"/>
    <col min="24" max="25" width="9.125" style="0" hidden="1" customWidth="1"/>
    <col min="26" max="26" width="11.625" style="0" customWidth="1"/>
    <col min="27" max="28" width="9.125" style="0" hidden="1" customWidth="1"/>
    <col min="29" max="29" width="10.375" style="0" customWidth="1"/>
    <col min="30" max="30" width="10.375" style="0" bestFit="1" customWidth="1"/>
    <col min="31" max="31" width="13.25390625" style="0" customWidth="1"/>
    <col min="32" max="32" width="9.25390625" style="11" customWidth="1"/>
  </cols>
  <sheetData>
    <row r="1" spans="1:31" ht="12.75">
      <c r="A1" s="716"/>
      <c r="B1" s="1"/>
      <c r="C1" s="75"/>
      <c r="D1" s="75"/>
      <c r="AE1" s="71" t="s">
        <v>458</v>
      </c>
    </row>
    <row r="2" spans="1:31" ht="15.75">
      <c r="A2" s="1036" t="s">
        <v>117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  <c r="Z2" s="960"/>
      <c r="AA2" s="960"/>
      <c r="AB2" s="960"/>
      <c r="AC2" s="960"/>
      <c r="AD2" s="960"/>
      <c r="AE2" s="960"/>
    </row>
    <row r="3" spans="1:31" ht="15.75">
      <c r="A3" s="1036" t="s">
        <v>954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</row>
    <row r="4" spans="2:31" ht="12.75">
      <c r="B4" s="1040" t="s">
        <v>385</v>
      </c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040"/>
      <c r="AA4" s="1040"/>
      <c r="AB4" s="1040"/>
      <c r="AC4" s="1040"/>
      <c r="AD4" s="1040"/>
      <c r="AE4" s="1040"/>
    </row>
    <row r="5" spans="2:31" ht="13.5" thickBot="1">
      <c r="B5" s="402">
        <v>27790</v>
      </c>
      <c r="C5" s="605"/>
      <c r="D5" s="605"/>
      <c r="E5" s="339"/>
      <c r="F5" s="339"/>
      <c r="G5" s="33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13" t="s">
        <v>0</v>
      </c>
    </row>
    <row r="6" spans="1:32" s="364" customFormat="1" ht="47.25" customHeight="1" thickBot="1">
      <c r="A6" s="1037" t="s">
        <v>162</v>
      </c>
      <c r="B6" s="1039" t="s">
        <v>31</v>
      </c>
      <c r="C6" s="823" t="s">
        <v>383</v>
      </c>
      <c r="D6" s="836" t="s">
        <v>383</v>
      </c>
      <c r="E6" s="835" t="s">
        <v>380</v>
      </c>
      <c r="F6" s="835" t="s">
        <v>380</v>
      </c>
      <c r="G6" s="836" t="s">
        <v>380</v>
      </c>
      <c r="H6" s="835" t="s">
        <v>156</v>
      </c>
      <c r="I6" s="835" t="s">
        <v>156</v>
      </c>
      <c r="J6" s="836" t="s">
        <v>156</v>
      </c>
      <c r="K6" s="835" t="s">
        <v>381</v>
      </c>
      <c r="L6" s="835" t="s">
        <v>381</v>
      </c>
      <c r="M6" s="836" t="s">
        <v>381</v>
      </c>
      <c r="N6" s="836" t="s">
        <v>384</v>
      </c>
      <c r="O6" s="836" t="s">
        <v>796</v>
      </c>
      <c r="P6" s="835" t="s">
        <v>645</v>
      </c>
      <c r="Q6" s="836" t="s">
        <v>645</v>
      </c>
      <c r="R6" s="835" t="s">
        <v>396</v>
      </c>
      <c r="S6" s="835" t="s">
        <v>396</v>
      </c>
      <c r="T6" s="836" t="s">
        <v>396</v>
      </c>
      <c r="U6" s="835" t="s">
        <v>159</v>
      </c>
      <c r="V6" s="835" t="s">
        <v>159</v>
      </c>
      <c r="W6" s="836" t="s">
        <v>159</v>
      </c>
      <c r="X6" s="835" t="s">
        <v>404</v>
      </c>
      <c r="Y6" s="835" t="s">
        <v>404</v>
      </c>
      <c r="Z6" s="816" t="s">
        <v>404</v>
      </c>
      <c r="AA6" s="823" t="s">
        <v>157</v>
      </c>
      <c r="AB6" s="823" t="s">
        <v>157</v>
      </c>
      <c r="AC6" s="816" t="s">
        <v>1089</v>
      </c>
      <c r="AD6" s="287" t="s">
        <v>157</v>
      </c>
      <c r="AE6" s="837" t="s">
        <v>56</v>
      </c>
      <c r="AF6" s="12"/>
    </row>
    <row r="7" spans="1:32" s="743" customFormat="1" ht="38.25" customHeight="1" thickBot="1">
      <c r="A7" s="1038"/>
      <c r="B7" s="1038"/>
      <c r="C7" s="744" t="s">
        <v>854</v>
      </c>
      <c r="D7" s="744" t="s">
        <v>467</v>
      </c>
      <c r="E7" s="744" t="s">
        <v>854</v>
      </c>
      <c r="F7" s="744" t="s">
        <v>1085</v>
      </c>
      <c r="G7" s="744" t="s">
        <v>467</v>
      </c>
      <c r="H7" s="744" t="s">
        <v>854</v>
      </c>
      <c r="I7" s="744" t="s">
        <v>886</v>
      </c>
      <c r="J7" s="744" t="s">
        <v>467</v>
      </c>
      <c r="K7" s="744" t="s">
        <v>854</v>
      </c>
      <c r="L7" s="744" t="s">
        <v>886</v>
      </c>
      <c r="M7" s="744" t="s">
        <v>467</v>
      </c>
      <c r="N7" s="744" t="s">
        <v>467</v>
      </c>
      <c r="O7" s="744" t="s">
        <v>467</v>
      </c>
      <c r="P7" s="744" t="s">
        <v>854</v>
      </c>
      <c r="Q7" s="744" t="s">
        <v>467</v>
      </c>
      <c r="R7" s="744" t="s">
        <v>854</v>
      </c>
      <c r="S7" s="744" t="s">
        <v>886</v>
      </c>
      <c r="T7" s="744" t="s">
        <v>467</v>
      </c>
      <c r="U7" s="744" t="s">
        <v>854</v>
      </c>
      <c r="V7" s="744" t="s">
        <v>886</v>
      </c>
      <c r="W7" s="744" t="s">
        <v>467</v>
      </c>
      <c r="X7" s="744" t="s">
        <v>854</v>
      </c>
      <c r="Y7" s="744" t="s">
        <v>886</v>
      </c>
      <c r="Z7" s="744" t="s">
        <v>467</v>
      </c>
      <c r="AA7" s="744" t="s">
        <v>577</v>
      </c>
      <c r="AB7" s="744" t="s">
        <v>794</v>
      </c>
      <c r="AC7" s="744" t="s">
        <v>467</v>
      </c>
      <c r="AD7" s="744" t="s">
        <v>467</v>
      </c>
      <c r="AE7" s="747" t="s">
        <v>467</v>
      </c>
      <c r="AF7" s="742"/>
    </row>
    <row r="8" spans="1:32" ht="12.75">
      <c r="A8" s="717" t="s">
        <v>350</v>
      </c>
      <c r="B8" s="25" t="s">
        <v>351</v>
      </c>
      <c r="C8" s="596">
        <f aca="true" t="shared" si="0" ref="C8:AD8">SUM(C9:C16)</f>
        <v>0</v>
      </c>
      <c r="D8" s="596">
        <f>SUM(D9:D16)</f>
        <v>8240</v>
      </c>
      <c r="E8" s="596">
        <f t="shared" si="0"/>
        <v>5548</v>
      </c>
      <c r="F8" s="596">
        <f>SUM(F9:F16)</f>
        <v>0</v>
      </c>
      <c r="G8" s="596">
        <f t="shared" si="0"/>
        <v>5738</v>
      </c>
      <c r="H8" s="596">
        <f t="shared" si="0"/>
        <v>0</v>
      </c>
      <c r="I8" s="596">
        <f>SUM(I9:I16)</f>
        <v>0</v>
      </c>
      <c r="J8" s="596">
        <f t="shared" si="0"/>
        <v>0</v>
      </c>
      <c r="K8" s="596">
        <f t="shared" si="0"/>
        <v>0</v>
      </c>
      <c r="L8" s="596">
        <f>SUM(L9:L16)</f>
        <v>0</v>
      </c>
      <c r="M8" s="596">
        <f t="shared" si="0"/>
        <v>0</v>
      </c>
      <c r="N8" s="596">
        <f t="shared" si="0"/>
        <v>0</v>
      </c>
      <c r="O8" s="596">
        <f t="shared" si="0"/>
        <v>1494</v>
      </c>
      <c r="P8" s="596">
        <f t="shared" si="0"/>
        <v>0</v>
      </c>
      <c r="Q8" s="596">
        <f t="shared" si="0"/>
        <v>0</v>
      </c>
      <c r="R8" s="596">
        <f t="shared" si="0"/>
        <v>0</v>
      </c>
      <c r="S8" s="596">
        <f>SUM(S9:S16)</f>
        <v>0</v>
      </c>
      <c r="T8" s="596">
        <f t="shared" si="0"/>
        <v>0</v>
      </c>
      <c r="U8" s="596">
        <f t="shared" si="0"/>
        <v>0</v>
      </c>
      <c r="V8" s="596">
        <f>SUM(V9:V16)</f>
        <v>0</v>
      </c>
      <c r="W8" s="596">
        <f t="shared" si="0"/>
        <v>0</v>
      </c>
      <c r="X8" s="596">
        <f t="shared" si="0"/>
        <v>2055</v>
      </c>
      <c r="Y8" s="596">
        <f>SUM(Y9:Y16)</f>
        <v>2142</v>
      </c>
      <c r="Z8" s="596">
        <f t="shared" si="0"/>
        <v>2796</v>
      </c>
      <c r="AA8" s="596">
        <f t="shared" si="0"/>
        <v>1967</v>
      </c>
      <c r="AB8" s="596">
        <f t="shared" si="0"/>
        <v>1967</v>
      </c>
      <c r="AC8" s="596">
        <f t="shared" si="0"/>
        <v>31464</v>
      </c>
      <c r="AD8" s="596">
        <f t="shared" si="0"/>
        <v>1967</v>
      </c>
      <c r="AE8" s="748">
        <f>D8+G8+J8+M8+N8+O8+Q8+T8+W8+Z8+AD8+AC8</f>
        <v>51699</v>
      </c>
      <c r="AF8" s="51">
        <f>SUM(AE9:AE16)</f>
        <v>51699</v>
      </c>
    </row>
    <row r="9" spans="1:31" ht="12.75">
      <c r="A9" s="717"/>
      <c r="B9" s="68" t="s">
        <v>425</v>
      </c>
      <c r="C9" s="550"/>
      <c r="D9" s="550">
        <v>7752</v>
      </c>
      <c r="E9" s="551">
        <f>4937</f>
        <v>4937</v>
      </c>
      <c r="F9" s="551"/>
      <c r="G9" s="551">
        <v>5346</v>
      </c>
      <c r="H9" s="551"/>
      <c r="I9" s="551"/>
      <c r="J9" s="551"/>
      <c r="K9" s="551"/>
      <c r="L9" s="551"/>
      <c r="M9" s="551"/>
      <c r="N9" s="551"/>
      <c r="O9" s="551">
        <v>1422</v>
      </c>
      <c r="P9" s="551"/>
      <c r="Q9" s="551"/>
      <c r="R9" s="551"/>
      <c r="S9" s="551"/>
      <c r="T9" s="551"/>
      <c r="U9" s="551"/>
      <c r="V9" s="551"/>
      <c r="W9" s="551"/>
      <c r="X9" s="551">
        <f>1932</f>
        <v>1932</v>
      </c>
      <c r="Y9" s="551">
        <v>1932</v>
      </c>
      <c r="Z9" s="551">
        <v>2586</v>
      </c>
      <c r="AA9" s="551">
        <v>1957</v>
      </c>
      <c r="AB9" s="551">
        <v>1957</v>
      </c>
      <c r="AC9" s="551"/>
      <c r="AD9" s="551">
        <v>1957</v>
      </c>
      <c r="AE9" s="749">
        <f aca="true" t="shared" si="1" ref="AE9:AE43">D9+G9+J9+M9+N9+O9+Q9+T9+W9+Z9+AD9</f>
        <v>19063</v>
      </c>
    </row>
    <row r="10" spans="1:31" ht="12.75">
      <c r="A10" s="717"/>
      <c r="B10" s="68" t="s">
        <v>72</v>
      </c>
      <c r="C10" s="550"/>
      <c r="D10" s="550">
        <v>200</v>
      </c>
      <c r="E10" s="552">
        <f>50+157</f>
        <v>207</v>
      </c>
      <c r="F10" s="552"/>
      <c r="G10" s="552">
        <v>200</v>
      </c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749">
        <f t="shared" si="1"/>
        <v>400</v>
      </c>
    </row>
    <row r="11" spans="1:34" s="11" customFormat="1" ht="12.75">
      <c r="A11" s="77"/>
      <c r="B11" s="10" t="s">
        <v>35</v>
      </c>
      <c r="C11" s="604"/>
      <c r="D11" s="604">
        <v>288</v>
      </c>
      <c r="E11" s="283">
        <v>120</v>
      </c>
      <c r="F11" s="283"/>
      <c r="G11" s="283">
        <v>192</v>
      </c>
      <c r="H11" s="283"/>
      <c r="I11" s="283"/>
      <c r="J11" s="283"/>
      <c r="K11" s="283"/>
      <c r="L11" s="283"/>
      <c r="M11" s="283"/>
      <c r="N11" s="283"/>
      <c r="O11" s="283">
        <v>72</v>
      </c>
      <c r="P11" s="283"/>
      <c r="Q11" s="283"/>
      <c r="R11" s="283"/>
      <c r="S11" s="283"/>
      <c r="T11" s="283"/>
      <c r="U11" s="283"/>
      <c r="V11" s="283"/>
      <c r="W11" s="283"/>
      <c r="X11" s="283">
        <v>60</v>
      </c>
      <c r="Y11" s="283">
        <f>60+36</f>
        <v>96</v>
      </c>
      <c r="Z11" s="283">
        <f>60+36</f>
        <v>96</v>
      </c>
      <c r="AA11" s="283"/>
      <c r="AB11" s="283"/>
      <c r="AC11" s="283"/>
      <c r="AD11" s="283"/>
      <c r="AE11" s="750">
        <f t="shared" si="1"/>
        <v>648</v>
      </c>
      <c r="AH11" s="11">
        <f>(250+195.5)*12</f>
        <v>5346</v>
      </c>
    </row>
    <row r="12" spans="1:34" s="11" customFormat="1" ht="12.75">
      <c r="A12" s="77"/>
      <c r="B12" s="10" t="s">
        <v>839</v>
      </c>
      <c r="C12" s="604"/>
      <c r="D12" s="604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750">
        <f t="shared" si="1"/>
        <v>0</v>
      </c>
      <c r="AH12" s="11">
        <f>(AH11*0.195)</f>
        <v>1042.47</v>
      </c>
    </row>
    <row r="13" spans="1:31" s="11" customFormat="1" ht="12.75">
      <c r="A13" s="77"/>
      <c r="B13" s="30" t="s">
        <v>864</v>
      </c>
      <c r="C13" s="283"/>
      <c r="D13" s="283"/>
      <c r="E13" s="283">
        <v>0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750">
        <f t="shared" si="1"/>
        <v>0</v>
      </c>
    </row>
    <row r="14" spans="1:31" s="11" customFormat="1" ht="12.75">
      <c r="A14" s="77"/>
      <c r="B14" s="30" t="s">
        <v>1109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>
        <v>14448</v>
      </c>
      <c r="AD14" s="283"/>
      <c r="AE14" s="750">
        <f>D14+G14+J14+M14+N14+O14+Q14+T14+W14+Z14+AD14+AC14</f>
        <v>14448</v>
      </c>
    </row>
    <row r="15" spans="1:31" s="11" customFormat="1" ht="12.75">
      <c r="A15" s="77"/>
      <c r="B15" s="30" t="s">
        <v>1110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>
        <v>17016</v>
      </c>
      <c r="AD15" s="283"/>
      <c r="AE15" s="750">
        <f>D15+G15+J15+M15+N15+O15+Q15+T15+W15+Z15+AD15+AC15</f>
        <v>17016</v>
      </c>
    </row>
    <row r="16" spans="1:31" s="11" customFormat="1" ht="12.75">
      <c r="A16" s="77"/>
      <c r="B16" s="30" t="s">
        <v>1026</v>
      </c>
      <c r="C16" s="283"/>
      <c r="D16" s="283"/>
      <c r="E16" s="283">
        <f>10+41+233</f>
        <v>284</v>
      </c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>
        <f>11+52</f>
        <v>63</v>
      </c>
      <c r="Y16" s="283">
        <f>63+51</f>
        <v>114</v>
      </c>
      <c r="Z16" s="283">
        <f>63+51</f>
        <v>114</v>
      </c>
      <c r="AA16" s="283">
        <v>10</v>
      </c>
      <c r="AB16" s="283">
        <v>10</v>
      </c>
      <c r="AC16" s="283"/>
      <c r="AD16" s="283">
        <v>10</v>
      </c>
      <c r="AE16" s="750">
        <f t="shared" si="1"/>
        <v>124</v>
      </c>
    </row>
    <row r="17" spans="1:32" s="11" customFormat="1" ht="12.75">
      <c r="A17" s="718" t="s">
        <v>352</v>
      </c>
      <c r="B17" s="34" t="s">
        <v>418</v>
      </c>
      <c r="C17" s="115">
        <f aca="true" t="shared" si="2" ref="C17:AD17">SUM(C18:C27)</f>
        <v>0</v>
      </c>
      <c r="D17" s="115">
        <f t="shared" si="2"/>
        <v>20037</v>
      </c>
      <c r="E17" s="115">
        <f t="shared" si="2"/>
        <v>0</v>
      </c>
      <c r="F17" s="115">
        <f t="shared" si="2"/>
        <v>0</v>
      </c>
      <c r="G17" s="115">
        <f t="shared" si="2"/>
        <v>0</v>
      </c>
      <c r="H17" s="115">
        <f t="shared" si="2"/>
        <v>0</v>
      </c>
      <c r="I17" s="115">
        <f t="shared" si="2"/>
        <v>0</v>
      </c>
      <c r="J17" s="115">
        <f t="shared" si="2"/>
        <v>0</v>
      </c>
      <c r="K17" s="115">
        <f t="shared" si="2"/>
        <v>0</v>
      </c>
      <c r="L17" s="115">
        <f t="shared" si="2"/>
        <v>0</v>
      </c>
      <c r="M17" s="115">
        <f t="shared" si="2"/>
        <v>0</v>
      </c>
      <c r="N17" s="115">
        <f t="shared" si="2"/>
        <v>0</v>
      </c>
      <c r="O17" s="115">
        <f t="shared" si="2"/>
        <v>0</v>
      </c>
      <c r="P17" s="115">
        <f t="shared" si="2"/>
        <v>0</v>
      </c>
      <c r="Q17" s="115">
        <f t="shared" si="2"/>
        <v>0</v>
      </c>
      <c r="R17" s="115">
        <f t="shared" si="2"/>
        <v>0</v>
      </c>
      <c r="S17" s="115">
        <f t="shared" si="2"/>
        <v>0</v>
      </c>
      <c r="T17" s="115">
        <f t="shared" si="2"/>
        <v>0</v>
      </c>
      <c r="U17" s="115">
        <f t="shared" si="2"/>
        <v>0</v>
      </c>
      <c r="V17" s="115">
        <f t="shared" si="2"/>
        <v>0</v>
      </c>
      <c r="W17" s="115">
        <f t="shared" si="2"/>
        <v>0</v>
      </c>
      <c r="X17" s="115">
        <f t="shared" si="2"/>
        <v>0</v>
      </c>
      <c r="Y17" s="115">
        <f t="shared" si="2"/>
        <v>0</v>
      </c>
      <c r="Z17" s="115">
        <f t="shared" si="2"/>
        <v>0</v>
      </c>
      <c r="AA17" s="115">
        <f t="shared" si="2"/>
        <v>0</v>
      </c>
      <c r="AB17" s="115">
        <f t="shared" si="2"/>
        <v>0</v>
      </c>
      <c r="AC17" s="115">
        <f t="shared" si="2"/>
        <v>18599</v>
      </c>
      <c r="AD17" s="115">
        <f t="shared" si="2"/>
        <v>0</v>
      </c>
      <c r="AE17" s="751">
        <f>D17+G17+J17+M17+N17+O17+Q17+T17+W17+Z17+AD17+AC17</f>
        <v>38636</v>
      </c>
      <c r="AF17" s="51">
        <f>SUM(AE18:AE27)</f>
        <v>38636</v>
      </c>
    </row>
    <row r="18" spans="1:31" s="11" customFormat="1" ht="12.75">
      <c r="A18" s="718"/>
      <c r="B18" s="30" t="s">
        <v>69</v>
      </c>
      <c r="C18" s="550"/>
      <c r="D18" s="550">
        <v>6581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750">
        <f t="shared" si="1"/>
        <v>6581</v>
      </c>
    </row>
    <row r="19" spans="1:34" s="11" customFormat="1" ht="12.75">
      <c r="A19" s="718"/>
      <c r="B19" s="308" t="s">
        <v>744</v>
      </c>
      <c r="C19" s="550"/>
      <c r="D19" s="550">
        <v>1347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750">
        <f t="shared" si="1"/>
        <v>1347</v>
      </c>
      <c r="AH19" s="11">
        <f>(96*1.3422)</f>
        <v>128.8512</v>
      </c>
    </row>
    <row r="20" spans="1:34" s="11" customFormat="1" ht="12.75">
      <c r="A20" s="718"/>
      <c r="B20" s="10" t="s">
        <v>35</v>
      </c>
      <c r="C20" s="283"/>
      <c r="D20" s="283">
        <v>149</v>
      </c>
      <c r="E20" s="283"/>
      <c r="F20" s="283"/>
      <c r="G20" s="283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750">
        <f t="shared" si="1"/>
        <v>149</v>
      </c>
      <c r="AH20" s="11">
        <f>(4692*0.195)</f>
        <v>914.94</v>
      </c>
    </row>
    <row r="21" spans="1:31" s="11" customFormat="1" ht="12.75">
      <c r="A21" s="718"/>
      <c r="B21" s="30" t="s">
        <v>745</v>
      </c>
      <c r="C21" s="283"/>
      <c r="D21" s="283">
        <f>(6000+720)</f>
        <v>6720</v>
      </c>
      <c r="E21" s="283"/>
      <c r="F21" s="283"/>
      <c r="G21" s="283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750">
        <f t="shared" si="1"/>
        <v>6720</v>
      </c>
    </row>
    <row r="22" spans="1:31" s="11" customFormat="1" ht="12.75">
      <c r="A22" s="718"/>
      <c r="B22" s="30" t="s">
        <v>375</v>
      </c>
      <c r="C22" s="283"/>
      <c r="D22" s="283">
        <v>600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750">
        <f t="shared" si="1"/>
        <v>600</v>
      </c>
    </row>
    <row r="23" spans="1:31" s="11" customFormat="1" ht="12.75">
      <c r="A23" s="718"/>
      <c r="B23" s="30" t="s">
        <v>395</v>
      </c>
      <c r="C23" s="283"/>
      <c r="D23" s="283">
        <v>2640</v>
      </c>
      <c r="E23" s="115"/>
      <c r="F23" s="115"/>
      <c r="G23" s="115"/>
      <c r="H23" s="115"/>
      <c r="I23" s="115"/>
      <c r="J23" s="115"/>
      <c r="K23" s="115"/>
      <c r="L23" s="115"/>
      <c r="M23" s="115"/>
      <c r="N23" s="283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750">
        <f t="shared" si="1"/>
        <v>2640</v>
      </c>
    </row>
    <row r="24" spans="1:31" ht="12.75">
      <c r="A24" s="718"/>
      <c r="B24" s="30" t="s">
        <v>436</v>
      </c>
      <c r="C24" s="550"/>
      <c r="D24" s="550">
        <v>1000</v>
      </c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750">
        <f t="shared" si="1"/>
        <v>1000</v>
      </c>
    </row>
    <row r="25" spans="1:31" ht="12.75">
      <c r="A25" s="718"/>
      <c r="B25" s="30" t="s">
        <v>724</v>
      </c>
      <c r="C25" s="283"/>
      <c r="D25" s="283">
        <v>500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750">
        <f t="shared" si="1"/>
        <v>500</v>
      </c>
    </row>
    <row r="26" spans="1:31" ht="12.75">
      <c r="A26" s="718"/>
      <c r="B26" s="30" t="s">
        <v>1106</v>
      </c>
      <c r="C26" s="283"/>
      <c r="D26" s="283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>
        <v>7733</v>
      </c>
      <c r="AD26" s="367"/>
      <c r="AE26" s="750">
        <f>D26+G26+J26+M26+N26+O26+Q26+T26+W26+Z26+AD26+AC26</f>
        <v>7733</v>
      </c>
    </row>
    <row r="27" spans="1:31" ht="12.75">
      <c r="A27" s="718"/>
      <c r="B27" s="30" t="s">
        <v>721</v>
      </c>
      <c r="C27" s="283"/>
      <c r="D27" s="283">
        <v>500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>
        <f>(198+5080+2032+3556)</f>
        <v>10866</v>
      </c>
      <c r="AD27" s="367"/>
      <c r="AE27" s="750">
        <f>D27+G27+J27+M27+N27+O27+Q27+T27+W27+Z27+AD27+AC27</f>
        <v>11366</v>
      </c>
    </row>
    <row r="28" spans="1:32" ht="12.75">
      <c r="A28" s="718" t="s">
        <v>263</v>
      </c>
      <c r="B28" s="184" t="s">
        <v>349</v>
      </c>
      <c r="C28" s="282">
        <f aca="true" t="shared" si="3" ref="C28:AD28">SUM(C8+C17)</f>
        <v>0</v>
      </c>
      <c r="D28" s="282">
        <f t="shared" si="3"/>
        <v>28277</v>
      </c>
      <c r="E28" s="282">
        <f t="shared" si="3"/>
        <v>5548</v>
      </c>
      <c r="F28" s="282">
        <f t="shared" si="3"/>
        <v>0</v>
      </c>
      <c r="G28" s="282">
        <f t="shared" si="3"/>
        <v>5738</v>
      </c>
      <c r="H28" s="282">
        <f t="shared" si="3"/>
        <v>0</v>
      </c>
      <c r="I28" s="282">
        <f t="shared" si="3"/>
        <v>0</v>
      </c>
      <c r="J28" s="282">
        <f t="shared" si="3"/>
        <v>0</v>
      </c>
      <c r="K28" s="282">
        <f t="shared" si="3"/>
        <v>0</v>
      </c>
      <c r="L28" s="282">
        <f t="shared" si="3"/>
        <v>0</v>
      </c>
      <c r="M28" s="282">
        <f t="shared" si="3"/>
        <v>0</v>
      </c>
      <c r="N28" s="282">
        <f t="shared" si="3"/>
        <v>0</v>
      </c>
      <c r="O28" s="282">
        <f t="shared" si="3"/>
        <v>1494</v>
      </c>
      <c r="P28" s="282">
        <f t="shared" si="3"/>
        <v>0</v>
      </c>
      <c r="Q28" s="282">
        <f t="shared" si="3"/>
        <v>0</v>
      </c>
      <c r="R28" s="282">
        <f t="shared" si="3"/>
        <v>0</v>
      </c>
      <c r="S28" s="282">
        <f t="shared" si="3"/>
        <v>0</v>
      </c>
      <c r="T28" s="282">
        <f t="shared" si="3"/>
        <v>0</v>
      </c>
      <c r="U28" s="282">
        <f t="shared" si="3"/>
        <v>0</v>
      </c>
      <c r="V28" s="282">
        <f t="shared" si="3"/>
        <v>0</v>
      </c>
      <c r="W28" s="282">
        <f t="shared" si="3"/>
        <v>0</v>
      </c>
      <c r="X28" s="282">
        <f t="shared" si="3"/>
        <v>2055</v>
      </c>
      <c r="Y28" s="282">
        <f t="shared" si="3"/>
        <v>2142</v>
      </c>
      <c r="Z28" s="282">
        <f t="shared" si="3"/>
        <v>2796</v>
      </c>
      <c r="AA28" s="282">
        <f t="shared" si="3"/>
        <v>1967</v>
      </c>
      <c r="AB28" s="282">
        <f t="shared" si="3"/>
        <v>1967</v>
      </c>
      <c r="AC28" s="282">
        <f t="shared" si="3"/>
        <v>50063</v>
      </c>
      <c r="AD28" s="282">
        <f t="shared" si="3"/>
        <v>1967</v>
      </c>
      <c r="AE28" s="282">
        <f>D28+G28+J28+M28+N28+O28+Q28+T28+W28+Z28+AD28+AC28</f>
        <v>90335</v>
      </c>
      <c r="AF28" s="51">
        <f>SUM(AE8+AE17)</f>
        <v>90335</v>
      </c>
    </row>
    <row r="29" spans="1:31" ht="12.75">
      <c r="A29" s="77"/>
      <c r="B29" s="30" t="s">
        <v>32</v>
      </c>
      <c r="C29" s="367"/>
      <c r="D29" s="367">
        <f>(D9+D18+D21+D22+D23)*0.195</f>
        <v>4737.135</v>
      </c>
      <c r="E29" s="367">
        <f>1086+3+9+54</f>
        <v>1152</v>
      </c>
      <c r="F29" s="367"/>
      <c r="G29" s="367">
        <v>1042</v>
      </c>
      <c r="H29" s="367"/>
      <c r="I29" s="367"/>
      <c r="J29" s="367"/>
      <c r="K29" s="367"/>
      <c r="L29" s="367"/>
      <c r="M29" s="367"/>
      <c r="N29" s="367"/>
      <c r="O29" s="367">
        <v>277</v>
      </c>
      <c r="P29" s="367"/>
      <c r="Q29" s="367"/>
      <c r="R29" s="367"/>
      <c r="S29" s="367"/>
      <c r="T29" s="367"/>
      <c r="U29" s="367"/>
      <c r="V29" s="367"/>
      <c r="W29" s="367"/>
      <c r="X29" s="367">
        <f>425+3+11</f>
        <v>439</v>
      </c>
      <c r="Y29" s="367">
        <f>425+3+11+12</f>
        <v>451</v>
      </c>
      <c r="Z29" s="367">
        <v>504</v>
      </c>
      <c r="AA29" s="367">
        <f>215+2</f>
        <v>217</v>
      </c>
      <c r="AB29" s="367">
        <f>215+2</f>
        <v>217</v>
      </c>
      <c r="AC29" s="367">
        <f>(2817+3318)</f>
        <v>6135</v>
      </c>
      <c r="AD29" s="367">
        <f>215+2</f>
        <v>217</v>
      </c>
      <c r="AE29" s="750">
        <f>D29+G29+J29+M29+N29+O29+Q29+T29+W29+Z29+AD29+AC29</f>
        <v>12912.135</v>
      </c>
    </row>
    <row r="30" spans="1:31" ht="12.75" hidden="1">
      <c r="A30" s="77"/>
      <c r="B30" s="30" t="s">
        <v>502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750">
        <f t="shared" si="1"/>
        <v>0</v>
      </c>
    </row>
    <row r="31" spans="1:31" ht="12.75">
      <c r="A31" s="77"/>
      <c r="B31" s="30" t="s">
        <v>155</v>
      </c>
      <c r="C31" s="367"/>
      <c r="D31" s="367">
        <f>(1100+99)</f>
        <v>1199</v>
      </c>
      <c r="E31" s="367">
        <v>40</v>
      </c>
      <c r="F31" s="367"/>
      <c r="G31" s="367">
        <v>66</v>
      </c>
      <c r="H31" s="367"/>
      <c r="I31" s="367"/>
      <c r="J31" s="367"/>
      <c r="K31" s="367"/>
      <c r="L31" s="367"/>
      <c r="M31" s="367"/>
      <c r="N31" s="367"/>
      <c r="O31" s="367">
        <v>25</v>
      </c>
      <c r="P31" s="367"/>
      <c r="Q31" s="367"/>
      <c r="R31" s="367"/>
      <c r="S31" s="367"/>
      <c r="T31" s="367"/>
      <c r="U31" s="367"/>
      <c r="V31" s="367"/>
      <c r="W31" s="367"/>
      <c r="X31" s="367">
        <v>20</v>
      </c>
      <c r="Y31" s="367">
        <v>20</v>
      </c>
      <c r="Z31" s="367">
        <v>33</v>
      </c>
      <c r="AA31" s="367"/>
      <c r="AB31" s="367"/>
      <c r="AC31" s="367">
        <v>2000</v>
      </c>
      <c r="AD31" s="367"/>
      <c r="AE31" s="750">
        <f aca="true" t="shared" si="4" ref="AE31:AE36">D31+G31+J31+M31+N31+O31+Q31+T31+W31+Z31+AD31+AC31</f>
        <v>3323</v>
      </c>
    </row>
    <row r="32" spans="1:32" ht="12.75">
      <c r="A32" s="718" t="s">
        <v>264</v>
      </c>
      <c r="B32" s="184" t="s">
        <v>140</v>
      </c>
      <c r="C32" s="282">
        <f aca="true" t="shared" si="5" ref="C32:AD32">SUM(C29:C31)</f>
        <v>0</v>
      </c>
      <c r="D32" s="282">
        <f>SUM(D29:D31)</f>
        <v>5936.135</v>
      </c>
      <c r="E32" s="282">
        <f t="shared" si="5"/>
        <v>1192</v>
      </c>
      <c r="F32" s="282">
        <f>SUM(F29:F31)</f>
        <v>0</v>
      </c>
      <c r="G32" s="282">
        <f t="shared" si="5"/>
        <v>1108</v>
      </c>
      <c r="H32" s="282">
        <f t="shared" si="5"/>
        <v>0</v>
      </c>
      <c r="I32" s="282">
        <f>SUM(I29:I31)</f>
        <v>0</v>
      </c>
      <c r="J32" s="282">
        <f t="shared" si="5"/>
        <v>0</v>
      </c>
      <c r="K32" s="282">
        <f t="shared" si="5"/>
        <v>0</v>
      </c>
      <c r="L32" s="282">
        <f>SUM(L29:L31)</f>
        <v>0</v>
      </c>
      <c r="M32" s="282">
        <f t="shared" si="5"/>
        <v>0</v>
      </c>
      <c r="N32" s="282">
        <f t="shared" si="5"/>
        <v>0</v>
      </c>
      <c r="O32" s="282">
        <f t="shared" si="5"/>
        <v>302</v>
      </c>
      <c r="P32" s="282">
        <f t="shared" si="5"/>
        <v>0</v>
      </c>
      <c r="Q32" s="282">
        <f t="shared" si="5"/>
        <v>0</v>
      </c>
      <c r="R32" s="282">
        <f t="shared" si="5"/>
        <v>0</v>
      </c>
      <c r="S32" s="282">
        <f>SUM(S29:S31)</f>
        <v>0</v>
      </c>
      <c r="T32" s="282">
        <f t="shared" si="5"/>
        <v>0</v>
      </c>
      <c r="U32" s="282">
        <f t="shared" si="5"/>
        <v>0</v>
      </c>
      <c r="V32" s="282">
        <f>SUM(V29:V31)</f>
        <v>0</v>
      </c>
      <c r="W32" s="282">
        <f t="shared" si="5"/>
        <v>0</v>
      </c>
      <c r="X32" s="282">
        <f t="shared" si="5"/>
        <v>459</v>
      </c>
      <c r="Y32" s="282">
        <f>SUM(Y29:Y31)</f>
        <v>471</v>
      </c>
      <c r="Z32" s="282">
        <f t="shared" si="5"/>
        <v>537</v>
      </c>
      <c r="AA32" s="282">
        <f t="shared" si="5"/>
        <v>217</v>
      </c>
      <c r="AB32" s="282">
        <f t="shared" si="5"/>
        <v>217</v>
      </c>
      <c r="AC32" s="282">
        <f t="shared" si="5"/>
        <v>8135</v>
      </c>
      <c r="AD32" s="282">
        <f t="shared" si="5"/>
        <v>217</v>
      </c>
      <c r="AE32" s="282">
        <f t="shared" si="4"/>
        <v>16235.135</v>
      </c>
      <c r="AF32" s="51">
        <f>SUM(AE29:AE31)</f>
        <v>16235.135</v>
      </c>
    </row>
    <row r="33" spans="1:32" ht="12.75">
      <c r="A33" s="718" t="s">
        <v>315</v>
      </c>
      <c r="B33" s="34" t="s">
        <v>337</v>
      </c>
      <c r="C33" s="115">
        <f aca="true" t="shared" si="6" ref="C33:AD33">SUM(C34:C41)</f>
        <v>0</v>
      </c>
      <c r="D33" s="115">
        <f>SUM(D34:D41)</f>
        <v>2378</v>
      </c>
      <c r="E33" s="115">
        <f t="shared" si="6"/>
        <v>30</v>
      </c>
      <c r="F33" s="115">
        <f>SUM(F34:F41)</f>
        <v>0</v>
      </c>
      <c r="G33" s="115">
        <f t="shared" si="6"/>
        <v>30</v>
      </c>
      <c r="H33" s="115">
        <f t="shared" si="6"/>
        <v>0</v>
      </c>
      <c r="I33" s="115">
        <f>SUM(I34:I41)</f>
        <v>0</v>
      </c>
      <c r="J33" s="115">
        <f t="shared" si="6"/>
        <v>0</v>
      </c>
      <c r="K33" s="115">
        <f t="shared" si="6"/>
        <v>120</v>
      </c>
      <c r="L33" s="115">
        <f>SUM(L34:L41)</f>
        <v>0</v>
      </c>
      <c r="M33" s="115">
        <f t="shared" si="6"/>
        <v>120</v>
      </c>
      <c r="N33" s="115">
        <f t="shared" si="6"/>
        <v>400</v>
      </c>
      <c r="O33" s="115">
        <f t="shared" si="6"/>
        <v>0</v>
      </c>
      <c r="P33" s="115">
        <f t="shared" si="6"/>
        <v>0</v>
      </c>
      <c r="Q33" s="115">
        <f t="shared" si="6"/>
        <v>0</v>
      </c>
      <c r="R33" s="115">
        <f t="shared" si="6"/>
        <v>0</v>
      </c>
      <c r="S33" s="115">
        <f>SUM(S34:S41)</f>
        <v>0</v>
      </c>
      <c r="T33" s="115">
        <f t="shared" si="6"/>
        <v>0</v>
      </c>
      <c r="U33" s="115">
        <f t="shared" si="6"/>
        <v>40</v>
      </c>
      <c r="V33" s="115">
        <f>SUM(V34:V41)</f>
        <v>40</v>
      </c>
      <c r="W33" s="115">
        <f t="shared" si="6"/>
        <v>40</v>
      </c>
      <c r="X33" s="115">
        <f t="shared" si="6"/>
        <v>820</v>
      </c>
      <c r="Y33" s="115">
        <f>SUM(Y34:Y41)</f>
        <v>820</v>
      </c>
      <c r="Z33" s="115">
        <f t="shared" si="6"/>
        <v>820</v>
      </c>
      <c r="AA33" s="115">
        <f t="shared" si="6"/>
        <v>0</v>
      </c>
      <c r="AB33" s="115">
        <f t="shared" si="6"/>
        <v>0</v>
      </c>
      <c r="AC33" s="115">
        <f t="shared" si="6"/>
        <v>596</v>
      </c>
      <c r="AD33" s="115">
        <f t="shared" si="6"/>
        <v>0</v>
      </c>
      <c r="AE33" s="751">
        <f t="shared" si="4"/>
        <v>4384</v>
      </c>
      <c r="AF33" s="51">
        <f>SUM(AE34:AE41)</f>
        <v>4384</v>
      </c>
    </row>
    <row r="34" spans="1:31" ht="12.75">
      <c r="A34" s="77" t="s">
        <v>316</v>
      </c>
      <c r="B34" s="30" t="s">
        <v>405</v>
      </c>
      <c r="C34" s="283"/>
      <c r="D34" s="283">
        <f>200+115+35</f>
        <v>350</v>
      </c>
      <c r="E34" s="283">
        <v>0</v>
      </c>
      <c r="F34" s="283"/>
      <c r="G34" s="283">
        <v>0</v>
      </c>
      <c r="H34" s="367"/>
      <c r="I34" s="367"/>
      <c r="J34" s="367"/>
      <c r="K34" s="367">
        <f>50-10-20</f>
        <v>20</v>
      </c>
      <c r="L34" s="367"/>
      <c r="M34" s="367">
        <f>50-10-20</f>
        <v>20</v>
      </c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>
        <v>700</v>
      </c>
      <c r="Y34" s="367">
        <v>700</v>
      </c>
      <c r="Z34" s="367">
        <v>700</v>
      </c>
      <c r="AA34" s="367"/>
      <c r="AB34" s="367"/>
      <c r="AC34" s="367"/>
      <c r="AD34" s="367"/>
      <c r="AE34" s="750">
        <f t="shared" si="4"/>
        <v>1070</v>
      </c>
    </row>
    <row r="35" spans="1:31" ht="12.75">
      <c r="A35" s="77" t="s">
        <v>317</v>
      </c>
      <c r="B35" s="30" t="s">
        <v>338</v>
      </c>
      <c r="C35" s="283"/>
      <c r="D35" s="283"/>
      <c r="E35" s="283"/>
      <c r="F35" s="283"/>
      <c r="G35" s="283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>
        <f>(279+317)</f>
        <v>596</v>
      </c>
      <c r="AD35" s="367"/>
      <c r="AE35" s="750">
        <f t="shared" si="4"/>
        <v>596</v>
      </c>
    </row>
    <row r="36" spans="1:31" ht="12.75">
      <c r="A36" s="77"/>
      <c r="B36" s="30" t="s">
        <v>1104</v>
      </c>
      <c r="C36" s="283"/>
      <c r="D36" s="283">
        <v>98</v>
      </c>
      <c r="E36" s="283"/>
      <c r="F36" s="283"/>
      <c r="G36" s="283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750">
        <f t="shared" si="4"/>
        <v>98</v>
      </c>
    </row>
    <row r="37" spans="1:31" ht="12.75">
      <c r="A37" s="77"/>
      <c r="B37" s="30" t="s">
        <v>661</v>
      </c>
      <c r="C37" s="283"/>
      <c r="D37" s="283">
        <v>500</v>
      </c>
      <c r="E37" s="283">
        <f>10-10</f>
        <v>0</v>
      </c>
      <c r="F37" s="283"/>
      <c r="G37" s="283">
        <f>10-10</f>
        <v>0</v>
      </c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>
        <v>50</v>
      </c>
      <c r="Y37" s="367">
        <v>50</v>
      </c>
      <c r="Z37" s="367">
        <v>50</v>
      </c>
      <c r="AA37" s="367"/>
      <c r="AB37" s="367"/>
      <c r="AC37" s="283"/>
      <c r="AD37" s="367"/>
      <c r="AE37" s="750">
        <f t="shared" si="1"/>
        <v>550</v>
      </c>
    </row>
    <row r="38" spans="1:31" ht="12.75">
      <c r="A38" s="77"/>
      <c r="B38" s="30" t="s">
        <v>360</v>
      </c>
      <c r="C38" s="283"/>
      <c r="D38" s="283">
        <v>100</v>
      </c>
      <c r="E38" s="283"/>
      <c r="F38" s="283"/>
      <c r="G38" s="283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>
        <v>70</v>
      </c>
      <c r="Y38" s="367">
        <v>70</v>
      </c>
      <c r="Z38" s="367">
        <v>70</v>
      </c>
      <c r="AA38" s="367"/>
      <c r="AB38" s="367"/>
      <c r="AC38" s="283"/>
      <c r="AD38" s="367"/>
      <c r="AE38" s="750">
        <f t="shared" si="1"/>
        <v>170</v>
      </c>
    </row>
    <row r="39" spans="1:31" ht="12.75">
      <c r="A39" s="77"/>
      <c r="B39" s="30" t="s">
        <v>361</v>
      </c>
      <c r="C39" s="283"/>
      <c r="D39" s="283">
        <v>1000</v>
      </c>
      <c r="E39" s="283"/>
      <c r="F39" s="283"/>
      <c r="G39" s="283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283"/>
      <c r="AD39" s="367"/>
      <c r="AE39" s="750">
        <f t="shared" si="1"/>
        <v>1000</v>
      </c>
    </row>
    <row r="40" spans="1:31" ht="12.75">
      <c r="A40" s="77"/>
      <c r="B40" s="30" t="s">
        <v>660</v>
      </c>
      <c r="C40" s="283"/>
      <c r="D40" s="283">
        <f>700-400</f>
        <v>300</v>
      </c>
      <c r="E40" s="283">
        <v>0</v>
      </c>
      <c r="F40" s="283"/>
      <c r="G40" s="283">
        <v>0</v>
      </c>
      <c r="H40" s="367"/>
      <c r="I40" s="367"/>
      <c r="J40" s="367"/>
      <c r="K40" s="367">
        <v>100</v>
      </c>
      <c r="L40" s="367"/>
      <c r="M40" s="367">
        <v>100</v>
      </c>
      <c r="N40" s="367">
        <v>400</v>
      </c>
      <c r="O40" s="367"/>
      <c r="P40" s="367"/>
      <c r="Q40" s="367"/>
      <c r="R40" s="367"/>
      <c r="S40" s="367"/>
      <c r="T40" s="367"/>
      <c r="U40" s="367">
        <v>40</v>
      </c>
      <c r="V40" s="367">
        <v>40</v>
      </c>
      <c r="W40" s="367">
        <v>40</v>
      </c>
      <c r="X40" s="367"/>
      <c r="Y40" s="367"/>
      <c r="Z40" s="367"/>
      <c r="AA40" s="367"/>
      <c r="AB40" s="367"/>
      <c r="AC40" s="283"/>
      <c r="AD40" s="367"/>
      <c r="AE40" s="750">
        <f t="shared" si="1"/>
        <v>840</v>
      </c>
    </row>
    <row r="41" spans="1:31" ht="12.75">
      <c r="A41" s="77"/>
      <c r="B41" s="30" t="s">
        <v>388</v>
      </c>
      <c r="C41" s="283"/>
      <c r="D41" s="283">
        <v>30</v>
      </c>
      <c r="E41" s="283">
        <v>30</v>
      </c>
      <c r="F41" s="283"/>
      <c r="G41" s="283">
        <v>30</v>
      </c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283"/>
      <c r="AD41" s="367"/>
      <c r="AE41" s="750">
        <f t="shared" si="1"/>
        <v>60</v>
      </c>
    </row>
    <row r="42" spans="1:32" ht="12.75">
      <c r="A42" s="718" t="s">
        <v>318</v>
      </c>
      <c r="B42" s="34" t="s">
        <v>340</v>
      </c>
      <c r="C42" s="115">
        <f aca="true" t="shared" si="7" ref="C42:AD42">SUM(C43:C44)</f>
        <v>0</v>
      </c>
      <c r="D42" s="115">
        <f>SUM(D43:D44)</f>
        <v>800</v>
      </c>
      <c r="E42" s="115">
        <f t="shared" si="7"/>
        <v>0</v>
      </c>
      <c r="F42" s="115">
        <f>SUM(F43:F44)</f>
        <v>0</v>
      </c>
      <c r="G42" s="115">
        <f t="shared" si="7"/>
        <v>0</v>
      </c>
      <c r="H42" s="115">
        <f t="shared" si="7"/>
        <v>0</v>
      </c>
      <c r="I42" s="115">
        <f>SUM(I43:I44)</f>
        <v>0</v>
      </c>
      <c r="J42" s="115">
        <f t="shared" si="7"/>
        <v>0</v>
      </c>
      <c r="K42" s="115">
        <f t="shared" si="7"/>
        <v>15</v>
      </c>
      <c r="L42" s="115">
        <f>SUM(L43:L44)</f>
        <v>0</v>
      </c>
      <c r="M42" s="115">
        <f t="shared" si="7"/>
        <v>15</v>
      </c>
      <c r="N42" s="115">
        <f t="shared" si="7"/>
        <v>215</v>
      </c>
      <c r="O42" s="115">
        <f t="shared" si="7"/>
        <v>0</v>
      </c>
      <c r="P42" s="115">
        <f t="shared" si="7"/>
        <v>0</v>
      </c>
      <c r="Q42" s="115">
        <f t="shared" si="7"/>
        <v>0</v>
      </c>
      <c r="R42" s="115">
        <f t="shared" si="7"/>
        <v>0</v>
      </c>
      <c r="S42" s="115">
        <f>SUM(S43:S44)</f>
        <v>0</v>
      </c>
      <c r="T42" s="115">
        <f t="shared" si="7"/>
        <v>0</v>
      </c>
      <c r="U42" s="115">
        <f t="shared" si="7"/>
        <v>25</v>
      </c>
      <c r="V42" s="115">
        <f>SUM(V43:V44)</f>
        <v>25</v>
      </c>
      <c r="W42" s="115">
        <f t="shared" si="7"/>
        <v>25</v>
      </c>
      <c r="X42" s="115">
        <f t="shared" si="7"/>
        <v>0</v>
      </c>
      <c r="Y42" s="115">
        <f>SUM(Y43:Y44)</f>
        <v>0</v>
      </c>
      <c r="Z42" s="115">
        <f t="shared" si="7"/>
        <v>0</v>
      </c>
      <c r="AA42" s="115">
        <f t="shared" si="7"/>
        <v>0</v>
      </c>
      <c r="AB42" s="115">
        <f t="shared" si="7"/>
        <v>0</v>
      </c>
      <c r="AC42" s="115">
        <f t="shared" si="7"/>
        <v>0</v>
      </c>
      <c r="AD42" s="115">
        <f t="shared" si="7"/>
        <v>0</v>
      </c>
      <c r="AE42" s="751">
        <f t="shared" si="1"/>
        <v>1055</v>
      </c>
      <c r="AF42" s="51">
        <f>SUM(AE43:AE44)</f>
        <v>1055</v>
      </c>
    </row>
    <row r="43" spans="1:31" ht="12.75">
      <c r="A43" s="77" t="s">
        <v>319</v>
      </c>
      <c r="B43" s="30" t="s">
        <v>392</v>
      </c>
      <c r="C43" s="283"/>
      <c r="D43" s="283">
        <v>250</v>
      </c>
      <c r="E43" s="387"/>
      <c r="F43" s="387"/>
      <c r="G43" s="387"/>
      <c r="H43" s="367"/>
      <c r="I43" s="367"/>
      <c r="J43" s="367"/>
      <c r="K43" s="367"/>
      <c r="L43" s="367"/>
      <c r="M43" s="367"/>
      <c r="N43" s="367">
        <f>150-35</f>
        <v>115</v>
      </c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283"/>
      <c r="AD43" s="367"/>
      <c r="AE43" s="750">
        <f t="shared" si="1"/>
        <v>365</v>
      </c>
    </row>
    <row r="44" spans="1:31" ht="12.75">
      <c r="A44" s="77" t="s">
        <v>320</v>
      </c>
      <c r="B44" s="30" t="s">
        <v>363</v>
      </c>
      <c r="C44" s="283"/>
      <c r="D44" s="283">
        <f>500+50</f>
        <v>550</v>
      </c>
      <c r="E44" s="387"/>
      <c r="F44" s="387"/>
      <c r="G44" s="387"/>
      <c r="H44" s="367"/>
      <c r="I44" s="367"/>
      <c r="J44" s="367"/>
      <c r="K44" s="367">
        <v>15</v>
      </c>
      <c r="L44" s="367"/>
      <c r="M44" s="367">
        <v>15</v>
      </c>
      <c r="N44" s="367">
        <v>100</v>
      </c>
      <c r="O44" s="367"/>
      <c r="P44" s="367"/>
      <c r="Q44" s="367"/>
      <c r="R44" s="367"/>
      <c r="S44" s="367"/>
      <c r="T44" s="367"/>
      <c r="U44" s="367">
        <f>75-50</f>
        <v>25</v>
      </c>
      <c r="V44" s="367">
        <f>75-50</f>
        <v>25</v>
      </c>
      <c r="W44" s="367">
        <f>75-50</f>
        <v>25</v>
      </c>
      <c r="X44" s="367"/>
      <c r="Y44" s="367"/>
      <c r="Z44" s="367"/>
      <c r="AA44" s="367"/>
      <c r="AB44" s="367"/>
      <c r="AC44" s="283"/>
      <c r="AD44" s="367"/>
      <c r="AE44" s="750">
        <f>D44+G44+J44+M44+N44+O44+Q44+T44+W44+Z44+AD44</f>
        <v>690</v>
      </c>
    </row>
    <row r="45" spans="1:32" ht="12.75">
      <c r="A45" s="718" t="s">
        <v>321</v>
      </c>
      <c r="B45" s="34" t="s">
        <v>342</v>
      </c>
      <c r="C45" s="115">
        <f aca="true" t="shared" si="8" ref="C45:AD45">SUM(C46:C93)</f>
        <v>0</v>
      </c>
      <c r="D45" s="115">
        <f t="shared" si="8"/>
        <v>102255.04811023621</v>
      </c>
      <c r="E45" s="115">
        <f t="shared" si="8"/>
        <v>0</v>
      </c>
      <c r="F45" s="115">
        <f t="shared" si="8"/>
        <v>0</v>
      </c>
      <c r="G45" s="115">
        <f t="shared" si="8"/>
        <v>0</v>
      </c>
      <c r="H45" s="115">
        <f t="shared" si="8"/>
        <v>12700</v>
      </c>
      <c r="I45" s="115">
        <f t="shared" si="8"/>
        <v>0</v>
      </c>
      <c r="J45" s="115">
        <f t="shared" si="8"/>
        <v>12700</v>
      </c>
      <c r="K45" s="115">
        <f t="shared" si="8"/>
        <v>8844</v>
      </c>
      <c r="L45" s="115">
        <f t="shared" si="8"/>
        <v>0</v>
      </c>
      <c r="M45" s="115">
        <f t="shared" si="8"/>
        <v>9240</v>
      </c>
      <c r="N45" s="115">
        <f t="shared" si="8"/>
        <v>7961</v>
      </c>
      <c r="O45" s="115">
        <f t="shared" si="8"/>
        <v>11000</v>
      </c>
      <c r="P45" s="115">
        <f t="shared" si="8"/>
        <v>0</v>
      </c>
      <c r="Q45" s="115">
        <f t="shared" si="8"/>
        <v>0</v>
      </c>
      <c r="R45" s="115">
        <f t="shared" si="8"/>
        <v>2640</v>
      </c>
      <c r="S45" s="115">
        <f t="shared" si="8"/>
        <v>2640</v>
      </c>
      <c r="T45" s="115">
        <f t="shared" si="8"/>
        <v>2640</v>
      </c>
      <c r="U45" s="115">
        <f t="shared" si="8"/>
        <v>0</v>
      </c>
      <c r="V45" s="115">
        <f t="shared" si="8"/>
        <v>0</v>
      </c>
      <c r="W45" s="115">
        <f t="shared" si="8"/>
        <v>0</v>
      </c>
      <c r="X45" s="115">
        <f t="shared" si="8"/>
        <v>470</v>
      </c>
      <c r="Y45" s="115">
        <f t="shared" si="8"/>
        <v>470</v>
      </c>
      <c r="Z45" s="115">
        <f t="shared" si="8"/>
        <v>470</v>
      </c>
      <c r="AA45" s="115">
        <f t="shared" si="8"/>
        <v>0</v>
      </c>
      <c r="AB45" s="115">
        <f t="shared" si="8"/>
        <v>0</v>
      </c>
      <c r="AC45" s="115">
        <f t="shared" si="8"/>
        <v>45898.78740157481</v>
      </c>
      <c r="AD45" s="115">
        <f t="shared" si="8"/>
        <v>0</v>
      </c>
      <c r="AE45" s="751">
        <f>D45+G45+J45+M45+N45+O45+Q45+T45+W45+Z45+AD45+AC45</f>
        <v>192164.83551181102</v>
      </c>
      <c r="AF45" s="51">
        <f>SUM(AE46:AE93)</f>
        <v>192164.83551181102</v>
      </c>
    </row>
    <row r="46" spans="1:31" s="11" customFormat="1" ht="12.75">
      <c r="A46" s="77" t="s">
        <v>322</v>
      </c>
      <c r="B46" s="30" t="s">
        <v>359</v>
      </c>
      <c r="C46" s="283"/>
      <c r="D46" s="283"/>
      <c r="E46" s="387"/>
      <c r="F46" s="387"/>
      <c r="G46" s="387"/>
      <c r="H46" s="367">
        <v>12700</v>
      </c>
      <c r="I46" s="367"/>
      <c r="J46" s="367">
        <v>12700</v>
      </c>
      <c r="K46" s="367">
        <v>400</v>
      </c>
      <c r="L46" s="367"/>
      <c r="M46" s="367">
        <v>400</v>
      </c>
      <c r="N46" s="283">
        <f>2000+1800+685</f>
        <v>4485</v>
      </c>
      <c r="O46" s="367"/>
      <c r="P46" s="367"/>
      <c r="Q46" s="367"/>
      <c r="R46" s="367"/>
      <c r="S46" s="367"/>
      <c r="T46" s="367"/>
      <c r="U46" s="367">
        <f>2000-2000</f>
        <v>0</v>
      </c>
      <c r="V46" s="367">
        <f>2000-2000</f>
        <v>0</v>
      </c>
      <c r="W46" s="367">
        <f>2000-2000</f>
        <v>0</v>
      </c>
      <c r="X46" s="367"/>
      <c r="Y46" s="367"/>
      <c r="Z46" s="367"/>
      <c r="AA46" s="367"/>
      <c r="AB46" s="367"/>
      <c r="AC46" s="283">
        <v>91</v>
      </c>
      <c r="AD46" s="367"/>
      <c r="AE46" s="750">
        <f aca="true" t="shared" si="9" ref="AE46:AE52">D46+G46+J46+M46+N46+O46+Q46+T46+W46+Z46+AD46+AC46</f>
        <v>17676</v>
      </c>
    </row>
    <row r="47" spans="1:31" s="11" customFormat="1" ht="12.75">
      <c r="A47" s="77" t="s">
        <v>386</v>
      </c>
      <c r="B47" s="30" t="s">
        <v>387</v>
      </c>
      <c r="C47" s="283"/>
      <c r="D47" s="283"/>
      <c r="E47" s="387"/>
      <c r="F47" s="387"/>
      <c r="G47" s="387"/>
      <c r="H47" s="367"/>
      <c r="I47" s="367"/>
      <c r="J47" s="367"/>
      <c r="K47" s="367"/>
      <c r="L47" s="367"/>
      <c r="M47" s="367"/>
      <c r="N47" s="367"/>
      <c r="O47" s="367">
        <f>10000+1000</f>
        <v>11000</v>
      </c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283"/>
      <c r="AD47" s="367"/>
      <c r="AE47" s="750">
        <f t="shared" si="9"/>
        <v>11000</v>
      </c>
    </row>
    <row r="48" spans="1:31" s="11" customFormat="1" ht="12.75">
      <c r="A48" s="77" t="s">
        <v>323</v>
      </c>
      <c r="B48" s="30" t="s">
        <v>358</v>
      </c>
      <c r="C48" s="283"/>
      <c r="D48" s="283">
        <f>200+150+500</f>
        <v>850</v>
      </c>
      <c r="E48" s="387"/>
      <c r="F48" s="387"/>
      <c r="G48" s="387"/>
      <c r="H48" s="367"/>
      <c r="I48" s="367"/>
      <c r="J48" s="367"/>
      <c r="K48" s="367"/>
      <c r="L48" s="367"/>
      <c r="M48" s="367"/>
      <c r="N48" s="367">
        <f>600-400-200</f>
        <v>0</v>
      </c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283">
        <f>(1676)</f>
        <v>1676</v>
      </c>
      <c r="AD48" s="367"/>
      <c r="AE48" s="750">
        <f t="shared" si="9"/>
        <v>2526</v>
      </c>
    </row>
    <row r="49" spans="1:31" s="11" customFormat="1" ht="12.75">
      <c r="A49" s="77" t="s">
        <v>324</v>
      </c>
      <c r="B49" s="30" t="s">
        <v>357</v>
      </c>
      <c r="C49" s="283"/>
      <c r="D49" s="283">
        <f>1000+103</f>
        <v>1103</v>
      </c>
      <c r="E49" s="387"/>
      <c r="F49" s="387"/>
      <c r="G49" s="387"/>
      <c r="H49" s="367"/>
      <c r="I49" s="367"/>
      <c r="J49" s="367"/>
      <c r="K49" s="367">
        <v>50</v>
      </c>
      <c r="L49" s="367"/>
      <c r="M49" s="367">
        <v>50</v>
      </c>
      <c r="N49" s="367">
        <v>700</v>
      </c>
      <c r="O49" s="367"/>
      <c r="P49" s="367"/>
      <c r="Q49" s="367"/>
      <c r="R49" s="367"/>
      <c r="S49" s="367"/>
      <c r="T49" s="367"/>
      <c r="U49" s="367"/>
      <c r="V49" s="367"/>
      <c r="W49" s="367"/>
      <c r="X49" s="367">
        <v>150</v>
      </c>
      <c r="Y49" s="367">
        <v>150</v>
      </c>
      <c r="Z49" s="367">
        <v>150</v>
      </c>
      <c r="AA49" s="367"/>
      <c r="AB49" s="367"/>
      <c r="AC49" s="283"/>
      <c r="AD49" s="367"/>
      <c r="AE49" s="750">
        <f t="shared" si="9"/>
        <v>2003</v>
      </c>
    </row>
    <row r="50" spans="1:31" s="11" customFormat="1" ht="12.75">
      <c r="A50" s="77"/>
      <c r="B50" s="30" t="s">
        <v>533</v>
      </c>
      <c r="C50" s="283"/>
      <c r="D50" s="283"/>
      <c r="E50" s="387"/>
      <c r="F50" s="387"/>
      <c r="G50" s="387"/>
      <c r="H50" s="367"/>
      <c r="I50" s="367"/>
      <c r="J50" s="367"/>
      <c r="K50" s="367"/>
      <c r="L50" s="367"/>
      <c r="M50" s="367"/>
      <c r="N50" s="367">
        <v>796</v>
      </c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283"/>
      <c r="AD50" s="367"/>
      <c r="AE50" s="750">
        <f t="shared" si="9"/>
        <v>796</v>
      </c>
    </row>
    <row r="51" spans="1:31" s="11" customFormat="1" ht="12.75">
      <c r="A51" s="77" t="s">
        <v>326</v>
      </c>
      <c r="B51" s="30" t="s">
        <v>355</v>
      </c>
      <c r="C51" s="283"/>
      <c r="D51" s="283">
        <v>996</v>
      </c>
      <c r="E51" s="387"/>
      <c r="F51" s="387"/>
      <c r="G51" s="387"/>
      <c r="H51" s="367"/>
      <c r="I51" s="367"/>
      <c r="J51" s="367"/>
      <c r="K51" s="367">
        <v>4</v>
      </c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283"/>
      <c r="AD51" s="367"/>
      <c r="AE51" s="750">
        <f t="shared" si="9"/>
        <v>996</v>
      </c>
    </row>
    <row r="52" spans="1:31" s="11" customFormat="1" ht="12.75">
      <c r="A52" s="77"/>
      <c r="B52" s="30" t="s">
        <v>368</v>
      </c>
      <c r="C52" s="283"/>
      <c r="D52" s="283">
        <f>1230+24</f>
        <v>1254</v>
      </c>
      <c r="E52" s="387"/>
      <c r="F52" s="387"/>
      <c r="G52" s="38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283">
        <f>(508/1.27)</f>
        <v>400</v>
      </c>
      <c r="AD52" s="367"/>
      <c r="AE52" s="750">
        <f t="shared" si="9"/>
        <v>1654</v>
      </c>
    </row>
    <row r="53" spans="1:31" s="11" customFormat="1" ht="12.75">
      <c r="A53" s="77"/>
      <c r="B53" s="30" t="s">
        <v>1113</v>
      </c>
      <c r="C53" s="283"/>
      <c r="D53" s="283"/>
      <c r="E53" s="387"/>
      <c r="F53" s="387"/>
      <c r="G53" s="38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283">
        <v>39000</v>
      </c>
      <c r="AD53" s="367"/>
      <c r="AE53" s="750">
        <f aca="true" t="shared" si="10" ref="AE53:AE93">D53+G53+J53+M53+N53+O53+Q53+T53+W53+Z53+AD53+AC53</f>
        <v>39000</v>
      </c>
    </row>
    <row r="54" spans="1:31" s="11" customFormat="1" ht="12.75">
      <c r="A54" s="77"/>
      <c r="B54" s="30" t="s">
        <v>1107</v>
      </c>
      <c r="C54" s="283"/>
      <c r="D54" s="283"/>
      <c r="E54" s="387"/>
      <c r="F54" s="387"/>
      <c r="G54" s="38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283">
        <f>(3747/1.27)</f>
        <v>2950.3937007874015</v>
      </c>
      <c r="AD54" s="367"/>
      <c r="AE54" s="750">
        <f t="shared" si="10"/>
        <v>2950.3937007874015</v>
      </c>
    </row>
    <row r="55" spans="1:31" s="11" customFormat="1" ht="12.75">
      <c r="A55" s="77"/>
      <c r="B55" s="30" t="s">
        <v>1111</v>
      </c>
      <c r="C55" s="283"/>
      <c r="D55" s="283"/>
      <c r="E55" s="387"/>
      <c r="F55" s="387"/>
      <c r="G55" s="38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283">
        <f>(762/1.27)</f>
        <v>600</v>
      </c>
      <c r="AD55" s="367"/>
      <c r="AE55" s="750">
        <f t="shared" si="10"/>
        <v>600</v>
      </c>
    </row>
    <row r="56" spans="1:31" s="11" customFormat="1" ht="12.75">
      <c r="A56" s="77"/>
      <c r="B56" s="30" t="s">
        <v>1112</v>
      </c>
      <c r="C56" s="283"/>
      <c r="D56" s="283"/>
      <c r="E56" s="387"/>
      <c r="F56" s="387"/>
      <c r="G56" s="38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283">
        <f>(762/1.27)</f>
        <v>600</v>
      </c>
      <c r="AD56" s="367"/>
      <c r="AE56" s="750">
        <f t="shared" si="10"/>
        <v>600</v>
      </c>
    </row>
    <row r="57" spans="1:31" s="11" customFormat="1" ht="12.75">
      <c r="A57" s="77"/>
      <c r="B57" s="30" t="s">
        <v>1108</v>
      </c>
      <c r="C57" s="283"/>
      <c r="D57" s="283"/>
      <c r="E57" s="387"/>
      <c r="F57" s="387"/>
      <c r="G57" s="38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283">
        <f>(445/1.27)</f>
        <v>350.39370078740154</v>
      </c>
      <c r="AD57" s="367"/>
      <c r="AE57" s="750">
        <f t="shared" si="10"/>
        <v>350.39370078740154</v>
      </c>
    </row>
    <row r="58" spans="1:31" s="11" customFormat="1" ht="12.75">
      <c r="A58" s="77"/>
      <c r="B58" s="30" t="s">
        <v>369</v>
      </c>
      <c r="C58" s="283"/>
      <c r="D58" s="283">
        <v>720</v>
      </c>
      <c r="E58" s="387"/>
      <c r="F58" s="387"/>
      <c r="G58" s="38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283"/>
      <c r="AD58" s="367"/>
      <c r="AE58" s="750">
        <f t="shared" si="10"/>
        <v>720</v>
      </c>
    </row>
    <row r="59" spans="1:31" s="11" customFormat="1" ht="12.75">
      <c r="A59" s="77"/>
      <c r="B59" s="30" t="s">
        <v>400</v>
      </c>
      <c r="C59" s="283"/>
      <c r="D59" s="283">
        <v>500</v>
      </c>
      <c r="E59" s="387"/>
      <c r="F59" s="387"/>
      <c r="G59" s="38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283"/>
      <c r="AD59" s="367"/>
      <c r="AE59" s="750">
        <f t="shared" si="10"/>
        <v>500</v>
      </c>
    </row>
    <row r="60" spans="1:31" s="11" customFormat="1" ht="12.75">
      <c r="A60" s="77"/>
      <c r="B60" s="30" t="s">
        <v>391</v>
      </c>
      <c r="C60" s="530"/>
      <c r="D60" s="367"/>
      <c r="E60" s="387"/>
      <c r="F60" s="387"/>
      <c r="G60" s="387"/>
      <c r="H60" s="367"/>
      <c r="I60" s="367"/>
      <c r="J60" s="367"/>
      <c r="K60" s="283">
        <v>90</v>
      </c>
      <c r="L60" s="283"/>
      <c r="M60" s="283">
        <v>90</v>
      </c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283"/>
      <c r="AD60" s="367"/>
      <c r="AE60" s="750">
        <f t="shared" si="10"/>
        <v>90</v>
      </c>
    </row>
    <row r="61" spans="1:31" s="11" customFormat="1" ht="12.75">
      <c r="A61" s="77"/>
      <c r="B61" s="30" t="s">
        <v>114</v>
      </c>
      <c r="C61" s="530"/>
      <c r="D61" s="367"/>
      <c r="E61" s="387"/>
      <c r="F61" s="387"/>
      <c r="G61" s="387"/>
      <c r="H61" s="367"/>
      <c r="I61" s="367"/>
      <c r="J61" s="367"/>
      <c r="K61" s="283">
        <v>900</v>
      </c>
      <c r="L61" s="283"/>
      <c r="M61" s="283">
        <v>900</v>
      </c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283"/>
      <c r="AD61" s="367"/>
      <c r="AE61" s="750">
        <f t="shared" si="10"/>
        <v>900</v>
      </c>
    </row>
    <row r="62" spans="1:31" s="11" customFormat="1" ht="12.75">
      <c r="A62" s="77"/>
      <c r="B62" s="30" t="s">
        <v>115</v>
      </c>
      <c r="C62" s="530"/>
      <c r="D62" s="367"/>
      <c r="E62" s="387"/>
      <c r="F62" s="387"/>
      <c r="G62" s="387"/>
      <c r="H62" s="367"/>
      <c r="I62" s="367"/>
      <c r="J62" s="367"/>
      <c r="K62" s="283">
        <v>800</v>
      </c>
      <c r="L62" s="283"/>
      <c r="M62" s="283">
        <v>1000</v>
      </c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283"/>
      <c r="AD62" s="367"/>
      <c r="AE62" s="750">
        <f t="shared" si="10"/>
        <v>1000</v>
      </c>
    </row>
    <row r="63" spans="1:31" s="11" customFormat="1" ht="12.75">
      <c r="A63" s="77"/>
      <c r="B63" s="30" t="s">
        <v>116</v>
      </c>
      <c r="C63" s="530"/>
      <c r="D63" s="367"/>
      <c r="E63" s="387"/>
      <c r="F63" s="387"/>
      <c r="G63" s="387"/>
      <c r="H63" s="367"/>
      <c r="I63" s="367"/>
      <c r="J63" s="367"/>
      <c r="K63" s="283">
        <v>1200</v>
      </c>
      <c r="L63" s="283"/>
      <c r="M63" s="283">
        <v>1400</v>
      </c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283"/>
      <c r="AD63" s="367"/>
      <c r="AE63" s="750">
        <f t="shared" si="10"/>
        <v>1400</v>
      </c>
    </row>
    <row r="64" spans="1:31" s="11" customFormat="1" ht="12.75">
      <c r="A64" s="77"/>
      <c r="B64" s="30" t="s">
        <v>548</v>
      </c>
      <c r="C64" s="530"/>
      <c r="D64" s="367"/>
      <c r="E64" s="387"/>
      <c r="F64" s="387"/>
      <c r="G64" s="387"/>
      <c r="H64" s="367"/>
      <c r="I64" s="367"/>
      <c r="J64" s="367"/>
      <c r="K64" s="283">
        <v>4900</v>
      </c>
      <c r="L64" s="283"/>
      <c r="M64" s="283">
        <v>4900</v>
      </c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283"/>
      <c r="AD64" s="367"/>
      <c r="AE64" s="750">
        <f t="shared" si="10"/>
        <v>4900</v>
      </c>
    </row>
    <row r="65" spans="1:31" s="11" customFormat="1" ht="12.75">
      <c r="A65" s="77"/>
      <c r="B65" s="30" t="s">
        <v>394</v>
      </c>
      <c r="C65" s="530"/>
      <c r="D65" s="367">
        <v>100</v>
      </c>
      <c r="E65" s="387"/>
      <c r="F65" s="387"/>
      <c r="G65" s="387"/>
      <c r="H65" s="367"/>
      <c r="I65" s="367"/>
      <c r="J65" s="367"/>
      <c r="K65" s="283"/>
      <c r="L65" s="283"/>
      <c r="M65" s="283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283"/>
      <c r="AD65" s="367"/>
      <c r="AE65" s="750">
        <f t="shared" si="10"/>
        <v>100</v>
      </c>
    </row>
    <row r="66" spans="1:31" s="11" customFormat="1" ht="12.75">
      <c r="A66" s="77"/>
      <c r="B66" s="30" t="s">
        <v>371</v>
      </c>
      <c r="C66" s="530"/>
      <c r="D66" s="367"/>
      <c r="E66" s="387"/>
      <c r="F66" s="387"/>
      <c r="G66" s="387"/>
      <c r="H66" s="367"/>
      <c r="I66" s="367"/>
      <c r="J66" s="367"/>
      <c r="K66" s="283">
        <v>500</v>
      </c>
      <c r="L66" s="283"/>
      <c r="M66" s="283">
        <v>500</v>
      </c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283"/>
      <c r="AD66" s="367"/>
      <c r="AE66" s="750">
        <f t="shared" si="10"/>
        <v>500</v>
      </c>
    </row>
    <row r="67" spans="1:31" s="11" customFormat="1" ht="12.75">
      <c r="A67" s="77"/>
      <c r="B67" s="30" t="s">
        <v>722</v>
      </c>
      <c r="C67" s="283"/>
      <c r="D67" s="283">
        <v>10000</v>
      </c>
      <c r="E67" s="387"/>
      <c r="F67" s="387"/>
      <c r="G67" s="387"/>
      <c r="H67" s="367"/>
      <c r="I67" s="367"/>
      <c r="J67" s="367"/>
      <c r="K67" s="283"/>
      <c r="L67" s="283"/>
      <c r="M67" s="283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283"/>
      <c r="AD67" s="367"/>
      <c r="AE67" s="750">
        <f t="shared" si="10"/>
        <v>10000</v>
      </c>
    </row>
    <row r="68" spans="1:31" s="11" customFormat="1" ht="12.75">
      <c r="A68" s="77"/>
      <c r="B68" s="30" t="s">
        <v>397</v>
      </c>
      <c r="C68" s="283"/>
      <c r="D68" s="283"/>
      <c r="E68" s="387"/>
      <c r="F68" s="387"/>
      <c r="G68" s="387"/>
      <c r="H68" s="367"/>
      <c r="I68" s="367"/>
      <c r="J68" s="367"/>
      <c r="K68" s="283"/>
      <c r="L68" s="283"/>
      <c r="M68" s="283"/>
      <c r="N68" s="367"/>
      <c r="O68" s="367"/>
      <c r="P68" s="367"/>
      <c r="Q68" s="367"/>
      <c r="R68" s="367">
        <v>2640</v>
      </c>
      <c r="S68" s="367">
        <v>2640</v>
      </c>
      <c r="T68" s="367">
        <v>2640</v>
      </c>
      <c r="U68" s="367"/>
      <c r="V68" s="367"/>
      <c r="W68" s="367"/>
      <c r="X68" s="367"/>
      <c r="Y68" s="367"/>
      <c r="Z68" s="367"/>
      <c r="AA68" s="367"/>
      <c r="AB68" s="367"/>
      <c r="AC68" s="283"/>
      <c r="AD68" s="367"/>
      <c r="AE68" s="750">
        <f t="shared" si="10"/>
        <v>2640</v>
      </c>
    </row>
    <row r="69" spans="1:31" s="11" customFormat="1" ht="12.75">
      <c r="A69" s="77"/>
      <c r="B69" s="30" t="s">
        <v>377</v>
      </c>
      <c r="C69" s="604"/>
      <c r="D69" s="283">
        <v>605</v>
      </c>
      <c r="E69" s="387"/>
      <c r="F69" s="387"/>
      <c r="G69" s="387"/>
      <c r="H69" s="367"/>
      <c r="I69" s="367"/>
      <c r="J69" s="367"/>
      <c r="K69" s="283"/>
      <c r="L69" s="283"/>
      <c r="M69" s="283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283"/>
      <c r="AD69" s="367"/>
      <c r="AE69" s="750">
        <f t="shared" si="10"/>
        <v>605</v>
      </c>
    </row>
    <row r="70" spans="1:31" s="11" customFormat="1" ht="12.75">
      <c r="A70" s="77"/>
      <c r="B70" s="30" t="s">
        <v>1060</v>
      </c>
      <c r="C70" s="604"/>
      <c r="D70" s="283">
        <f>(1242+1186)</f>
        <v>2428</v>
      </c>
      <c r="E70" s="387"/>
      <c r="F70" s="387"/>
      <c r="G70" s="387"/>
      <c r="H70" s="367"/>
      <c r="I70" s="367"/>
      <c r="J70" s="367"/>
      <c r="K70" s="283"/>
      <c r="L70" s="283"/>
      <c r="M70" s="283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283"/>
      <c r="AD70" s="367"/>
      <c r="AE70" s="750">
        <f t="shared" si="10"/>
        <v>2428</v>
      </c>
    </row>
    <row r="71" spans="1:31" s="11" customFormat="1" ht="12.75">
      <c r="A71" s="77"/>
      <c r="B71" s="30" t="s">
        <v>1061</v>
      </c>
      <c r="C71" s="604"/>
      <c r="D71" s="283">
        <v>530</v>
      </c>
      <c r="E71" s="387"/>
      <c r="F71" s="387"/>
      <c r="G71" s="387"/>
      <c r="H71" s="367"/>
      <c r="I71" s="367"/>
      <c r="J71" s="367"/>
      <c r="K71" s="283"/>
      <c r="L71" s="283"/>
      <c r="M71" s="283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283"/>
      <c r="AD71" s="367"/>
      <c r="AE71" s="750">
        <f t="shared" si="10"/>
        <v>530</v>
      </c>
    </row>
    <row r="72" spans="1:31" s="11" customFormat="1" ht="12.75">
      <c r="A72" s="77"/>
      <c r="B72" s="30" t="s">
        <v>1064</v>
      </c>
      <c r="C72" s="604"/>
      <c r="D72" s="283">
        <v>2500</v>
      </c>
      <c r="E72" s="387"/>
      <c r="F72" s="387"/>
      <c r="G72" s="387"/>
      <c r="H72" s="367"/>
      <c r="I72" s="367"/>
      <c r="J72" s="367"/>
      <c r="K72" s="283"/>
      <c r="L72" s="283"/>
      <c r="M72" s="283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283"/>
      <c r="AD72" s="367"/>
      <c r="AE72" s="750">
        <f t="shared" si="10"/>
        <v>2500</v>
      </c>
    </row>
    <row r="73" spans="1:31" s="11" customFormat="1" ht="12.75">
      <c r="A73" s="77"/>
      <c r="B73" s="30" t="s">
        <v>997</v>
      </c>
      <c r="C73" s="283"/>
      <c r="D73" s="283">
        <v>150</v>
      </c>
      <c r="E73" s="387"/>
      <c r="F73" s="387"/>
      <c r="G73" s="387"/>
      <c r="H73" s="367"/>
      <c r="I73" s="367"/>
      <c r="J73" s="367"/>
      <c r="K73" s="283"/>
      <c r="L73" s="283"/>
      <c r="M73" s="283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283"/>
      <c r="AD73" s="367"/>
      <c r="AE73" s="750">
        <f t="shared" si="10"/>
        <v>150</v>
      </c>
    </row>
    <row r="74" spans="1:31" s="11" customFormat="1" ht="12.75">
      <c r="A74" s="77"/>
      <c r="B74" s="30" t="s">
        <v>1018</v>
      </c>
      <c r="C74" s="283"/>
      <c r="D74" s="283">
        <v>90</v>
      </c>
      <c r="E74" s="387"/>
      <c r="F74" s="387"/>
      <c r="G74" s="387"/>
      <c r="H74" s="367"/>
      <c r="I74" s="367"/>
      <c r="J74" s="367"/>
      <c r="K74" s="283"/>
      <c r="L74" s="283"/>
      <c r="M74" s="283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283"/>
      <c r="AD74" s="367"/>
      <c r="AE74" s="750">
        <f t="shared" si="10"/>
        <v>90</v>
      </c>
    </row>
    <row r="75" spans="1:31" s="11" customFormat="1" ht="12.75">
      <c r="A75" s="77"/>
      <c r="B75" s="30" t="s">
        <v>1090</v>
      </c>
      <c r="C75" s="597"/>
      <c r="D75" s="283">
        <v>600</v>
      </c>
      <c r="E75" s="387"/>
      <c r="F75" s="387"/>
      <c r="G75" s="387"/>
      <c r="H75" s="367"/>
      <c r="I75" s="367"/>
      <c r="J75" s="367"/>
      <c r="K75" s="283"/>
      <c r="L75" s="283"/>
      <c r="M75" s="283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283"/>
      <c r="AD75" s="367"/>
      <c r="AE75" s="750">
        <f t="shared" si="10"/>
        <v>600</v>
      </c>
    </row>
    <row r="76" spans="1:31" s="11" customFormat="1" ht="12.75">
      <c r="A76" s="77"/>
      <c r="B76" s="30" t="s">
        <v>1019</v>
      </c>
      <c r="C76" s="597"/>
      <c r="D76" s="283">
        <v>500</v>
      </c>
      <c r="E76" s="387"/>
      <c r="F76" s="387"/>
      <c r="G76" s="387"/>
      <c r="H76" s="367"/>
      <c r="I76" s="367"/>
      <c r="J76" s="367"/>
      <c r="K76" s="283"/>
      <c r="L76" s="283"/>
      <c r="M76" s="283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283"/>
      <c r="AD76" s="367"/>
      <c r="AE76" s="750">
        <f t="shared" si="10"/>
        <v>500</v>
      </c>
    </row>
    <row r="77" spans="1:31" s="11" customFormat="1" ht="12.75">
      <c r="A77" s="77"/>
      <c r="B77" s="186" t="s">
        <v>690</v>
      </c>
      <c r="C77" s="283"/>
      <c r="D77" s="814">
        <f>(1000)</f>
        <v>1000</v>
      </c>
      <c r="E77" s="387"/>
      <c r="F77" s="387"/>
      <c r="G77" s="387"/>
      <c r="H77" s="367"/>
      <c r="I77" s="367"/>
      <c r="J77" s="367"/>
      <c r="K77" s="283"/>
      <c r="L77" s="283"/>
      <c r="M77" s="283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283"/>
      <c r="AD77" s="367"/>
      <c r="AE77" s="750">
        <f t="shared" si="10"/>
        <v>1000</v>
      </c>
    </row>
    <row r="78" spans="1:31" s="11" customFormat="1" ht="13.5" thickBot="1">
      <c r="A78" s="77"/>
      <c r="B78" s="30" t="s">
        <v>691</v>
      </c>
      <c r="C78" s="283"/>
      <c r="D78" s="283">
        <v>270</v>
      </c>
      <c r="E78" s="387"/>
      <c r="F78" s="387"/>
      <c r="G78" s="387"/>
      <c r="H78" s="367"/>
      <c r="I78" s="367"/>
      <c r="J78" s="367"/>
      <c r="K78" s="283"/>
      <c r="L78" s="283"/>
      <c r="M78" s="283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283"/>
      <c r="AD78" s="367"/>
      <c r="AE78" s="750">
        <f t="shared" si="10"/>
        <v>270</v>
      </c>
    </row>
    <row r="79" spans="1:31" s="11" customFormat="1" ht="26.25" thickBot="1">
      <c r="A79" s="719"/>
      <c r="B79" s="607" t="s">
        <v>1027</v>
      </c>
      <c r="C79" s="608"/>
      <c r="D79" s="608">
        <f>SUM(G129)</f>
        <v>13017</v>
      </c>
      <c r="E79" s="598"/>
      <c r="F79" s="598"/>
      <c r="G79" s="598"/>
      <c r="H79" s="565"/>
      <c r="I79" s="565"/>
      <c r="J79" s="565"/>
      <c r="K79" s="133"/>
      <c r="L79" s="133"/>
      <c r="M79" s="133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133"/>
      <c r="AD79" s="565"/>
      <c r="AE79" s="750">
        <f t="shared" si="10"/>
        <v>13017</v>
      </c>
    </row>
    <row r="80" spans="1:31" s="11" customFormat="1" ht="26.25" customHeight="1" thickBot="1">
      <c r="A80" s="719"/>
      <c r="B80" s="843" t="s">
        <v>1059</v>
      </c>
      <c r="C80" s="844"/>
      <c r="D80" s="845">
        <f>SUM('13.2.EU projekt részletesen'!N36)/1000</f>
        <v>53972.04811023622</v>
      </c>
      <c r="E80" s="598"/>
      <c r="F80" s="598"/>
      <c r="G80" s="598"/>
      <c r="H80" s="565"/>
      <c r="I80" s="565"/>
      <c r="J80" s="565"/>
      <c r="K80" s="133"/>
      <c r="L80" s="133"/>
      <c r="M80" s="133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133"/>
      <c r="AD80" s="565"/>
      <c r="AE80" s="750">
        <f t="shared" si="10"/>
        <v>53972.04811023622</v>
      </c>
    </row>
    <row r="81" spans="1:31" s="11" customFormat="1" ht="12.75">
      <c r="A81" s="77" t="s">
        <v>327</v>
      </c>
      <c r="B81" s="308" t="s">
        <v>354</v>
      </c>
      <c r="C81" s="552"/>
      <c r="D81" s="552">
        <f>800+727+1273+850</f>
        <v>3650</v>
      </c>
      <c r="E81" s="387"/>
      <c r="F81" s="387"/>
      <c r="G81" s="38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283"/>
      <c r="AD81" s="367"/>
      <c r="AE81" s="750">
        <f t="shared" si="10"/>
        <v>3650</v>
      </c>
    </row>
    <row r="82" spans="1:31" s="11" customFormat="1" ht="12.75">
      <c r="A82" s="77"/>
      <c r="B82" s="10" t="s">
        <v>437</v>
      </c>
      <c r="C82" s="367"/>
      <c r="D82" s="367">
        <v>100</v>
      </c>
      <c r="E82" s="387"/>
      <c r="F82" s="387"/>
      <c r="G82" s="38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283">
        <v>107</v>
      </c>
      <c r="AD82" s="367"/>
      <c r="AE82" s="750">
        <f t="shared" si="10"/>
        <v>207</v>
      </c>
    </row>
    <row r="83" spans="1:31" s="11" customFormat="1" ht="12.75">
      <c r="A83" s="77"/>
      <c r="B83" s="10" t="s">
        <v>415</v>
      </c>
      <c r="C83" s="367"/>
      <c r="D83" s="367"/>
      <c r="E83" s="387"/>
      <c r="F83" s="387"/>
      <c r="G83" s="387"/>
      <c r="H83" s="367"/>
      <c r="I83" s="367"/>
      <c r="J83" s="367"/>
      <c r="K83" s="367"/>
      <c r="L83" s="367"/>
      <c r="M83" s="367"/>
      <c r="N83" s="555"/>
      <c r="O83" s="367"/>
      <c r="P83" s="367"/>
      <c r="Q83" s="367"/>
      <c r="R83" s="367"/>
      <c r="S83" s="367"/>
      <c r="T83" s="367"/>
      <c r="U83" s="367"/>
      <c r="V83" s="367"/>
      <c r="W83" s="367"/>
      <c r="X83" s="367">
        <v>70</v>
      </c>
      <c r="Y83" s="367">
        <v>70</v>
      </c>
      <c r="Z83" s="367">
        <v>70</v>
      </c>
      <c r="AA83" s="367"/>
      <c r="AB83" s="367"/>
      <c r="AC83" s="283">
        <v>76</v>
      </c>
      <c r="AD83" s="367"/>
      <c r="AE83" s="750">
        <f t="shared" si="10"/>
        <v>146</v>
      </c>
    </row>
    <row r="84" spans="1:31" s="11" customFormat="1" ht="12.75">
      <c r="A84" s="77"/>
      <c r="B84" s="30" t="s">
        <v>529</v>
      </c>
      <c r="C84" s="367"/>
      <c r="D84" s="367">
        <v>4500</v>
      </c>
      <c r="E84" s="387"/>
      <c r="F84" s="387"/>
      <c r="G84" s="38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283">
        <v>48</v>
      </c>
      <c r="AD84" s="367"/>
      <c r="AE84" s="750">
        <f t="shared" si="10"/>
        <v>4548</v>
      </c>
    </row>
    <row r="85" spans="1:31" s="11" customFormat="1" ht="12.75">
      <c r="A85" s="77"/>
      <c r="B85" s="30" t="s">
        <v>907</v>
      </c>
      <c r="C85" s="283"/>
      <c r="D85" s="283"/>
      <c r="E85" s="535"/>
      <c r="F85" s="535"/>
      <c r="G85" s="535"/>
      <c r="H85" s="283"/>
      <c r="I85" s="283"/>
      <c r="J85" s="283"/>
      <c r="K85" s="283"/>
      <c r="L85" s="283"/>
      <c r="M85" s="283"/>
      <c r="N85" s="283">
        <v>1300</v>
      </c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283"/>
      <c r="AD85" s="367"/>
      <c r="AE85" s="750">
        <f t="shared" si="10"/>
        <v>1300</v>
      </c>
    </row>
    <row r="86" spans="1:31" s="11" customFormat="1" ht="12.75">
      <c r="A86" s="77"/>
      <c r="B86" s="30" t="s">
        <v>746</v>
      </c>
      <c r="C86" s="283"/>
      <c r="D86" s="283"/>
      <c r="E86" s="535"/>
      <c r="F86" s="535"/>
      <c r="G86" s="535"/>
      <c r="H86" s="283"/>
      <c r="I86" s="283"/>
      <c r="J86" s="283"/>
      <c r="K86" s="283"/>
      <c r="L86" s="283"/>
      <c r="M86" s="283"/>
      <c r="N86" s="283">
        <f>(418+163)+91+8</f>
        <v>680</v>
      </c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283"/>
      <c r="AD86" s="367"/>
      <c r="AE86" s="750">
        <f t="shared" si="10"/>
        <v>680</v>
      </c>
    </row>
    <row r="87" spans="1:31" s="11" customFormat="1" ht="12.75">
      <c r="A87" s="77"/>
      <c r="B87" s="10" t="s">
        <v>399</v>
      </c>
      <c r="C87" s="367"/>
      <c r="D87" s="367">
        <v>10</v>
      </c>
      <c r="E87" s="387"/>
      <c r="F87" s="387"/>
      <c r="G87" s="38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283"/>
      <c r="AD87" s="367"/>
      <c r="AE87" s="750">
        <f t="shared" si="10"/>
        <v>10</v>
      </c>
    </row>
    <row r="88" spans="1:31" s="11" customFormat="1" ht="12.75">
      <c r="A88" s="77"/>
      <c r="B88" s="10" t="s">
        <v>1105</v>
      </c>
      <c r="C88" s="367"/>
      <c r="D88" s="367">
        <v>190</v>
      </c>
      <c r="E88" s="387"/>
      <c r="F88" s="387"/>
      <c r="G88" s="38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283"/>
      <c r="AD88" s="367"/>
      <c r="AE88" s="750">
        <f t="shared" si="10"/>
        <v>190</v>
      </c>
    </row>
    <row r="89" spans="1:31" s="11" customFormat="1" ht="12.75">
      <c r="A89" s="77"/>
      <c r="B89" s="30" t="s">
        <v>366</v>
      </c>
      <c r="C89" s="283"/>
      <c r="D89" s="283">
        <v>50</v>
      </c>
      <c r="E89" s="387"/>
      <c r="F89" s="387"/>
      <c r="G89" s="38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283"/>
      <c r="AD89" s="367"/>
      <c r="AE89" s="750">
        <f t="shared" si="10"/>
        <v>50</v>
      </c>
    </row>
    <row r="90" spans="1:31" s="11" customFormat="1" ht="12.75">
      <c r="A90" s="77"/>
      <c r="B90" s="30" t="s">
        <v>742</v>
      </c>
      <c r="C90" s="283"/>
      <c r="D90" s="283"/>
      <c r="E90" s="387"/>
      <c r="F90" s="387"/>
      <c r="G90" s="38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>
        <v>250</v>
      </c>
      <c r="Y90" s="367">
        <v>250</v>
      </c>
      <c r="Z90" s="367">
        <v>250</v>
      </c>
      <c r="AA90" s="367"/>
      <c r="AB90" s="367"/>
      <c r="AC90" s="283"/>
      <c r="AD90" s="367"/>
      <c r="AE90" s="750">
        <f t="shared" si="10"/>
        <v>250</v>
      </c>
    </row>
    <row r="91" spans="1:31" s="11" customFormat="1" ht="12.75">
      <c r="A91" s="77"/>
      <c r="B91" s="30" t="s">
        <v>374</v>
      </c>
      <c r="C91" s="283"/>
      <c r="D91" s="283">
        <v>1300</v>
      </c>
      <c r="E91" s="387"/>
      <c r="F91" s="387"/>
      <c r="G91" s="38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283"/>
      <c r="AD91" s="367"/>
      <c r="AE91" s="750">
        <f t="shared" si="10"/>
        <v>1300</v>
      </c>
    </row>
    <row r="92" spans="1:31" s="11" customFormat="1" ht="12.75">
      <c r="A92" s="77"/>
      <c r="B92" s="30" t="s">
        <v>677</v>
      </c>
      <c r="C92" s="283"/>
      <c r="D92" s="283">
        <v>450</v>
      </c>
      <c r="E92" s="387"/>
      <c r="F92" s="387"/>
      <c r="G92" s="387"/>
      <c r="H92" s="367"/>
      <c r="I92" s="367"/>
      <c r="J92" s="367"/>
      <c r="K92" s="283"/>
      <c r="L92" s="283"/>
      <c r="M92" s="283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283"/>
      <c r="AD92" s="367"/>
      <c r="AE92" s="750">
        <f t="shared" si="10"/>
        <v>450</v>
      </c>
    </row>
    <row r="93" spans="1:31" s="11" customFormat="1" ht="12.75">
      <c r="A93" s="77"/>
      <c r="B93" s="30" t="s">
        <v>1088</v>
      </c>
      <c r="C93" s="283"/>
      <c r="D93" s="283">
        <v>820</v>
      </c>
      <c r="E93" s="387"/>
      <c r="F93" s="387"/>
      <c r="G93" s="387"/>
      <c r="H93" s="367"/>
      <c r="I93" s="367"/>
      <c r="J93" s="367"/>
      <c r="K93" s="283"/>
      <c r="L93" s="283"/>
      <c r="M93" s="283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283"/>
      <c r="AD93" s="367"/>
      <c r="AE93" s="750">
        <f t="shared" si="10"/>
        <v>820</v>
      </c>
    </row>
    <row r="94" spans="1:32" s="11" customFormat="1" ht="12.75">
      <c r="A94" s="718" t="s">
        <v>328</v>
      </c>
      <c r="B94" s="34" t="s">
        <v>313</v>
      </c>
      <c r="C94" s="115">
        <f aca="true" t="shared" si="11" ref="C94:AD94">SUM(C95:C96)</f>
        <v>0</v>
      </c>
      <c r="D94" s="115">
        <f t="shared" si="11"/>
        <v>1000</v>
      </c>
      <c r="E94" s="115">
        <f t="shared" si="11"/>
        <v>30</v>
      </c>
      <c r="F94" s="115">
        <f>SUM(F95:F96)</f>
        <v>0</v>
      </c>
      <c r="G94" s="115">
        <f t="shared" si="11"/>
        <v>30</v>
      </c>
      <c r="H94" s="115">
        <f t="shared" si="11"/>
        <v>0</v>
      </c>
      <c r="I94" s="115">
        <f>SUM(I95:I96)</f>
        <v>0</v>
      </c>
      <c r="J94" s="115">
        <f t="shared" si="11"/>
        <v>0</v>
      </c>
      <c r="K94" s="115">
        <f t="shared" si="11"/>
        <v>0</v>
      </c>
      <c r="L94" s="115">
        <f>SUM(L95:L96)</f>
        <v>0</v>
      </c>
      <c r="M94" s="115">
        <f t="shared" si="11"/>
        <v>0</v>
      </c>
      <c r="N94" s="115">
        <f t="shared" si="11"/>
        <v>150</v>
      </c>
      <c r="O94" s="115">
        <f t="shared" si="11"/>
        <v>0</v>
      </c>
      <c r="P94" s="115">
        <f t="shared" si="11"/>
        <v>0</v>
      </c>
      <c r="Q94" s="115">
        <f t="shared" si="11"/>
        <v>0</v>
      </c>
      <c r="R94" s="115">
        <f t="shared" si="11"/>
        <v>0</v>
      </c>
      <c r="S94" s="115">
        <f>SUM(S95:S96)</f>
        <v>0</v>
      </c>
      <c r="T94" s="115">
        <f t="shared" si="11"/>
        <v>0</v>
      </c>
      <c r="U94" s="115">
        <f t="shared" si="11"/>
        <v>0</v>
      </c>
      <c r="V94" s="115">
        <f>SUM(V95:V96)</f>
        <v>0</v>
      </c>
      <c r="W94" s="115">
        <f t="shared" si="11"/>
        <v>0</v>
      </c>
      <c r="X94" s="115">
        <f t="shared" si="11"/>
        <v>0</v>
      </c>
      <c r="Y94" s="115">
        <f>SUM(Y95:Y96)</f>
        <v>0</v>
      </c>
      <c r="Z94" s="115">
        <f t="shared" si="11"/>
        <v>0</v>
      </c>
      <c r="AA94" s="115">
        <f t="shared" si="11"/>
        <v>0</v>
      </c>
      <c r="AB94" s="115">
        <f t="shared" si="11"/>
        <v>0</v>
      </c>
      <c r="AC94" s="115">
        <f t="shared" si="11"/>
        <v>457</v>
      </c>
      <c r="AD94" s="115">
        <f t="shared" si="11"/>
        <v>0</v>
      </c>
      <c r="AE94" s="751">
        <f>D94+G94+J94+M94+N94+O94+Q94+T94+W94+Z94+AD94+AC94</f>
        <v>1637</v>
      </c>
      <c r="AF94" s="51">
        <f>SUM(AE95:AE96)</f>
        <v>1637</v>
      </c>
    </row>
    <row r="95" spans="1:31" s="11" customFormat="1" ht="12.75">
      <c r="A95" s="77" t="s">
        <v>329</v>
      </c>
      <c r="B95" s="30" t="s">
        <v>353</v>
      </c>
      <c r="C95" s="283"/>
      <c r="D95" s="283"/>
      <c r="E95" s="283">
        <v>30</v>
      </c>
      <c r="F95" s="283"/>
      <c r="G95" s="283">
        <v>30</v>
      </c>
      <c r="H95" s="367"/>
      <c r="I95" s="367"/>
      <c r="J95" s="367"/>
      <c r="K95" s="367"/>
      <c r="L95" s="367"/>
      <c r="M95" s="367"/>
      <c r="N95" s="367">
        <v>100</v>
      </c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283">
        <v>457</v>
      </c>
      <c r="AD95" s="367"/>
      <c r="AE95" s="750">
        <f>D95+G95+J95+M95+N95+O95+Q95+T95+W95+Z95+AD95+AC95</f>
        <v>587</v>
      </c>
    </row>
    <row r="96" spans="1:31" s="11" customFormat="1" ht="12.75">
      <c r="A96" s="77" t="s">
        <v>330</v>
      </c>
      <c r="B96" s="30" t="s">
        <v>370</v>
      </c>
      <c r="C96" s="283"/>
      <c r="D96" s="283">
        <v>1000</v>
      </c>
      <c r="E96" s="387"/>
      <c r="F96" s="387"/>
      <c r="G96" s="387"/>
      <c r="H96" s="367"/>
      <c r="I96" s="367"/>
      <c r="J96" s="367"/>
      <c r="K96" s="367"/>
      <c r="L96" s="367"/>
      <c r="M96" s="367"/>
      <c r="N96" s="367">
        <v>50</v>
      </c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283"/>
      <c r="AD96" s="367"/>
      <c r="AE96" s="750">
        <f>D96+G96+J96+M96+N96+O96+Q96+T96+W96+Z96+AD96</f>
        <v>1050</v>
      </c>
    </row>
    <row r="97" spans="1:33" ht="12.75">
      <c r="A97" s="718" t="s">
        <v>331</v>
      </c>
      <c r="B97" s="34" t="s">
        <v>314</v>
      </c>
      <c r="C97" s="115">
        <f aca="true" t="shared" si="12" ref="C97:AD97">SUM(C98:C101)</f>
        <v>0</v>
      </c>
      <c r="D97" s="115">
        <f t="shared" si="12"/>
        <v>41708</v>
      </c>
      <c r="E97" s="115">
        <f t="shared" si="12"/>
        <v>8</v>
      </c>
      <c r="F97" s="115">
        <f>SUM(F98:F101)</f>
        <v>0</v>
      </c>
      <c r="G97" s="115">
        <f t="shared" si="12"/>
        <v>33</v>
      </c>
      <c r="H97" s="115">
        <f t="shared" si="12"/>
        <v>3429</v>
      </c>
      <c r="I97" s="115">
        <f>SUM(I98:I101)</f>
        <v>0</v>
      </c>
      <c r="J97" s="115">
        <f t="shared" si="12"/>
        <v>3429</v>
      </c>
      <c r="K97" s="115">
        <f t="shared" si="12"/>
        <v>0</v>
      </c>
      <c r="L97" s="115">
        <f>SUM(L98:L101)</f>
        <v>0</v>
      </c>
      <c r="M97" s="115">
        <f t="shared" si="12"/>
        <v>0</v>
      </c>
      <c r="N97" s="115">
        <f t="shared" si="12"/>
        <v>1800</v>
      </c>
      <c r="O97" s="115">
        <f t="shared" si="12"/>
        <v>2700</v>
      </c>
      <c r="P97" s="115">
        <f t="shared" si="12"/>
        <v>0</v>
      </c>
      <c r="Q97" s="115">
        <f t="shared" si="12"/>
        <v>0</v>
      </c>
      <c r="R97" s="115">
        <f t="shared" si="12"/>
        <v>0</v>
      </c>
      <c r="S97" s="115">
        <f>SUM(S98:S101)</f>
        <v>0</v>
      </c>
      <c r="T97" s="115">
        <f t="shared" si="12"/>
        <v>0</v>
      </c>
      <c r="U97" s="115">
        <f t="shared" si="12"/>
        <v>0</v>
      </c>
      <c r="V97" s="115">
        <f>SUM(V98:V101)</f>
        <v>0</v>
      </c>
      <c r="W97" s="115">
        <f t="shared" si="12"/>
        <v>0</v>
      </c>
      <c r="X97" s="115">
        <f t="shared" si="12"/>
        <v>448.3</v>
      </c>
      <c r="Y97" s="115">
        <f>SUM(Y98:Y101)</f>
        <v>448.3</v>
      </c>
      <c r="Z97" s="115">
        <f t="shared" si="12"/>
        <v>448.3</v>
      </c>
      <c r="AA97" s="115">
        <f t="shared" si="12"/>
        <v>0</v>
      </c>
      <c r="AB97" s="115">
        <f t="shared" si="12"/>
        <v>0</v>
      </c>
      <c r="AC97" s="115">
        <f t="shared" si="12"/>
        <v>11994</v>
      </c>
      <c r="AD97" s="115">
        <f t="shared" si="12"/>
        <v>0</v>
      </c>
      <c r="AE97" s="751">
        <f>D97+G97+J97+M97+N97+O97+Q97+T97+W97+Z97+AD97+AC97</f>
        <v>62112.3</v>
      </c>
      <c r="AF97" s="51">
        <f>SUM(AE98:AE101)</f>
        <v>62112.3</v>
      </c>
      <c r="AG97" s="105"/>
    </row>
    <row r="98" spans="1:31" ht="12.75">
      <c r="A98" s="77" t="s">
        <v>332</v>
      </c>
      <c r="B98" s="30" t="s">
        <v>343</v>
      </c>
      <c r="C98" s="283"/>
      <c r="D98" s="283">
        <v>30000</v>
      </c>
      <c r="E98" s="283">
        <v>8</v>
      </c>
      <c r="F98" s="283"/>
      <c r="G98" s="283">
        <v>8</v>
      </c>
      <c r="H98" s="367">
        <v>3429</v>
      </c>
      <c r="I98" s="367"/>
      <c r="J98" s="367">
        <v>3429</v>
      </c>
      <c r="K98" s="367"/>
      <c r="L98" s="367"/>
      <c r="M98" s="367"/>
      <c r="N98" s="367">
        <v>1800</v>
      </c>
      <c r="O98" s="367">
        <v>2700</v>
      </c>
      <c r="P98" s="367"/>
      <c r="Q98" s="367"/>
      <c r="R98" s="367"/>
      <c r="S98" s="367"/>
      <c r="T98" s="367"/>
      <c r="U98" s="367"/>
      <c r="V98" s="367"/>
      <c r="W98" s="367"/>
      <c r="X98" s="367">
        <f>SUM(X33+X45)*0.27</f>
        <v>348.3</v>
      </c>
      <c r="Y98" s="367">
        <f>SUM(Y33+Y45)*0.27</f>
        <v>348.3</v>
      </c>
      <c r="Z98" s="367">
        <f>SUM(Z33+Z45)*0.27</f>
        <v>348.3</v>
      </c>
      <c r="AA98" s="367"/>
      <c r="AB98" s="367"/>
      <c r="AC98" s="367">
        <v>11194</v>
      </c>
      <c r="AD98" s="367"/>
      <c r="AE98" s="750">
        <f>D98+G98+J98+M98+N98+O98+Q98+T98+W98+Z98+AD98+AC98</f>
        <v>49479.3</v>
      </c>
    </row>
    <row r="99" spans="1:31" ht="12.75">
      <c r="A99" s="77" t="s">
        <v>333</v>
      </c>
      <c r="B99" s="30" t="s">
        <v>344</v>
      </c>
      <c r="C99" s="283"/>
      <c r="D99" s="283">
        <v>5000</v>
      </c>
      <c r="E99" s="387"/>
      <c r="F99" s="387"/>
      <c r="G99" s="38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750">
        <f aca="true" t="shared" si="13" ref="AE99:AE105">D99+G99+J99+M99+N99+O99+Q99+T99+W99+Z99+AD99+AC99</f>
        <v>5000</v>
      </c>
    </row>
    <row r="100" spans="1:31" ht="12.75">
      <c r="A100" s="77" t="s">
        <v>334</v>
      </c>
      <c r="B100" s="30" t="s">
        <v>345</v>
      </c>
      <c r="C100" s="283"/>
      <c r="D100" s="283">
        <v>500</v>
      </c>
      <c r="E100" s="387"/>
      <c r="F100" s="387"/>
      <c r="G100" s="38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750">
        <f t="shared" si="13"/>
        <v>500</v>
      </c>
    </row>
    <row r="101" spans="1:31" ht="12.75">
      <c r="A101" s="77" t="s">
        <v>336</v>
      </c>
      <c r="B101" s="30" t="s">
        <v>70</v>
      </c>
      <c r="C101" s="283"/>
      <c r="D101" s="283">
        <f>SUM(D102:D105)</f>
        <v>6208</v>
      </c>
      <c r="E101" s="283">
        <f aca="true" t="shared" si="14" ref="E101:AD101">SUM(E102:E105)</f>
        <v>0</v>
      </c>
      <c r="F101" s="283"/>
      <c r="G101" s="283">
        <v>25</v>
      </c>
      <c r="H101" s="283">
        <f t="shared" si="14"/>
        <v>0</v>
      </c>
      <c r="I101" s="283">
        <f>SUM(I102:I105)</f>
        <v>0</v>
      </c>
      <c r="J101" s="283">
        <f t="shared" si="14"/>
        <v>0</v>
      </c>
      <c r="K101" s="283">
        <f t="shared" si="14"/>
        <v>0</v>
      </c>
      <c r="L101" s="283">
        <f>SUM(L102:L105)</f>
        <v>0</v>
      </c>
      <c r="M101" s="283">
        <f t="shared" si="14"/>
        <v>0</v>
      </c>
      <c r="N101" s="283">
        <f t="shared" si="14"/>
        <v>0</v>
      </c>
      <c r="O101" s="283">
        <f t="shared" si="14"/>
        <v>0</v>
      </c>
      <c r="P101" s="283">
        <f t="shared" si="14"/>
        <v>0</v>
      </c>
      <c r="Q101" s="283">
        <f t="shared" si="14"/>
        <v>0</v>
      </c>
      <c r="R101" s="283">
        <f t="shared" si="14"/>
        <v>0</v>
      </c>
      <c r="S101" s="283">
        <f>SUM(S102:S105)</f>
        <v>0</v>
      </c>
      <c r="T101" s="283">
        <f t="shared" si="14"/>
        <v>0</v>
      </c>
      <c r="U101" s="283">
        <f t="shared" si="14"/>
        <v>0</v>
      </c>
      <c r="V101" s="283">
        <f>SUM(V102:V105)</f>
        <v>0</v>
      </c>
      <c r="W101" s="283">
        <f t="shared" si="14"/>
        <v>0</v>
      </c>
      <c r="X101" s="283">
        <f t="shared" si="14"/>
        <v>100</v>
      </c>
      <c r="Y101" s="283">
        <f>SUM(Y102:Y105)</f>
        <v>100</v>
      </c>
      <c r="Z101" s="283">
        <f t="shared" si="14"/>
        <v>100</v>
      </c>
      <c r="AA101" s="283">
        <f t="shared" si="14"/>
        <v>0</v>
      </c>
      <c r="AB101" s="283">
        <f>SUM(AB102:AB105)</f>
        <v>0</v>
      </c>
      <c r="AC101" s="283">
        <v>800</v>
      </c>
      <c r="AD101" s="283">
        <f t="shared" si="14"/>
        <v>0</v>
      </c>
      <c r="AE101" s="750">
        <f t="shared" si="13"/>
        <v>7133</v>
      </c>
    </row>
    <row r="102" spans="1:31" ht="12.75">
      <c r="A102" s="77"/>
      <c r="B102" s="30" t="s">
        <v>723</v>
      </c>
      <c r="C102" s="283"/>
      <c r="D102" s="283">
        <v>68</v>
      </c>
      <c r="E102" s="387"/>
      <c r="F102" s="387"/>
      <c r="G102" s="38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750">
        <f t="shared" si="13"/>
        <v>68</v>
      </c>
    </row>
    <row r="103" spans="1:31" ht="12.75">
      <c r="A103" s="77"/>
      <c r="B103" s="30" t="s">
        <v>372</v>
      </c>
      <c r="C103" s="283"/>
      <c r="D103" s="283">
        <v>840</v>
      </c>
      <c r="E103" s="387"/>
      <c r="F103" s="387"/>
      <c r="G103" s="38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750">
        <f t="shared" si="13"/>
        <v>840</v>
      </c>
    </row>
    <row r="104" spans="1:31" ht="12.75">
      <c r="A104" s="77"/>
      <c r="B104" s="30" t="s">
        <v>908</v>
      </c>
      <c r="C104" s="283"/>
      <c r="D104" s="283">
        <v>5000</v>
      </c>
      <c r="E104" s="283">
        <v>0</v>
      </c>
      <c r="F104" s="283"/>
      <c r="G104" s="283">
        <v>25</v>
      </c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>
        <v>100</v>
      </c>
      <c r="Y104" s="367">
        <v>100</v>
      </c>
      <c r="Z104" s="367">
        <v>100</v>
      </c>
      <c r="AA104" s="367"/>
      <c r="AB104" s="367"/>
      <c r="AC104" s="367">
        <v>80</v>
      </c>
      <c r="AD104" s="367"/>
      <c r="AE104" s="750">
        <f t="shared" si="13"/>
        <v>5205</v>
      </c>
    </row>
    <row r="105" spans="1:31" ht="12.75">
      <c r="A105" s="77"/>
      <c r="B105" s="30" t="s">
        <v>983</v>
      </c>
      <c r="C105" s="283"/>
      <c r="D105" s="283">
        <v>300</v>
      </c>
      <c r="E105" s="387"/>
      <c r="F105" s="387"/>
      <c r="G105" s="38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750">
        <f t="shared" si="13"/>
        <v>300</v>
      </c>
    </row>
    <row r="106" spans="1:33" ht="12.75">
      <c r="A106" s="718" t="s">
        <v>348</v>
      </c>
      <c r="B106" s="184" t="s">
        <v>33</v>
      </c>
      <c r="C106" s="282">
        <f>SUM(C33+C42+C45+C7095+C97)</f>
        <v>0</v>
      </c>
      <c r="D106" s="282">
        <f aca="true" t="shared" si="15" ref="D106:AD106">SUM(D33+D42+D45+D94+D97)</f>
        <v>148141.0481102362</v>
      </c>
      <c r="E106" s="282">
        <f t="shared" si="15"/>
        <v>68</v>
      </c>
      <c r="F106" s="282">
        <f t="shared" si="15"/>
        <v>0</v>
      </c>
      <c r="G106" s="282">
        <f t="shared" si="15"/>
        <v>93</v>
      </c>
      <c r="H106" s="282">
        <f t="shared" si="15"/>
        <v>16129</v>
      </c>
      <c r="I106" s="282">
        <f t="shared" si="15"/>
        <v>0</v>
      </c>
      <c r="J106" s="282">
        <f t="shared" si="15"/>
        <v>16129</v>
      </c>
      <c r="K106" s="282">
        <f t="shared" si="15"/>
        <v>8979</v>
      </c>
      <c r="L106" s="282">
        <f t="shared" si="15"/>
        <v>0</v>
      </c>
      <c r="M106" s="282">
        <f t="shared" si="15"/>
        <v>9375</v>
      </c>
      <c r="N106" s="282">
        <f t="shared" si="15"/>
        <v>10526</v>
      </c>
      <c r="O106" s="282">
        <f t="shared" si="15"/>
        <v>13700</v>
      </c>
      <c r="P106" s="282">
        <f t="shared" si="15"/>
        <v>0</v>
      </c>
      <c r="Q106" s="282">
        <f t="shared" si="15"/>
        <v>0</v>
      </c>
      <c r="R106" s="282">
        <f t="shared" si="15"/>
        <v>2640</v>
      </c>
      <c r="S106" s="282">
        <f t="shared" si="15"/>
        <v>2640</v>
      </c>
      <c r="T106" s="282">
        <f t="shared" si="15"/>
        <v>2640</v>
      </c>
      <c r="U106" s="282">
        <f t="shared" si="15"/>
        <v>65</v>
      </c>
      <c r="V106" s="282">
        <f t="shared" si="15"/>
        <v>65</v>
      </c>
      <c r="W106" s="282">
        <f t="shared" si="15"/>
        <v>65</v>
      </c>
      <c r="X106" s="282">
        <f t="shared" si="15"/>
        <v>1738.3</v>
      </c>
      <c r="Y106" s="282">
        <f t="shared" si="15"/>
        <v>1738.3</v>
      </c>
      <c r="Z106" s="282">
        <f t="shared" si="15"/>
        <v>1738.3</v>
      </c>
      <c r="AA106" s="282">
        <f t="shared" si="15"/>
        <v>0</v>
      </c>
      <c r="AB106" s="282">
        <f t="shared" si="15"/>
        <v>0</v>
      </c>
      <c r="AC106" s="282">
        <f t="shared" si="15"/>
        <v>58945.78740157481</v>
      </c>
      <c r="AD106" s="282">
        <f t="shared" si="15"/>
        <v>0</v>
      </c>
      <c r="AE106" s="282">
        <f>D106+G106+J106+M106+N106+O106+Q106+T106+W106+Z106+AD106+AC106</f>
        <v>261353.135511811</v>
      </c>
      <c r="AF106" s="51">
        <f>SUM(AE97+AE94+AE45+AE42+AE33)</f>
        <v>261353.135511811</v>
      </c>
      <c r="AG106" s="105"/>
    </row>
    <row r="107" spans="1:31" ht="12.75">
      <c r="A107" s="720" t="s">
        <v>347</v>
      </c>
      <c r="B107" s="184" t="s">
        <v>863</v>
      </c>
      <c r="C107" s="282"/>
      <c r="D107" s="282">
        <v>300</v>
      </c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>
        <v>8096</v>
      </c>
      <c r="Q107" s="282">
        <v>9300</v>
      </c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>
        <f>D107+G107+J107+M107+N107+O107+Q107+T107+W107+Z107+AD107</f>
        <v>9600</v>
      </c>
    </row>
    <row r="108" spans="1:31" ht="13.5" thickBot="1">
      <c r="A108" s="720" t="s">
        <v>389</v>
      </c>
      <c r="B108" s="289" t="s">
        <v>554</v>
      </c>
      <c r="C108" s="185" t="e">
        <f>SUM('4. Átadott p.eszk.'!B69)</f>
        <v>#REF!</v>
      </c>
      <c r="D108" s="185">
        <f>SUM('4. Átadott p.eszk.'!D69)</f>
        <v>317687</v>
      </c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>
        <f>D108+G108+J108+M108+N108+O108+Q108+T108+W108+Z108+AD108</f>
        <v>317687</v>
      </c>
    </row>
    <row r="109" spans="1:34" ht="15.75" customHeight="1" thickBot="1">
      <c r="A109" s="720"/>
      <c r="B109" s="411" t="s">
        <v>11</v>
      </c>
      <c r="C109" s="297" t="e">
        <f aca="true" t="shared" si="16" ref="C109:AD109">SUM(C28+C32+C106+C107+C108)</f>
        <v>#REF!</v>
      </c>
      <c r="D109" s="297">
        <f t="shared" si="16"/>
        <v>500341.1831102362</v>
      </c>
      <c r="E109" s="297">
        <f t="shared" si="16"/>
        <v>6808</v>
      </c>
      <c r="F109" s="297">
        <f t="shared" si="16"/>
        <v>0</v>
      </c>
      <c r="G109" s="297">
        <f t="shared" si="16"/>
        <v>6939</v>
      </c>
      <c r="H109" s="297">
        <f t="shared" si="16"/>
        <v>16129</v>
      </c>
      <c r="I109" s="297">
        <f t="shared" si="16"/>
        <v>0</v>
      </c>
      <c r="J109" s="297">
        <f t="shared" si="16"/>
        <v>16129</v>
      </c>
      <c r="K109" s="297">
        <f t="shared" si="16"/>
        <v>8979</v>
      </c>
      <c r="L109" s="297">
        <f t="shared" si="16"/>
        <v>0</v>
      </c>
      <c r="M109" s="297">
        <f t="shared" si="16"/>
        <v>9375</v>
      </c>
      <c r="N109" s="297">
        <f t="shared" si="16"/>
        <v>10526</v>
      </c>
      <c r="O109" s="297">
        <f t="shared" si="16"/>
        <v>15496</v>
      </c>
      <c r="P109" s="297">
        <f t="shared" si="16"/>
        <v>8096</v>
      </c>
      <c r="Q109" s="297">
        <f t="shared" si="16"/>
        <v>9300</v>
      </c>
      <c r="R109" s="297">
        <f t="shared" si="16"/>
        <v>2640</v>
      </c>
      <c r="S109" s="297">
        <f t="shared" si="16"/>
        <v>2640</v>
      </c>
      <c r="T109" s="297">
        <f t="shared" si="16"/>
        <v>2640</v>
      </c>
      <c r="U109" s="297">
        <f t="shared" si="16"/>
        <v>65</v>
      </c>
      <c r="V109" s="297">
        <f t="shared" si="16"/>
        <v>65</v>
      </c>
      <c r="W109" s="297">
        <f t="shared" si="16"/>
        <v>65</v>
      </c>
      <c r="X109" s="297">
        <f t="shared" si="16"/>
        <v>4252.3</v>
      </c>
      <c r="Y109" s="297">
        <f t="shared" si="16"/>
        <v>4351.3</v>
      </c>
      <c r="Z109" s="297">
        <f t="shared" si="16"/>
        <v>5071.3</v>
      </c>
      <c r="AA109" s="297">
        <f t="shared" si="16"/>
        <v>2184</v>
      </c>
      <c r="AB109" s="297">
        <f t="shared" si="16"/>
        <v>2184</v>
      </c>
      <c r="AC109" s="297">
        <f t="shared" si="16"/>
        <v>117143.78740157481</v>
      </c>
      <c r="AD109" s="297">
        <f t="shared" si="16"/>
        <v>2184</v>
      </c>
      <c r="AE109" s="412">
        <f>SUM(D109+G109+J109+M109+N109+O109+Q109+T109+W109+Z109+AD109+AC109)</f>
        <v>695210.270511811</v>
      </c>
      <c r="AF109" s="913">
        <f>SUM(AE28+AE32+AE106+AE107+AE108)</f>
        <v>695210.270511811</v>
      </c>
      <c r="AG109" s="914">
        <f>SUM(AF109-AE109)</f>
        <v>0</v>
      </c>
      <c r="AH109" s="116"/>
    </row>
    <row r="110" spans="1:34" ht="18" customHeight="1" thickBot="1">
      <c r="A110" s="720" t="s">
        <v>390</v>
      </c>
      <c r="B110" s="407" t="s">
        <v>553</v>
      </c>
      <c r="C110" s="408" t="e">
        <f>SUM('3.felh'!#REF!+'3.felh'!#REF!+'3.felh'!#REF!)</f>
        <v>#REF!</v>
      </c>
      <c r="D110" s="408">
        <f>SUM('3.felh'!C47+'3.felh'!C58+'3.felh'!C70)</f>
        <v>981179</v>
      </c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556">
        <f>D110+G110+J110+M110+N110+O110+Q110+T110+W110+Z110+AD110</f>
        <v>981179</v>
      </c>
      <c r="AF110" s="742"/>
      <c r="AG110" s="116"/>
      <c r="AH110" s="116"/>
    </row>
    <row r="111" spans="1:32" ht="20.25" thickBot="1">
      <c r="A111" s="719"/>
      <c r="B111" s="396" t="s">
        <v>8</v>
      </c>
      <c r="C111" s="397" t="e">
        <f aca="true" t="shared" si="17" ref="C111:AD111">SUM(C109+C110)</f>
        <v>#REF!</v>
      </c>
      <c r="D111" s="397">
        <f t="shared" si="17"/>
        <v>1481520.1831102362</v>
      </c>
      <c r="E111" s="397">
        <f t="shared" si="17"/>
        <v>6808</v>
      </c>
      <c r="F111" s="397">
        <f>SUM(F109+F110)</f>
        <v>0</v>
      </c>
      <c r="G111" s="397">
        <f t="shared" si="17"/>
        <v>6939</v>
      </c>
      <c r="H111" s="397">
        <f t="shared" si="17"/>
        <v>16129</v>
      </c>
      <c r="I111" s="397">
        <f>SUM(I109+I110)</f>
        <v>0</v>
      </c>
      <c r="J111" s="397">
        <f t="shared" si="17"/>
        <v>16129</v>
      </c>
      <c r="K111" s="397">
        <f t="shared" si="17"/>
        <v>8979</v>
      </c>
      <c r="L111" s="397">
        <f>SUM(L109+L110)</f>
        <v>0</v>
      </c>
      <c r="M111" s="397">
        <f t="shared" si="17"/>
        <v>9375</v>
      </c>
      <c r="N111" s="397">
        <f t="shared" si="17"/>
        <v>10526</v>
      </c>
      <c r="O111" s="397">
        <f t="shared" si="17"/>
        <v>15496</v>
      </c>
      <c r="P111" s="397">
        <f t="shared" si="17"/>
        <v>8096</v>
      </c>
      <c r="Q111" s="397">
        <f t="shared" si="17"/>
        <v>9300</v>
      </c>
      <c r="R111" s="397">
        <f t="shared" si="17"/>
        <v>2640</v>
      </c>
      <c r="S111" s="397">
        <f>SUM(S109+S110)</f>
        <v>2640</v>
      </c>
      <c r="T111" s="397">
        <f t="shared" si="17"/>
        <v>2640</v>
      </c>
      <c r="U111" s="397">
        <f t="shared" si="17"/>
        <v>65</v>
      </c>
      <c r="V111" s="397">
        <f>SUM(V109+V110)</f>
        <v>65</v>
      </c>
      <c r="W111" s="397">
        <f t="shared" si="17"/>
        <v>65</v>
      </c>
      <c r="X111" s="397">
        <f t="shared" si="17"/>
        <v>4252.3</v>
      </c>
      <c r="Y111" s="397">
        <f>SUM(Y109+Y110)</f>
        <v>4351.3</v>
      </c>
      <c r="Z111" s="397">
        <f t="shared" si="17"/>
        <v>5071.3</v>
      </c>
      <c r="AA111" s="397">
        <f t="shared" si="17"/>
        <v>2184</v>
      </c>
      <c r="AB111" s="397">
        <f t="shared" si="17"/>
        <v>2184</v>
      </c>
      <c r="AC111" s="397">
        <f t="shared" si="17"/>
        <v>117143.78740157481</v>
      </c>
      <c r="AD111" s="397">
        <f t="shared" si="17"/>
        <v>2184</v>
      </c>
      <c r="AE111" s="397">
        <f>D111+G111+J111+M111+N111+O111+Q111+T111+W111+Z111+AD111+AC111</f>
        <v>1676389.2705118111</v>
      </c>
      <c r="AF111" s="51">
        <f>SUM(AE109+AE110)</f>
        <v>1676389.2705118111</v>
      </c>
    </row>
    <row r="112" spans="1:33" ht="13.5" thickBot="1">
      <c r="A112" s="746"/>
      <c r="B112" s="394" t="s">
        <v>71</v>
      </c>
      <c r="C112" s="557">
        <v>6</v>
      </c>
      <c r="D112" s="557">
        <v>4</v>
      </c>
      <c r="E112" s="557">
        <v>2</v>
      </c>
      <c r="F112" s="557"/>
      <c r="G112" s="557">
        <v>2</v>
      </c>
      <c r="H112" s="557"/>
      <c r="I112" s="557"/>
      <c r="J112" s="557"/>
      <c r="K112" s="557"/>
      <c r="L112" s="557"/>
      <c r="M112" s="557"/>
      <c r="N112" s="557"/>
      <c r="O112" s="557">
        <v>1</v>
      </c>
      <c r="P112" s="557"/>
      <c r="Q112" s="557"/>
      <c r="R112" s="557"/>
      <c r="S112" s="557"/>
      <c r="T112" s="557"/>
      <c r="U112" s="557"/>
      <c r="V112" s="557"/>
      <c r="W112" s="557"/>
      <c r="X112" s="557"/>
      <c r="Y112" s="557"/>
      <c r="Z112" s="557"/>
      <c r="AA112" s="745">
        <v>2</v>
      </c>
      <c r="AB112" s="745">
        <v>2</v>
      </c>
      <c r="AC112" s="745">
        <f>(5+3)</f>
        <v>8</v>
      </c>
      <c r="AD112" s="745">
        <v>1</v>
      </c>
      <c r="AE112" s="558">
        <f>D112+G112+J112+M112+N112+O112+Q112+T112+W112+Z112+AD112+AC112</f>
        <v>16</v>
      </c>
      <c r="AG112" s="105"/>
    </row>
    <row r="113" spans="1:31" s="11" customFormat="1" ht="6" customHeight="1">
      <c r="A113" s="318"/>
      <c r="B113" s="395"/>
      <c r="C113" s="4"/>
      <c r="D113" s="4"/>
      <c r="E113" s="12"/>
      <c r="F113" s="12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6"/>
    </row>
    <row r="114" spans="1:31" s="11" customFormat="1" ht="12.75" hidden="1">
      <c r="A114" s="318"/>
      <c r="B114"/>
      <c r="C114"/>
      <c r="D114"/>
      <c r="H114"/>
      <c r="I114"/>
      <c r="J114"/>
      <c r="K114" s="385"/>
      <c r="L114" s="385"/>
      <c r="M114" s="385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11" customFormat="1" ht="12.75" hidden="1">
      <c r="A115" s="318"/>
      <c r="B115"/>
      <c r="C115" s="105"/>
      <c r="D115" s="105"/>
      <c r="E115" s="51"/>
      <c r="F115" s="51"/>
      <c r="G115" s="51"/>
      <c r="H115" s="105"/>
      <c r="I115" s="105"/>
      <c r="J115" s="105"/>
      <c r="K115"/>
      <c r="L115"/>
      <c r="M115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/>
      <c r="AB115"/>
      <c r="AC115"/>
      <c r="AD115"/>
      <c r="AE115"/>
    </row>
    <row r="116" spans="1:31" s="11" customFormat="1" ht="12.75" hidden="1">
      <c r="A116" s="318"/>
      <c r="B116"/>
      <c r="C116" s="317"/>
      <c r="D116" s="317"/>
      <c r="E116" s="317"/>
      <c r="F116" s="317"/>
      <c r="G116" s="317"/>
      <c r="H116" s="317"/>
      <c r="I116" s="317"/>
      <c r="J116" s="317"/>
      <c r="K116"/>
      <c r="L116"/>
      <c r="M116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/>
      <c r="AB116"/>
      <c r="AC116"/>
      <c r="AD116"/>
      <c r="AE116"/>
    </row>
    <row r="117" spans="1:31" s="11" customFormat="1" ht="12.75" hidden="1">
      <c r="A117" s="318"/>
      <c r="B117"/>
      <c r="C117" s="390"/>
      <c r="D117" s="390"/>
      <c r="E117" s="317"/>
      <c r="F117" s="317"/>
      <c r="G117" s="317"/>
      <c r="H117" s="317"/>
      <c r="I117" s="317"/>
      <c r="J117" s="317"/>
      <c r="K117"/>
      <c r="L117"/>
      <c r="M117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/>
      <c r="AB117"/>
      <c r="AC117"/>
      <c r="AD117"/>
      <c r="AE117"/>
    </row>
    <row r="118" spans="1:31" s="11" customFormat="1" ht="12.75">
      <c r="A118" s="318"/>
      <c r="B118" s="752" t="s">
        <v>797</v>
      </c>
      <c r="C118" s="399"/>
      <c r="D118" s="399"/>
      <c r="G118" s="612" t="s">
        <v>515</v>
      </c>
      <c r="H118" s="386"/>
      <c r="I118" s="386" t="s">
        <v>515</v>
      </c>
      <c r="J118" s="611" t="s">
        <v>373</v>
      </c>
      <c r="K118" s="838"/>
      <c r="L118" s="838"/>
      <c r="M118" s="838" t="s">
        <v>1005</v>
      </c>
      <c r="N118" s="399"/>
      <c r="Q118" s="385"/>
      <c r="R118"/>
      <c r="S118"/>
      <c r="T118" s="398"/>
      <c r="U118" s="399"/>
      <c r="V118" s="399"/>
      <c r="W118" s="399"/>
      <c r="AB118" s="386"/>
      <c r="AC118" s="386"/>
      <c r="AD118" s="385"/>
      <c r="AE118" s="51"/>
    </row>
    <row r="119" spans="1:31" s="11" customFormat="1" ht="12.75">
      <c r="A119" s="318"/>
      <c r="B119" s="752" t="s">
        <v>798</v>
      </c>
      <c r="C119" s="399"/>
      <c r="D119" s="399"/>
      <c r="I119" s="317"/>
      <c r="J119" s="317"/>
      <c r="K119"/>
      <c r="L119"/>
      <c r="N119" s="399"/>
      <c r="Q119" s="317"/>
      <c r="R119"/>
      <c r="S119"/>
      <c r="U119" s="399"/>
      <c r="V119" s="399"/>
      <c r="W119" s="399"/>
      <c r="AB119" s="317"/>
      <c r="AC119" s="317"/>
      <c r="AD119" s="317"/>
      <c r="AE119" s="51">
        <f>(AF109-AE110)</f>
        <v>-285968.729488189</v>
      </c>
    </row>
    <row r="120" spans="1:31" s="11" customFormat="1" ht="12.75">
      <c r="A120" s="318"/>
      <c r="B120" s="157" t="s">
        <v>957</v>
      </c>
      <c r="C120" s="157"/>
      <c r="D120" s="317"/>
      <c r="E120" s="812"/>
      <c r="F120" s="812"/>
      <c r="G120" s="317">
        <v>4200</v>
      </c>
      <c r="I120" s="317"/>
      <c r="J120" s="317">
        <f>(G120*0.27)</f>
        <v>1134</v>
      </c>
      <c r="K120"/>
      <c r="L120"/>
      <c r="M120" s="51">
        <f>SUM(G120:J120)</f>
        <v>5334</v>
      </c>
      <c r="N120"/>
      <c r="Q120" s="317"/>
      <c r="R120"/>
      <c r="S120"/>
      <c r="U120"/>
      <c r="V120"/>
      <c r="W120"/>
      <c r="AB120" s="317"/>
      <c r="AC120" s="317"/>
      <c r="AD120" s="317"/>
      <c r="AE120"/>
    </row>
    <row r="121" spans="1:31" s="11" customFormat="1" ht="12.75">
      <c r="A121" s="318"/>
      <c r="B121" s="813" t="s">
        <v>958</v>
      </c>
      <c r="C121" s="157"/>
      <c r="D121" s="317"/>
      <c r="E121" s="812"/>
      <c r="F121" s="812"/>
      <c r="G121" s="317">
        <v>800</v>
      </c>
      <c r="I121" s="317"/>
      <c r="J121" s="317">
        <f aca="true" t="shared" si="18" ref="J121:J127">(G121*0.27)</f>
        <v>216</v>
      </c>
      <c r="K121"/>
      <c r="L121"/>
      <c r="M121" s="51">
        <f aca="true" t="shared" si="19" ref="M121:M127">SUM(G121:J121)</f>
        <v>1016</v>
      </c>
      <c r="N121"/>
      <c r="Q121" s="317"/>
      <c r="R121"/>
      <c r="S121"/>
      <c r="U121"/>
      <c r="V121"/>
      <c r="W121"/>
      <c r="AB121" s="317"/>
      <c r="AC121" s="317"/>
      <c r="AD121" s="317"/>
      <c r="AE121"/>
    </row>
    <row r="122" spans="1:31" s="11" customFormat="1" ht="26.25" customHeight="1">
      <c r="A122" s="318"/>
      <c r="B122" s="826" t="s">
        <v>959</v>
      </c>
      <c r="C122" s="826"/>
      <c r="D122" s="317"/>
      <c r="E122" s="826"/>
      <c r="F122" s="826"/>
      <c r="G122" s="317">
        <v>1200</v>
      </c>
      <c r="I122" s="317"/>
      <c r="J122" s="317">
        <f t="shared" si="18"/>
        <v>324</v>
      </c>
      <c r="K122"/>
      <c r="L122"/>
      <c r="M122" s="51">
        <f t="shared" si="19"/>
        <v>1524</v>
      </c>
      <c r="N122"/>
      <c r="Q122" s="317"/>
      <c r="R122"/>
      <c r="S122"/>
      <c r="U122"/>
      <c r="V122"/>
      <c r="W122"/>
      <c r="AB122" s="317"/>
      <c r="AC122" s="317"/>
      <c r="AD122" s="317"/>
      <c r="AE122"/>
    </row>
    <row r="123" spans="1:31" s="11" customFormat="1" ht="12.75">
      <c r="A123" s="318"/>
      <c r="B123" s="813" t="s">
        <v>960</v>
      </c>
      <c r="C123" s="157"/>
      <c r="D123" s="317"/>
      <c r="E123" s="812"/>
      <c r="F123" s="812"/>
      <c r="G123" s="317">
        <v>600</v>
      </c>
      <c r="I123" s="317"/>
      <c r="J123" s="317">
        <f t="shared" si="18"/>
        <v>162</v>
      </c>
      <c r="K123"/>
      <c r="L123"/>
      <c r="M123" s="51">
        <f t="shared" si="19"/>
        <v>762</v>
      </c>
      <c r="N123"/>
      <c r="Q123" s="317"/>
      <c r="R123"/>
      <c r="S123"/>
      <c r="U123"/>
      <c r="V123"/>
      <c r="W123"/>
      <c r="AB123" s="317"/>
      <c r="AC123" s="317"/>
      <c r="AD123" s="317"/>
      <c r="AE123"/>
    </row>
    <row r="124" spans="1:31" s="11" customFormat="1" ht="12.75">
      <c r="A124" s="318"/>
      <c r="B124" s="834" t="s">
        <v>996</v>
      </c>
      <c r="C124" s="157"/>
      <c r="D124" s="317"/>
      <c r="E124" s="812"/>
      <c r="F124" s="812"/>
      <c r="G124" s="317">
        <v>270</v>
      </c>
      <c r="I124" s="317"/>
      <c r="J124" s="317">
        <f t="shared" si="18"/>
        <v>72.9</v>
      </c>
      <c r="K124"/>
      <c r="L124"/>
      <c r="M124" s="51">
        <f t="shared" si="19"/>
        <v>342.9</v>
      </c>
      <c r="N124"/>
      <c r="Q124" s="317"/>
      <c r="R124"/>
      <c r="S124"/>
      <c r="U124"/>
      <c r="V124"/>
      <c r="W124"/>
      <c r="AB124" s="317"/>
      <c r="AC124" s="317"/>
      <c r="AD124" s="317"/>
      <c r="AE124"/>
    </row>
    <row r="125" spans="1:31" s="11" customFormat="1" ht="12.75">
      <c r="A125" s="318"/>
      <c r="B125" s="813" t="s">
        <v>1086</v>
      </c>
      <c r="C125" s="157"/>
      <c r="D125" s="317"/>
      <c r="E125" s="812"/>
      <c r="F125" s="812"/>
      <c r="G125" s="317">
        <v>325</v>
      </c>
      <c r="I125" s="317"/>
      <c r="J125" s="317">
        <v>0</v>
      </c>
      <c r="K125"/>
      <c r="L125"/>
      <c r="M125" s="51">
        <f t="shared" si="19"/>
        <v>325</v>
      </c>
      <c r="N125"/>
      <c r="Q125" s="317"/>
      <c r="R125"/>
      <c r="S125"/>
      <c r="U125"/>
      <c r="V125"/>
      <c r="W125"/>
      <c r="AB125" s="317"/>
      <c r="AC125" s="317"/>
      <c r="AD125" s="317"/>
      <c r="AE125"/>
    </row>
    <row r="126" spans="1:31" s="11" customFormat="1" ht="12.75">
      <c r="A126" s="318"/>
      <c r="B126" s="813" t="s">
        <v>966</v>
      </c>
      <c r="C126" s="157"/>
      <c r="D126" s="317"/>
      <c r="E126" s="812"/>
      <c r="F126" s="812"/>
      <c r="G126" s="317">
        <v>4362</v>
      </c>
      <c r="I126" s="317"/>
      <c r="J126" s="317">
        <f t="shared" si="18"/>
        <v>1177.74</v>
      </c>
      <c r="K126"/>
      <c r="L126"/>
      <c r="M126" s="51">
        <f t="shared" si="19"/>
        <v>5539.74</v>
      </c>
      <c r="N126"/>
      <c r="Q126" s="317"/>
      <c r="R126"/>
      <c r="S126"/>
      <c r="U126"/>
      <c r="V126"/>
      <c r="W126"/>
      <c r="AB126" s="317"/>
      <c r="AC126" s="317"/>
      <c r="AD126" s="317"/>
      <c r="AE126"/>
    </row>
    <row r="127" spans="1:31" s="11" customFormat="1" ht="12.75">
      <c r="A127" s="318"/>
      <c r="B127" s="815" t="s">
        <v>967</v>
      </c>
      <c r="C127" s="157"/>
      <c r="D127" s="157"/>
      <c r="E127" s="812"/>
      <c r="F127" s="812"/>
      <c r="G127" s="812">
        <v>1260</v>
      </c>
      <c r="I127" s="317"/>
      <c r="J127" s="317">
        <f t="shared" si="18"/>
        <v>340.20000000000005</v>
      </c>
      <c r="K127"/>
      <c r="L127"/>
      <c r="M127" s="51">
        <f t="shared" si="19"/>
        <v>1600.2</v>
      </c>
      <c r="N127"/>
      <c r="Q127" s="317"/>
      <c r="R127"/>
      <c r="S127"/>
      <c r="U127"/>
      <c r="V127"/>
      <c r="W127"/>
      <c r="AB127" s="317"/>
      <c r="AC127" s="317"/>
      <c r="AD127" s="317"/>
      <c r="AE127"/>
    </row>
    <row r="128" spans="1:31" s="11" customFormat="1" ht="13.5" thickBot="1">
      <c r="A128" s="318"/>
      <c r="B128" s="813"/>
      <c r="C128" s="157"/>
      <c r="D128" s="157"/>
      <c r="E128" s="812"/>
      <c r="F128" s="812"/>
      <c r="G128" s="812"/>
      <c r="I128" s="317"/>
      <c r="J128" s="317"/>
      <c r="K128"/>
      <c r="L128"/>
      <c r="M128" s="51"/>
      <c r="N128"/>
      <c r="Q128" s="317"/>
      <c r="R128"/>
      <c r="S128"/>
      <c r="U128"/>
      <c r="V128"/>
      <c r="W128"/>
      <c r="AB128" s="51"/>
      <c r="AC128" s="51"/>
      <c r="AD128" s="317"/>
      <c r="AE128"/>
    </row>
    <row r="129" spans="1:31" s="11" customFormat="1" ht="26.25" customHeight="1" thickBot="1">
      <c r="A129" s="318"/>
      <c r="B129" s="824" t="s">
        <v>56</v>
      </c>
      <c r="C129" s="825"/>
      <c r="D129" s="825"/>
      <c r="E129" s="825"/>
      <c r="F129" s="825"/>
      <c r="G129" s="829">
        <f>SUM(G120:G128)</f>
        <v>13017</v>
      </c>
      <c r="H129" s="829">
        <f aca="true" t="shared" si="20" ref="H129:M129">SUM(H120:H128)</f>
        <v>0</v>
      </c>
      <c r="I129" s="829">
        <f t="shared" si="20"/>
        <v>0</v>
      </c>
      <c r="J129" s="829">
        <f t="shared" si="20"/>
        <v>3426.84</v>
      </c>
      <c r="K129" s="829">
        <f t="shared" si="20"/>
        <v>0</v>
      </c>
      <c r="L129" s="829">
        <f t="shared" si="20"/>
        <v>0</v>
      </c>
      <c r="M129" s="829">
        <f t="shared" si="20"/>
        <v>16443.84</v>
      </c>
      <c r="Q129" s="317"/>
      <c r="R129" s="51"/>
      <c r="S129" s="51"/>
      <c r="AD129" s="317"/>
      <c r="AE129"/>
    </row>
    <row r="130" spans="1:31" s="11" customFormat="1" ht="12.75">
      <c r="A130" s="318"/>
      <c r="B130"/>
      <c r="E130" s="51"/>
      <c r="F130" s="51"/>
      <c r="G130" s="51"/>
      <c r="AE130"/>
    </row>
    <row r="131" spans="1:31" s="11" customFormat="1" ht="12.75">
      <c r="A131" s="318"/>
      <c r="B131"/>
      <c r="C131" s="105"/>
      <c r="D131" s="105"/>
      <c r="E131" s="51"/>
      <c r="F131" s="51"/>
      <c r="G131" s="51"/>
      <c r="H131" s="105"/>
      <c r="I131" s="105"/>
      <c r="J131" s="10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s="11" customFormat="1" ht="12.75">
      <c r="A132" s="318"/>
      <c r="B132"/>
      <c r="C132"/>
      <c r="D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11" customFormat="1" ht="12.75">
      <c r="A133" s="318"/>
      <c r="B133"/>
      <c r="C133"/>
      <c r="D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11" customFormat="1" ht="12.75">
      <c r="A134" s="318"/>
      <c r="B134"/>
      <c r="C134"/>
      <c r="D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11" customFormat="1" ht="12.75">
      <c r="A135" s="318"/>
      <c r="B135" s="157"/>
      <c r="C135" s="157"/>
      <c r="D135" s="157"/>
      <c r="E135" s="157"/>
      <c r="F135" s="157"/>
      <c r="G135" s="812"/>
      <c r="H135" s="812"/>
      <c r="I135" s="812"/>
      <c r="J135" s="317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11" customFormat="1" ht="12.75">
      <c r="A136" s="318"/>
      <c r="B136" s="813"/>
      <c r="C136" s="157"/>
      <c r="D136" s="157"/>
      <c r="E136" s="157"/>
      <c r="F136" s="157"/>
      <c r="G136" s="812"/>
      <c r="H136" s="812"/>
      <c r="I136" s="812"/>
      <c r="J136" s="317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1" customFormat="1" ht="12.75">
      <c r="A137" s="318"/>
      <c r="B137" s="826"/>
      <c r="C137" s="826"/>
      <c r="D137" s="826"/>
      <c r="E137" s="826"/>
      <c r="F137" s="826"/>
      <c r="G137" s="826"/>
      <c r="H137" s="826"/>
      <c r="I137" s="826"/>
      <c r="J137" s="31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1" customFormat="1" ht="12.75">
      <c r="A138" s="318"/>
      <c r="B138" s="813"/>
      <c r="C138" s="157"/>
      <c r="D138" s="157"/>
      <c r="E138" s="157"/>
      <c r="F138" s="157"/>
      <c r="G138" s="812"/>
      <c r="H138" s="812"/>
      <c r="I138" s="812"/>
      <c r="J138" s="31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1" customFormat="1" ht="12.75">
      <c r="A139" s="318"/>
      <c r="B139" s="813"/>
      <c r="C139" s="157"/>
      <c r="D139" s="157"/>
      <c r="E139" s="157"/>
      <c r="F139" s="157"/>
      <c r="G139" s="812"/>
      <c r="H139" s="812"/>
      <c r="I139" s="812"/>
      <c r="J139" s="317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1" customFormat="1" ht="12.75">
      <c r="A140" s="318"/>
      <c r="B140" s="815"/>
      <c r="C140" s="157"/>
      <c r="D140" s="157"/>
      <c r="E140" s="157"/>
      <c r="F140" s="157"/>
      <c r="G140" s="812"/>
      <c r="H140" s="812"/>
      <c r="I140" s="812"/>
      <c r="J140" s="31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1" customFormat="1" ht="12.75">
      <c r="A141" s="318"/>
      <c r="B141"/>
      <c r="C141"/>
      <c r="D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1" customFormat="1" ht="12.75">
      <c r="A142" s="318"/>
      <c r="B142"/>
      <c r="C142"/>
      <c r="D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1" customFormat="1" ht="12.75">
      <c r="A143" s="318"/>
      <c r="B143"/>
      <c r="C143"/>
      <c r="D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ht="12.75">
      <c r="AF144"/>
    </row>
    <row r="145" ht="12.75">
      <c r="AF145"/>
    </row>
    <row r="146" ht="12.75">
      <c r="AF146"/>
    </row>
    <row r="147" ht="12.75">
      <c r="AF147"/>
    </row>
    <row r="148" ht="12.75">
      <c r="AF148"/>
    </row>
    <row r="149" ht="12.75">
      <c r="AF149"/>
    </row>
    <row r="150" ht="12.75">
      <c r="AF150"/>
    </row>
    <row r="151" ht="12.75">
      <c r="AF151"/>
    </row>
    <row r="152" ht="12.75">
      <c r="AF152"/>
    </row>
  </sheetData>
  <sheetProtection/>
  <mergeCells count="5">
    <mergeCell ref="A2:AE2"/>
    <mergeCell ref="A3:AE3"/>
    <mergeCell ref="A6:A7"/>
    <mergeCell ref="B6:B7"/>
    <mergeCell ref="B4:AE4"/>
  </mergeCells>
  <printOptions/>
  <pageMargins left="0.19" right="0.15748031496062992" top="0.41" bottom="0.15748031496062992" header="0.15748031496062992" footer="0.15748031496062992"/>
  <pageSetup horizontalDpi="300" verticalDpi="300" orientation="landscape" paperSize="9" scale="62" r:id="rId1"/>
  <headerFooter alignWithMargins="0">
    <oddHeader>&amp;C&amp;"Arial CE,Félkövér dőlt"Balatonföldvár Város Önkormányzata
2017. évi költségvetési kiadásainak részletezése kormányzati funkciók szerint 
(önkormányzat)&amp;R8. melléklet</oddHeader>
  </headerFooter>
  <rowBreaks count="1" manualBreakCount="1">
    <brk id="67" max="2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1"/>
  <sheetViews>
    <sheetView zoomScalePageLayoutView="0" workbookViewId="0" topLeftCell="A1">
      <selection activeCell="C94" sqref="C94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2.75390625" style="0" customWidth="1"/>
    <col min="4" max="4" width="11.125" style="11" customWidth="1"/>
    <col min="5" max="5" width="10.625" style="0" customWidth="1"/>
    <col min="6" max="6" width="9.875" style="0" customWidth="1"/>
    <col min="7" max="7" width="10.375" style="0" customWidth="1"/>
    <col min="8" max="11" width="9.25390625" style="0" bestFit="1" customWidth="1"/>
    <col min="12" max="12" width="9.25390625" style="0" customWidth="1"/>
    <col min="13" max="13" width="9.25390625" style="0" bestFit="1" customWidth="1"/>
    <col min="14" max="14" width="9.875" style="0" bestFit="1" customWidth="1"/>
    <col min="15" max="15" width="7.375" style="11" customWidth="1"/>
  </cols>
  <sheetData>
    <row r="1" spans="1:14" ht="12.75">
      <c r="A1" s="157"/>
      <c r="B1" s="1"/>
      <c r="C1" s="75"/>
      <c r="N1" s="71" t="s">
        <v>458</v>
      </c>
    </row>
    <row r="2" spans="1:14" ht="15.75">
      <c r="A2" s="1036" t="s">
        <v>117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</row>
    <row r="3" spans="1:14" ht="15.75" customHeight="1">
      <c r="A3" s="1036" t="s">
        <v>505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</row>
    <row r="4" spans="1:14" ht="15.75">
      <c r="A4" s="1046" t="s">
        <v>385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3" t="s">
        <v>0</v>
      </c>
    </row>
    <row r="5" spans="3:14" ht="13.5" thickBot="1">
      <c r="C5" s="2"/>
      <c r="D5" s="294"/>
      <c r="E5" s="295"/>
      <c r="F5" s="2"/>
      <c r="G5" s="2"/>
      <c r="H5" s="2"/>
      <c r="I5" s="2"/>
      <c r="J5" s="2"/>
      <c r="K5" s="2"/>
      <c r="L5" s="2"/>
      <c r="M5" s="2"/>
      <c r="N5" s="2"/>
    </row>
    <row r="6" spans="1:15" s="364" customFormat="1" ht="16.5" thickBot="1">
      <c r="A6" s="1048" t="s">
        <v>162</v>
      </c>
      <c r="B6" s="1041" t="s">
        <v>31</v>
      </c>
      <c r="C6" s="1043" t="s">
        <v>644</v>
      </c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5"/>
      <c r="O6" s="11"/>
    </row>
    <row r="7" spans="1:15" s="364" customFormat="1" ht="60.75" thickBot="1">
      <c r="A7" s="1049"/>
      <c r="B7" s="1042"/>
      <c r="C7" s="287" t="s">
        <v>383</v>
      </c>
      <c r="D7" s="284" t="s">
        <v>380</v>
      </c>
      <c r="E7" s="284" t="s">
        <v>156</v>
      </c>
      <c r="F7" s="285" t="s">
        <v>381</v>
      </c>
      <c r="G7" s="285" t="s">
        <v>384</v>
      </c>
      <c r="H7" s="285" t="s">
        <v>158</v>
      </c>
      <c r="I7" s="287" t="s">
        <v>382</v>
      </c>
      <c r="J7" s="287" t="s">
        <v>396</v>
      </c>
      <c r="K7" s="287" t="s">
        <v>159</v>
      </c>
      <c r="L7" s="287" t="s">
        <v>404</v>
      </c>
      <c r="M7" s="287" t="s">
        <v>157</v>
      </c>
      <c r="N7" s="288" t="s">
        <v>56</v>
      </c>
      <c r="O7" s="11"/>
    </row>
    <row r="8" spans="1:14" ht="12.75">
      <c r="A8" s="299" t="s">
        <v>350</v>
      </c>
      <c r="B8" s="25" t="s">
        <v>351</v>
      </c>
      <c r="C8" s="55">
        <f>SUM(C9:C15)</f>
        <v>8262</v>
      </c>
      <c r="D8" s="55">
        <f aca="true" t="shared" si="0" ref="D8:M8">SUM(D9:D14)</f>
        <v>5270</v>
      </c>
      <c r="E8" s="55">
        <f t="shared" si="0"/>
        <v>0</v>
      </c>
      <c r="F8" s="55">
        <f t="shared" si="0"/>
        <v>0</v>
      </c>
      <c r="G8" s="55">
        <f t="shared" si="0"/>
        <v>11883</v>
      </c>
      <c r="H8" s="55">
        <f t="shared" si="0"/>
        <v>1085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>SUM(L9:L14)</f>
        <v>956</v>
      </c>
      <c r="M8" s="55">
        <f t="shared" si="0"/>
        <v>2850</v>
      </c>
      <c r="N8" s="55">
        <f>SUM(N9:N15)</f>
        <v>30306</v>
      </c>
    </row>
    <row r="9" spans="1:14" ht="12.75">
      <c r="A9" s="299"/>
      <c r="B9" s="68" t="s">
        <v>425</v>
      </c>
      <c r="C9" s="550">
        <v>480</v>
      </c>
      <c r="D9" s="551">
        <v>4048</v>
      </c>
      <c r="E9" s="551"/>
      <c r="F9" s="551"/>
      <c r="G9" s="551">
        <f>(11784-516)</f>
        <v>11268</v>
      </c>
      <c r="H9" s="551">
        <v>999</v>
      </c>
      <c r="I9" s="551"/>
      <c r="J9" s="551"/>
      <c r="K9" s="551"/>
      <c r="L9" s="551">
        <v>956</v>
      </c>
      <c r="M9" s="551">
        <f>2850</f>
        <v>2850</v>
      </c>
      <c r="N9" s="551">
        <f aca="true" t="shared" si="1" ref="N9:N24">SUM(C9:M9)</f>
        <v>20601</v>
      </c>
    </row>
    <row r="10" spans="1:14" ht="12.75">
      <c r="A10" s="299"/>
      <c r="B10" s="68" t="s">
        <v>72</v>
      </c>
      <c r="C10" s="550"/>
      <c r="D10" s="552">
        <v>86</v>
      </c>
      <c r="E10" s="552"/>
      <c r="F10" s="552"/>
      <c r="G10" s="552">
        <v>123</v>
      </c>
      <c r="H10" s="552"/>
      <c r="I10" s="552"/>
      <c r="J10" s="552"/>
      <c r="K10" s="552"/>
      <c r="L10" s="552"/>
      <c r="M10" s="552"/>
      <c r="N10" s="552">
        <f t="shared" si="1"/>
        <v>209</v>
      </c>
    </row>
    <row r="11" spans="1:14" s="11" customFormat="1" ht="12.75">
      <c r="A11" s="79"/>
      <c r="B11" s="10" t="s">
        <v>419</v>
      </c>
      <c r="C11" s="553"/>
      <c r="D11" s="283">
        <v>192</v>
      </c>
      <c r="E11" s="283"/>
      <c r="F11" s="283"/>
      <c r="G11" s="283">
        <v>492</v>
      </c>
      <c r="H11" s="283">
        <v>86</v>
      </c>
      <c r="I11" s="283"/>
      <c r="J11" s="283"/>
      <c r="K11" s="283"/>
      <c r="L11" s="283"/>
      <c r="M11" s="283"/>
      <c r="N11" s="552">
        <f t="shared" si="1"/>
        <v>770</v>
      </c>
    </row>
    <row r="12" spans="1:14" s="11" customFormat="1" ht="12.75">
      <c r="A12" s="79"/>
      <c r="B12" s="10" t="s">
        <v>546</v>
      </c>
      <c r="C12" s="553"/>
      <c r="D12" s="283">
        <v>944</v>
      </c>
      <c r="E12" s="283"/>
      <c r="F12" s="283"/>
      <c r="G12" s="283"/>
      <c r="H12" s="283"/>
      <c r="I12" s="283"/>
      <c r="J12" s="283"/>
      <c r="K12" s="283"/>
      <c r="L12" s="283"/>
      <c r="M12" s="283"/>
      <c r="N12" s="552">
        <f t="shared" si="1"/>
        <v>944</v>
      </c>
    </row>
    <row r="13" spans="1:14" s="11" customFormat="1" ht="12.75">
      <c r="A13" s="79"/>
      <c r="B13" s="10" t="s">
        <v>561</v>
      </c>
      <c r="C13" s="283">
        <v>250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552">
        <f t="shared" si="1"/>
        <v>250</v>
      </c>
    </row>
    <row r="14" spans="1:14" s="11" customFormat="1" ht="12.75">
      <c r="A14" s="79"/>
      <c r="B14" s="30" t="s">
        <v>376</v>
      </c>
      <c r="C14" s="283">
        <v>6300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552">
        <f t="shared" si="1"/>
        <v>6300</v>
      </c>
    </row>
    <row r="15" spans="1:14" s="11" customFormat="1" ht="12.75">
      <c r="A15" s="79"/>
      <c r="B15" s="30" t="s">
        <v>673</v>
      </c>
      <c r="C15" s="283">
        <f>222+1010</f>
        <v>1232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552">
        <f t="shared" si="1"/>
        <v>1232</v>
      </c>
    </row>
    <row r="16" spans="1:14" s="11" customFormat="1" ht="12.75">
      <c r="A16" s="121" t="s">
        <v>352</v>
      </c>
      <c r="B16" s="34" t="s">
        <v>418</v>
      </c>
      <c r="C16" s="262">
        <f>SUM(C17:C24)</f>
        <v>15570</v>
      </c>
      <c r="D16" s="262">
        <f aca="true" t="shared" si="2" ref="D16:N16">SUM(D17:D24)</f>
        <v>0</v>
      </c>
      <c r="E16" s="262">
        <f t="shared" si="2"/>
        <v>0</v>
      </c>
      <c r="F16" s="262">
        <f t="shared" si="2"/>
        <v>0</v>
      </c>
      <c r="G16" s="262">
        <f t="shared" si="2"/>
        <v>2640</v>
      </c>
      <c r="H16" s="262">
        <f t="shared" si="2"/>
        <v>0</v>
      </c>
      <c r="I16" s="262">
        <f t="shared" si="2"/>
        <v>0</v>
      </c>
      <c r="J16" s="262">
        <f t="shared" si="2"/>
        <v>0</v>
      </c>
      <c r="K16" s="262">
        <f t="shared" si="2"/>
        <v>0</v>
      </c>
      <c r="L16" s="262">
        <f t="shared" si="2"/>
        <v>0</v>
      </c>
      <c r="M16" s="262">
        <f t="shared" si="2"/>
        <v>0</v>
      </c>
      <c r="N16" s="262">
        <f t="shared" si="2"/>
        <v>18210</v>
      </c>
    </row>
    <row r="17" spans="1:14" s="11" customFormat="1" ht="12.75">
      <c r="A17" s="121"/>
      <c r="B17" s="30" t="s">
        <v>69</v>
      </c>
      <c r="C17" s="550">
        <v>5372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283">
        <f t="shared" si="1"/>
        <v>5372</v>
      </c>
    </row>
    <row r="18" spans="1:14" s="11" customFormat="1" ht="12.75">
      <c r="A18" s="121"/>
      <c r="B18" s="308" t="s">
        <v>542</v>
      </c>
      <c r="C18" s="550">
        <v>808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283">
        <f t="shared" si="1"/>
        <v>808</v>
      </c>
    </row>
    <row r="19" spans="1:14" s="11" customFormat="1" ht="12.75">
      <c r="A19" s="121"/>
      <c r="B19" s="2" t="s">
        <v>419</v>
      </c>
      <c r="C19" s="283">
        <v>140</v>
      </c>
      <c r="D19" s="283"/>
      <c r="E19" s="115"/>
      <c r="F19" s="115"/>
      <c r="G19" s="115"/>
      <c r="H19" s="115"/>
      <c r="I19" s="115"/>
      <c r="J19" s="115"/>
      <c r="K19" s="115"/>
      <c r="L19" s="115"/>
      <c r="M19" s="115"/>
      <c r="N19" s="283">
        <f t="shared" si="1"/>
        <v>140</v>
      </c>
    </row>
    <row r="20" spans="1:14" s="11" customFormat="1" ht="12.75">
      <c r="A20" s="121"/>
      <c r="B20" s="30" t="s">
        <v>375</v>
      </c>
      <c r="C20" s="283">
        <v>600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83">
        <f t="shared" si="1"/>
        <v>600</v>
      </c>
    </row>
    <row r="21" spans="1:14" s="11" customFormat="1" ht="12.75">
      <c r="A21" s="121"/>
      <c r="B21" s="30" t="s">
        <v>395</v>
      </c>
      <c r="C21" s="283"/>
      <c r="D21" s="115"/>
      <c r="E21" s="115"/>
      <c r="F21" s="115"/>
      <c r="G21" s="283">
        <v>2640</v>
      </c>
      <c r="H21" s="115"/>
      <c r="I21" s="115"/>
      <c r="J21" s="115"/>
      <c r="K21" s="115"/>
      <c r="L21" s="115"/>
      <c r="M21" s="115"/>
      <c r="N21" s="283">
        <f t="shared" si="1"/>
        <v>2640</v>
      </c>
    </row>
    <row r="22" spans="1:14" ht="12.75">
      <c r="A22" s="121"/>
      <c r="B22" s="30" t="s">
        <v>436</v>
      </c>
      <c r="C22" s="550">
        <v>1000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367">
        <f t="shared" si="1"/>
        <v>1000</v>
      </c>
    </row>
    <row r="23" spans="1:14" ht="12.75">
      <c r="A23" s="121"/>
      <c r="B23" s="30" t="s">
        <v>543</v>
      </c>
      <c r="C23" s="283">
        <v>6950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>
        <f>SUM(C23:M23)</f>
        <v>6950</v>
      </c>
    </row>
    <row r="24" spans="1:14" ht="12.75">
      <c r="A24" s="121"/>
      <c r="B24" s="30" t="s">
        <v>659</v>
      </c>
      <c r="C24" s="283">
        <v>700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>
        <f t="shared" si="1"/>
        <v>700</v>
      </c>
    </row>
    <row r="25" spans="1:15" ht="12.75">
      <c r="A25" s="121" t="s">
        <v>263</v>
      </c>
      <c r="B25" s="184" t="s">
        <v>349</v>
      </c>
      <c r="C25" s="282">
        <f aca="true" t="shared" si="3" ref="C25:N25">SUM(C8+C16)</f>
        <v>23832</v>
      </c>
      <c r="D25" s="282">
        <f t="shared" si="3"/>
        <v>5270</v>
      </c>
      <c r="E25" s="282">
        <f t="shared" si="3"/>
        <v>0</v>
      </c>
      <c r="F25" s="282">
        <f t="shared" si="3"/>
        <v>0</v>
      </c>
      <c r="G25" s="282">
        <f t="shared" si="3"/>
        <v>14523</v>
      </c>
      <c r="H25" s="282">
        <f t="shared" si="3"/>
        <v>1085</v>
      </c>
      <c r="I25" s="282">
        <f t="shared" si="3"/>
        <v>0</v>
      </c>
      <c r="J25" s="282">
        <f t="shared" si="3"/>
        <v>0</v>
      </c>
      <c r="K25" s="282">
        <f t="shared" si="3"/>
        <v>0</v>
      </c>
      <c r="L25" s="282">
        <f t="shared" si="3"/>
        <v>956</v>
      </c>
      <c r="M25" s="282">
        <f t="shared" si="3"/>
        <v>2850</v>
      </c>
      <c r="N25" s="282">
        <f t="shared" si="3"/>
        <v>48516</v>
      </c>
      <c r="O25" s="51">
        <f>SUM(C25:M25)</f>
        <v>48516</v>
      </c>
    </row>
    <row r="26" spans="1:14" ht="12.75">
      <c r="A26" s="79"/>
      <c r="B26" s="30" t="s">
        <v>32</v>
      </c>
      <c r="C26" s="367">
        <f>6000+170+60+57</f>
        <v>6287</v>
      </c>
      <c r="D26" s="367">
        <v>1348</v>
      </c>
      <c r="E26" s="367"/>
      <c r="F26" s="367"/>
      <c r="G26" s="367">
        <v>3894</v>
      </c>
      <c r="H26" s="367">
        <v>270</v>
      </c>
      <c r="I26" s="367"/>
      <c r="J26" s="367"/>
      <c r="K26" s="367"/>
      <c r="L26" s="367">
        <v>260</v>
      </c>
      <c r="M26" s="367">
        <f>770</f>
        <v>770</v>
      </c>
      <c r="N26" s="367">
        <f>SUM(C26:M26)</f>
        <v>12829</v>
      </c>
    </row>
    <row r="27" spans="1:14" ht="12.75" hidden="1">
      <c r="A27" s="79"/>
      <c r="B27" s="30" t="s">
        <v>502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>
        <f>SUM(C27:M27)</f>
        <v>0</v>
      </c>
    </row>
    <row r="28" spans="1:14" ht="12.75">
      <c r="A28" s="79"/>
      <c r="B28" s="30" t="s">
        <v>155</v>
      </c>
      <c r="C28" s="367">
        <v>560</v>
      </c>
      <c r="D28" s="367">
        <v>70</v>
      </c>
      <c r="E28" s="367"/>
      <c r="F28" s="367"/>
      <c r="G28" s="367">
        <v>200</v>
      </c>
      <c r="H28" s="367">
        <v>35</v>
      </c>
      <c r="I28" s="367"/>
      <c r="J28" s="367"/>
      <c r="K28" s="367"/>
      <c r="L28" s="367"/>
      <c r="M28" s="367"/>
      <c r="N28" s="367">
        <f>SUM(C28:M28)</f>
        <v>865</v>
      </c>
    </row>
    <row r="29" spans="1:15" ht="12.75">
      <c r="A29" s="121" t="s">
        <v>264</v>
      </c>
      <c r="B29" s="184" t="s">
        <v>140</v>
      </c>
      <c r="C29" s="282">
        <f>SUM(C26:C28)</f>
        <v>6847</v>
      </c>
      <c r="D29" s="282">
        <f aca="true" t="shared" si="4" ref="D29:N29">SUM(D26:D28)</f>
        <v>1418</v>
      </c>
      <c r="E29" s="282">
        <f t="shared" si="4"/>
        <v>0</v>
      </c>
      <c r="F29" s="282">
        <f t="shared" si="4"/>
        <v>0</v>
      </c>
      <c r="G29" s="282">
        <f t="shared" si="4"/>
        <v>4094</v>
      </c>
      <c r="H29" s="282">
        <f t="shared" si="4"/>
        <v>305</v>
      </c>
      <c r="I29" s="282">
        <f t="shared" si="4"/>
        <v>0</v>
      </c>
      <c r="J29" s="282">
        <f t="shared" si="4"/>
        <v>0</v>
      </c>
      <c r="K29" s="282">
        <f t="shared" si="4"/>
        <v>0</v>
      </c>
      <c r="L29" s="282">
        <f t="shared" si="4"/>
        <v>260</v>
      </c>
      <c r="M29" s="282">
        <f t="shared" si="4"/>
        <v>770</v>
      </c>
      <c r="N29" s="282">
        <f t="shared" si="4"/>
        <v>13694</v>
      </c>
      <c r="O29" s="51">
        <f>SUM(C29:M29)</f>
        <v>13694</v>
      </c>
    </row>
    <row r="30" spans="1:14" ht="12.75">
      <c r="A30" s="121" t="s">
        <v>315</v>
      </c>
      <c r="B30" s="34" t="s">
        <v>337</v>
      </c>
      <c r="C30" s="115">
        <f>SUM(C31:C38)</f>
        <v>2691</v>
      </c>
      <c r="D30" s="115">
        <f aca="true" t="shared" si="5" ref="D30:N30">SUM(D31:D38)</f>
        <v>40</v>
      </c>
      <c r="E30" s="115">
        <f t="shared" si="5"/>
        <v>0</v>
      </c>
      <c r="F30" s="115">
        <f t="shared" si="5"/>
        <v>140</v>
      </c>
      <c r="G30" s="115">
        <f t="shared" si="5"/>
        <v>510</v>
      </c>
      <c r="H30" s="115">
        <f t="shared" si="5"/>
        <v>0</v>
      </c>
      <c r="I30" s="115">
        <f t="shared" si="5"/>
        <v>0</v>
      </c>
      <c r="J30" s="115">
        <f t="shared" si="5"/>
        <v>0</v>
      </c>
      <c r="K30" s="115">
        <f t="shared" si="5"/>
        <v>40</v>
      </c>
      <c r="L30" s="115"/>
      <c r="M30" s="115">
        <f t="shared" si="5"/>
        <v>0</v>
      </c>
      <c r="N30" s="115">
        <f t="shared" si="5"/>
        <v>3643</v>
      </c>
    </row>
    <row r="31" spans="1:14" ht="12.75">
      <c r="A31" s="79" t="s">
        <v>316</v>
      </c>
      <c r="B31" s="30" t="s">
        <v>552</v>
      </c>
      <c r="C31" s="283">
        <f>200+115</f>
        <v>315</v>
      </c>
      <c r="D31" s="283">
        <v>0</v>
      </c>
      <c r="E31" s="367"/>
      <c r="F31" s="367">
        <f>50-10</f>
        <v>40</v>
      </c>
      <c r="G31" s="367">
        <v>10</v>
      </c>
      <c r="H31" s="367"/>
      <c r="I31" s="367"/>
      <c r="J31" s="367"/>
      <c r="K31" s="367"/>
      <c r="L31" s="367">
        <f>150+72</f>
        <v>222</v>
      </c>
      <c r="M31" s="367"/>
      <c r="N31" s="14">
        <f>SUM(C31:M31)</f>
        <v>587</v>
      </c>
    </row>
    <row r="32" spans="1:14" ht="12.75">
      <c r="A32" s="79" t="s">
        <v>317</v>
      </c>
      <c r="B32" s="30" t="s">
        <v>338</v>
      </c>
      <c r="C32" s="283"/>
      <c r="D32" s="283"/>
      <c r="E32" s="367"/>
      <c r="F32" s="367"/>
      <c r="G32" s="367"/>
      <c r="H32" s="367"/>
      <c r="I32" s="367"/>
      <c r="J32" s="367"/>
      <c r="K32" s="367"/>
      <c r="L32" s="367"/>
      <c r="M32" s="367"/>
      <c r="N32" s="367">
        <f aca="true" t="shared" si="6" ref="N32:N38">SUM(C32:M32)</f>
        <v>0</v>
      </c>
    </row>
    <row r="33" spans="1:14" ht="12.75">
      <c r="A33" s="79"/>
      <c r="B33" s="30" t="s">
        <v>661</v>
      </c>
      <c r="C33" s="283">
        <v>100</v>
      </c>
      <c r="D33" s="283">
        <v>10</v>
      </c>
      <c r="E33" s="367"/>
      <c r="F33" s="367"/>
      <c r="G33" s="367"/>
      <c r="H33" s="367"/>
      <c r="I33" s="367"/>
      <c r="J33" s="367"/>
      <c r="K33" s="367"/>
      <c r="L33" s="367"/>
      <c r="M33" s="367"/>
      <c r="N33" s="367">
        <f t="shared" si="6"/>
        <v>110</v>
      </c>
    </row>
    <row r="34" spans="1:14" ht="12.75">
      <c r="A34" s="79"/>
      <c r="B34" s="30" t="s">
        <v>360</v>
      </c>
      <c r="C34" s="283">
        <v>100</v>
      </c>
      <c r="D34" s="283"/>
      <c r="E34" s="367"/>
      <c r="F34" s="367"/>
      <c r="G34" s="367">
        <v>100</v>
      </c>
      <c r="H34" s="367"/>
      <c r="I34" s="367"/>
      <c r="J34" s="367"/>
      <c r="K34" s="367"/>
      <c r="L34" s="367"/>
      <c r="M34" s="367"/>
      <c r="N34" s="367">
        <f t="shared" si="6"/>
        <v>200</v>
      </c>
    </row>
    <row r="35" spans="1:14" ht="12.75">
      <c r="A35" s="79"/>
      <c r="B35" s="30" t="s">
        <v>361</v>
      </c>
      <c r="C35" s="283">
        <v>1200</v>
      </c>
      <c r="D35" s="283"/>
      <c r="E35" s="367"/>
      <c r="F35" s="367"/>
      <c r="G35" s="367"/>
      <c r="H35" s="367"/>
      <c r="I35" s="367"/>
      <c r="J35" s="367"/>
      <c r="K35" s="367"/>
      <c r="L35" s="367"/>
      <c r="M35" s="367"/>
      <c r="N35" s="367">
        <f t="shared" si="6"/>
        <v>1200</v>
      </c>
    </row>
    <row r="36" spans="1:14" ht="12.75">
      <c r="A36" s="79"/>
      <c r="B36" s="30" t="s">
        <v>660</v>
      </c>
      <c r="C36" s="283">
        <v>700</v>
      </c>
      <c r="D36" s="283">
        <v>0</v>
      </c>
      <c r="E36" s="367"/>
      <c r="F36" s="367">
        <v>100</v>
      </c>
      <c r="G36" s="367">
        <v>400</v>
      </c>
      <c r="H36" s="367"/>
      <c r="I36" s="367"/>
      <c r="J36" s="367"/>
      <c r="K36" s="367">
        <v>40</v>
      </c>
      <c r="L36" s="367"/>
      <c r="M36" s="367"/>
      <c r="N36" s="367">
        <f t="shared" si="6"/>
        <v>1240</v>
      </c>
    </row>
    <row r="37" spans="1:14" ht="12.75">
      <c r="A37" s="79"/>
      <c r="B37" s="30" t="s">
        <v>388</v>
      </c>
      <c r="C37" s="283">
        <v>30</v>
      </c>
      <c r="D37" s="283">
        <v>30</v>
      </c>
      <c r="E37" s="367"/>
      <c r="F37" s="367"/>
      <c r="G37" s="367"/>
      <c r="H37" s="367"/>
      <c r="I37" s="367"/>
      <c r="J37" s="367"/>
      <c r="K37" s="367"/>
      <c r="L37" s="367"/>
      <c r="M37" s="367"/>
      <c r="N37" s="367">
        <f t="shared" si="6"/>
        <v>60</v>
      </c>
    </row>
    <row r="38" spans="1:14" ht="12.75">
      <c r="A38" s="79"/>
      <c r="B38" s="30" t="s">
        <v>662</v>
      </c>
      <c r="C38" s="283">
        <v>246</v>
      </c>
      <c r="D38" s="283"/>
      <c r="E38" s="367"/>
      <c r="F38" s="367"/>
      <c r="G38" s="367"/>
      <c r="H38" s="367"/>
      <c r="I38" s="367"/>
      <c r="J38" s="367"/>
      <c r="K38" s="367"/>
      <c r="L38" s="367"/>
      <c r="M38" s="367"/>
      <c r="N38" s="367">
        <f t="shared" si="6"/>
        <v>246</v>
      </c>
    </row>
    <row r="39" spans="1:15" ht="12.75">
      <c r="A39" s="121" t="s">
        <v>318</v>
      </c>
      <c r="B39" s="34" t="s">
        <v>340</v>
      </c>
      <c r="C39" s="115">
        <f>SUM(C40:C42)</f>
        <v>900</v>
      </c>
      <c r="D39" s="115">
        <f aca="true" t="shared" si="7" ref="D39:N39">SUM(D40:D42)</f>
        <v>0</v>
      </c>
      <c r="E39" s="115">
        <f t="shared" si="7"/>
        <v>0</v>
      </c>
      <c r="F39" s="115">
        <f t="shared" si="7"/>
        <v>15</v>
      </c>
      <c r="G39" s="115">
        <f t="shared" si="7"/>
        <v>250</v>
      </c>
      <c r="H39" s="115">
        <f t="shared" si="7"/>
        <v>0</v>
      </c>
      <c r="I39" s="115">
        <f t="shared" si="7"/>
        <v>0</v>
      </c>
      <c r="J39" s="115">
        <f t="shared" si="7"/>
        <v>0</v>
      </c>
      <c r="K39" s="115">
        <f t="shared" si="7"/>
        <v>75</v>
      </c>
      <c r="L39" s="115">
        <f t="shared" si="7"/>
        <v>0</v>
      </c>
      <c r="M39" s="115">
        <f t="shared" si="7"/>
        <v>0</v>
      </c>
      <c r="N39" s="115">
        <f t="shared" si="7"/>
        <v>1240</v>
      </c>
      <c r="O39" s="51">
        <f>SUM(C39:M39)</f>
        <v>1240</v>
      </c>
    </row>
    <row r="40" spans="1:14" ht="12.75">
      <c r="A40" s="79" t="s">
        <v>319</v>
      </c>
      <c r="B40" s="30" t="s">
        <v>392</v>
      </c>
      <c r="C40" s="283">
        <v>250</v>
      </c>
      <c r="D40" s="387"/>
      <c r="E40" s="367"/>
      <c r="F40" s="367"/>
      <c r="G40" s="367">
        <v>150</v>
      </c>
      <c r="H40" s="367"/>
      <c r="I40" s="367"/>
      <c r="J40" s="367"/>
      <c r="K40" s="367"/>
      <c r="L40" s="367"/>
      <c r="M40" s="367"/>
      <c r="N40" s="367">
        <f>SUM(C40:M40)</f>
        <v>400</v>
      </c>
    </row>
    <row r="41" spans="1:14" ht="12.75">
      <c r="A41" s="79"/>
      <c r="B41" s="30" t="s">
        <v>663</v>
      </c>
      <c r="C41" s="283">
        <v>150</v>
      </c>
      <c r="D41" s="387"/>
      <c r="E41" s="367"/>
      <c r="F41" s="367"/>
      <c r="G41" s="367"/>
      <c r="H41" s="367"/>
      <c r="I41" s="367"/>
      <c r="J41" s="367"/>
      <c r="K41" s="367"/>
      <c r="L41" s="367"/>
      <c r="M41" s="367"/>
      <c r="N41" s="367">
        <f>SUM(C41:M41)</f>
        <v>150</v>
      </c>
    </row>
    <row r="42" spans="1:14" ht="12.75">
      <c r="A42" s="79" t="s">
        <v>320</v>
      </c>
      <c r="B42" s="30" t="s">
        <v>363</v>
      </c>
      <c r="C42" s="283">
        <v>500</v>
      </c>
      <c r="D42" s="387"/>
      <c r="E42" s="367"/>
      <c r="F42" s="367">
        <v>15</v>
      </c>
      <c r="G42" s="367">
        <v>100</v>
      </c>
      <c r="H42" s="367"/>
      <c r="I42" s="367"/>
      <c r="J42" s="367"/>
      <c r="K42" s="367">
        <v>75</v>
      </c>
      <c r="L42" s="367"/>
      <c r="M42" s="367"/>
      <c r="N42" s="367">
        <f>SUM(C42:M42)</f>
        <v>690</v>
      </c>
    </row>
    <row r="43" spans="1:15" ht="12.75">
      <c r="A43" s="121" t="s">
        <v>321</v>
      </c>
      <c r="B43" s="34" t="s">
        <v>342</v>
      </c>
      <c r="C43" s="115">
        <f>SUM(C44:C85)</f>
        <v>86781</v>
      </c>
      <c r="D43" s="115">
        <f aca="true" t="shared" si="8" ref="D43:N43">SUM(D44:D85)</f>
        <v>0</v>
      </c>
      <c r="E43" s="115">
        <f t="shared" si="8"/>
        <v>11500</v>
      </c>
      <c r="F43" s="115">
        <f t="shared" si="8"/>
        <v>9750</v>
      </c>
      <c r="G43" s="115">
        <f t="shared" si="8"/>
        <v>5886</v>
      </c>
      <c r="H43" s="115">
        <f t="shared" si="8"/>
        <v>10000</v>
      </c>
      <c r="I43" s="115">
        <f t="shared" si="8"/>
        <v>0</v>
      </c>
      <c r="J43" s="115">
        <f t="shared" si="8"/>
        <v>2640</v>
      </c>
      <c r="K43" s="115">
        <f t="shared" si="8"/>
        <v>2000</v>
      </c>
      <c r="L43" s="115">
        <f t="shared" si="8"/>
        <v>35</v>
      </c>
      <c r="M43" s="115">
        <f t="shared" si="8"/>
        <v>0</v>
      </c>
      <c r="N43" s="115">
        <f t="shared" si="8"/>
        <v>128592</v>
      </c>
      <c r="O43" s="51">
        <f>SUM(C43:M43)</f>
        <v>128592</v>
      </c>
    </row>
    <row r="44" spans="1:14" ht="12.75">
      <c r="A44" s="79" t="s">
        <v>322</v>
      </c>
      <c r="B44" s="30" t="s">
        <v>359</v>
      </c>
      <c r="C44" s="283">
        <v>3000</v>
      </c>
      <c r="D44" s="387"/>
      <c r="E44" s="367">
        <v>11500</v>
      </c>
      <c r="F44" s="367">
        <v>400</v>
      </c>
      <c r="G44" s="367">
        <v>2100</v>
      </c>
      <c r="H44" s="367"/>
      <c r="I44" s="367"/>
      <c r="J44" s="367"/>
      <c r="K44" s="367">
        <v>2000</v>
      </c>
      <c r="L44" s="367"/>
      <c r="M44" s="367"/>
      <c r="N44" s="367">
        <f aca="true" t="shared" si="9" ref="N44:N50">SUM(C44:M44)</f>
        <v>19000</v>
      </c>
    </row>
    <row r="45" spans="1:14" ht="12.75">
      <c r="A45" s="79"/>
      <c r="B45" s="30" t="s">
        <v>664</v>
      </c>
      <c r="C45" s="283">
        <v>1160</v>
      </c>
      <c r="D45" s="387"/>
      <c r="E45" s="367"/>
      <c r="F45" s="367"/>
      <c r="G45" s="555"/>
      <c r="H45" s="367"/>
      <c r="I45" s="367"/>
      <c r="J45" s="367"/>
      <c r="K45" s="367"/>
      <c r="L45" s="367"/>
      <c r="M45" s="367"/>
      <c r="N45" s="367">
        <f t="shared" si="9"/>
        <v>1160</v>
      </c>
    </row>
    <row r="46" spans="1:14" ht="12.75">
      <c r="A46" s="79" t="s">
        <v>386</v>
      </c>
      <c r="B46" s="30" t="s">
        <v>387</v>
      </c>
      <c r="C46" s="283"/>
      <c r="D46" s="387"/>
      <c r="E46" s="367"/>
      <c r="F46" s="367"/>
      <c r="G46" s="367"/>
      <c r="H46" s="367">
        <v>10000</v>
      </c>
      <c r="I46" s="367"/>
      <c r="J46" s="367"/>
      <c r="K46" s="367"/>
      <c r="L46" s="367"/>
      <c r="M46" s="367"/>
      <c r="N46" s="367">
        <f t="shared" si="9"/>
        <v>10000</v>
      </c>
    </row>
    <row r="47" spans="1:14" ht="12.75">
      <c r="A47" s="79" t="s">
        <v>323</v>
      </c>
      <c r="B47" s="30" t="s">
        <v>358</v>
      </c>
      <c r="C47" s="283">
        <v>200</v>
      </c>
      <c r="D47" s="387"/>
      <c r="E47" s="367"/>
      <c r="F47" s="367"/>
      <c r="G47" s="367">
        <v>600</v>
      </c>
      <c r="H47" s="367"/>
      <c r="I47" s="367"/>
      <c r="J47" s="367"/>
      <c r="K47" s="367"/>
      <c r="L47" s="367"/>
      <c r="M47" s="367"/>
      <c r="N47" s="367">
        <f t="shared" si="9"/>
        <v>800</v>
      </c>
    </row>
    <row r="48" spans="1:14" ht="12.75">
      <c r="A48" s="79" t="s">
        <v>324</v>
      </c>
      <c r="B48" s="30" t="s">
        <v>357</v>
      </c>
      <c r="C48" s="283">
        <v>1000</v>
      </c>
      <c r="D48" s="387"/>
      <c r="E48" s="367"/>
      <c r="F48" s="367">
        <v>50</v>
      </c>
      <c r="G48" s="367">
        <v>700</v>
      </c>
      <c r="H48" s="367"/>
      <c r="I48" s="367"/>
      <c r="J48" s="367"/>
      <c r="K48" s="367"/>
      <c r="L48" s="367"/>
      <c r="M48" s="367"/>
      <c r="N48" s="367">
        <f t="shared" si="9"/>
        <v>1750</v>
      </c>
    </row>
    <row r="49" spans="1:14" ht="12.75">
      <c r="A49" s="79"/>
      <c r="B49" s="30" t="s">
        <v>533</v>
      </c>
      <c r="C49" s="283"/>
      <c r="D49" s="387"/>
      <c r="E49" s="367"/>
      <c r="F49" s="367"/>
      <c r="G49" s="367">
        <v>796</v>
      </c>
      <c r="H49" s="367"/>
      <c r="I49" s="367"/>
      <c r="J49" s="367"/>
      <c r="K49" s="367"/>
      <c r="L49" s="367"/>
      <c r="M49" s="367"/>
      <c r="N49" s="367">
        <f t="shared" si="9"/>
        <v>796</v>
      </c>
    </row>
    <row r="50" spans="1:14" ht="12.75">
      <c r="A50" s="79"/>
      <c r="B50" s="30" t="s">
        <v>665</v>
      </c>
      <c r="C50" s="283">
        <v>225</v>
      </c>
      <c r="D50" s="387"/>
      <c r="E50" s="367"/>
      <c r="F50" s="367"/>
      <c r="G50" s="367"/>
      <c r="H50" s="367"/>
      <c r="I50" s="367"/>
      <c r="J50" s="367"/>
      <c r="K50" s="367"/>
      <c r="L50" s="367"/>
      <c r="M50" s="367"/>
      <c r="N50" s="367">
        <f t="shared" si="9"/>
        <v>225</v>
      </c>
    </row>
    <row r="51" spans="1:14" ht="12.75">
      <c r="A51" s="79" t="s">
        <v>325</v>
      </c>
      <c r="B51" s="30" t="s">
        <v>356</v>
      </c>
      <c r="C51" s="283"/>
      <c r="D51" s="42"/>
      <c r="E51" s="14"/>
      <c r="F51" s="14"/>
      <c r="G51" s="14"/>
      <c r="H51" s="14"/>
      <c r="I51" s="14"/>
      <c r="J51" s="14"/>
      <c r="K51" s="14"/>
      <c r="L51" s="14"/>
      <c r="M51" s="14"/>
      <c r="N51" s="14">
        <f aca="true" t="shared" si="10" ref="N51:N89">SUM(C51:M51)</f>
        <v>0</v>
      </c>
    </row>
    <row r="52" spans="1:14" ht="12.75">
      <c r="A52" s="79" t="s">
        <v>326</v>
      </c>
      <c r="B52" s="30" t="s">
        <v>355</v>
      </c>
      <c r="C52" s="283"/>
      <c r="D52" s="387"/>
      <c r="E52" s="367"/>
      <c r="F52" s="367"/>
      <c r="G52" s="367"/>
      <c r="H52" s="367"/>
      <c r="I52" s="367"/>
      <c r="J52" s="367"/>
      <c r="K52" s="367"/>
      <c r="L52" s="367"/>
      <c r="M52" s="367"/>
      <c r="N52" s="367">
        <f t="shared" si="10"/>
        <v>0</v>
      </c>
    </row>
    <row r="53" spans="1:14" ht="12.75">
      <c r="A53" s="79"/>
      <c r="B53" s="30" t="s">
        <v>368</v>
      </c>
      <c r="C53" s="283">
        <v>1230</v>
      </c>
      <c r="D53" s="387"/>
      <c r="E53" s="367"/>
      <c r="F53" s="367"/>
      <c r="G53" s="367"/>
      <c r="H53" s="367"/>
      <c r="I53" s="367"/>
      <c r="J53" s="367"/>
      <c r="K53" s="367"/>
      <c r="L53" s="367"/>
      <c r="M53" s="367"/>
      <c r="N53" s="367">
        <f t="shared" si="10"/>
        <v>1230</v>
      </c>
    </row>
    <row r="54" spans="1:14" s="11" customFormat="1" ht="12.75">
      <c r="A54" s="79"/>
      <c r="B54" s="30" t="s">
        <v>369</v>
      </c>
      <c r="C54" s="283">
        <v>720</v>
      </c>
      <c r="D54" s="387"/>
      <c r="E54" s="367"/>
      <c r="F54" s="367"/>
      <c r="G54" s="367"/>
      <c r="H54" s="367"/>
      <c r="I54" s="367"/>
      <c r="J54" s="367"/>
      <c r="K54" s="367"/>
      <c r="L54" s="367"/>
      <c r="M54" s="367"/>
      <c r="N54" s="367">
        <f t="shared" si="10"/>
        <v>720</v>
      </c>
    </row>
    <row r="55" spans="1:14" s="11" customFormat="1" ht="12.75">
      <c r="A55" s="79"/>
      <c r="B55" s="30" t="s">
        <v>400</v>
      </c>
      <c r="C55" s="283">
        <v>1000</v>
      </c>
      <c r="D55" s="387"/>
      <c r="E55" s="367"/>
      <c r="F55" s="367"/>
      <c r="G55" s="367"/>
      <c r="H55" s="367"/>
      <c r="I55" s="367"/>
      <c r="J55" s="367"/>
      <c r="K55" s="367"/>
      <c r="L55" s="367"/>
      <c r="M55" s="367"/>
      <c r="N55" s="367">
        <f t="shared" si="10"/>
        <v>1000</v>
      </c>
    </row>
    <row r="56" spans="1:14" s="11" customFormat="1" ht="12.75">
      <c r="A56" s="79"/>
      <c r="B56" s="30" t="s">
        <v>391</v>
      </c>
      <c r="C56" s="530"/>
      <c r="D56" s="387"/>
      <c r="E56" s="367"/>
      <c r="F56" s="283">
        <v>1200</v>
      </c>
      <c r="G56" s="367"/>
      <c r="H56" s="367"/>
      <c r="I56" s="367"/>
      <c r="J56" s="367"/>
      <c r="K56" s="367"/>
      <c r="L56" s="367"/>
      <c r="M56" s="367"/>
      <c r="N56" s="367">
        <f t="shared" si="10"/>
        <v>1200</v>
      </c>
    </row>
    <row r="57" spans="1:14" s="11" customFormat="1" ht="12.75">
      <c r="A57" s="79"/>
      <c r="B57" s="30" t="s">
        <v>114</v>
      </c>
      <c r="C57" s="530"/>
      <c r="D57" s="387"/>
      <c r="E57" s="367"/>
      <c r="F57" s="283">
        <v>900</v>
      </c>
      <c r="G57" s="367"/>
      <c r="H57" s="367"/>
      <c r="I57" s="367"/>
      <c r="J57" s="367"/>
      <c r="K57" s="367"/>
      <c r="L57" s="367"/>
      <c r="M57" s="367"/>
      <c r="N57" s="367">
        <f t="shared" si="10"/>
        <v>900</v>
      </c>
    </row>
    <row r="58" spans="1:14" s="11" customFormat="1" ht="12.75">
      <c r="A58" s="79"/>
      <c r="B58" s="30" t="s">
        <v>115</v>
      </c>
      <c r="C58" s="530"/>
      <c r="D58" s="387"/>
      <c r="E58" s="367"/>
      <c r="F58" s="283">
        <v>800</v>
      </c>
      <c r="G58" s="367"/>
      <c r="H58" s="367"/>
      <c r="I58" s="367"/>
      <c r="J58" s="367"/>
      <c r="K58" s="367"/>
      <c r="L58" s="367"/>
      <c r="M58" s="367"/>
      <c r="N58" s="367">
        <f t="shared" si="10"/>
        <v>800</v>
      </c>
    </row>
    <row r="59" spans="1:14" s="11" customFormat="1" ht="12.75">
      <c r="A59" s="79"/>
      <c r="B59" s="30" t="s">
        <v>116</v>
      </c>
      <c r="C59" s="530"/>
      <c r="D59" s="387"/>
      <c r="E59" s="367"/>
      <c r="F59" s="283">
        <v>1200</v>
      </c>
      <c r="G59" s="367"/>
      <c r="H59" s="367"/>
      <c r="I59" s="367"/>
      <c r="J59" s="367"/>
      <c r="K59" s="367"/>
      <c r="L59" s="367"/>
      <c r="M59" s="367"/>
      <c r="N59" s="367">
        <f t="shared" si="10"/>
        <v>1200</v>
      </c>
    </row>
    <row r="60" spans="1:14" s="11" customFormat="1" ht="12.75">
      <c r="A60" s="79"/>
      <c r="B60" s="30" t="s">
        <v>548</v>
      </c>
      <c r="C60" s="530"/>
      <c r="D60" s="387"/>
      <c r="E60" s="367"/>
      <c r="F60" s="283">
        <v>4700</v>
      </c>
      <c r="G60" s="367"/>
      <c r="H60" s="367"/>
      <c r="I60" s="367"/>
      <c r="J60" s="367"/>
      <c r="K60" s="367"/>
      <c r="L60" s="367"/>
      <c r="M60" s="367"/>
      <c r="N60" s="367">
        <f t="shared" si="10"/>
        <v>4700</v>
      </c>
    </row>
    <row r="61" spans="1:14" s="11" customFormat="1" ht="12.75">
      <c r="A61" s="79"/>
      <c r="B61" s="30" t="s">
        <v>394</v>
      </c>
      <c r="C61" s="530">
        <v>100</v>
      </c>
      <c r="D61" s="387"/>
      <c r="E61" s="367"/>
      <c r="F61" s="283"/>
      <c r="G61" s="367"/>
      <c r="H61" s="367"/>
      <c r="I61" s="367"/>
      <c r="J61" s="367"/>
      <c r="K61" s="367"/>
      <c r="L61" s="367"/>
      <c r="M61" s="367"/>
      <c r="N61" s="367">
        <f t="shared" si="10"/>
        <v>100</v>
      </c>
    </row>
    <row r="62" spans="1:14" s="11" customFormat="1" ht="12.75">
      <c r="A62" s="79"/>
      <c r="B62" s="30" t="s">
        <v>371</v>
      </c>
      <c r="C62" s="530"/>
      <c r="D62" s="387"/>
      <c r="E62" s="367"/>
      <c r="F62" s="283">
        <v>500</v>
      </c>
      <c r="G62" s="367"/>
      <c r="H62" s="367"/>
      <c r="I62" s="367"/>
      <c r="J62" s="367"/>
      <c r="K62" s="367"/>
      <c r="L62" s="367"/>
      <c r="M62" s="367"/>
      <c r="N62" s="367">
        <f t="shared" si="10"/>
        <v>500</v>
      </c>
    </row>
    <row r="63" spans="1:14" s="11" customFormat="1" ht="12.75">
      <c r="A63" s="79"/>
      <c r="B63" s="30" t="s">
        <v>544</v>
      </c>
      <c r="C63" s="283">
        <v>2000</v>
      </c>
      <c r="D63" s="387"/>
      <c r="E63" s="367"/>
      <c r="F63" s="283"/>
      <c r="G63" s="367"/>
      <c r="H63" s="367"/>
      <c r="I63" s="367"/>
      <c r="J63" s="367"/>
      <c r="K63" s="367"/>
      <c r="L63" s="367"/>
      <c r="M63" s="367"/>
      <c r="N63" s="367">
        <f t="shared" si="10"/>
        <v>2000</v>
      </c>
    </row>
    <row r="64" spans="1:14" s="11" customFormat="1" ht="12.75">
      <c r="A64" s="79"/>
      <c r="B64" s="30" t="s">
        <v>397</v>
      </c>
      <c r="C64" s="283"/>
      <c r="D64" s="387"/>
      <c r="E64" s="367"/>
      <c r="F64" s="283"/>
      <c r="G64" s="367"/>
      <c r="H64" s="367"/>
      <c r="I64" s="367"/>
      <c r="J64" s="367">
        <v>2640</v>
      </c>
      <c r="K64" s="367"/>
      <c r="L64" s="367"/>
      <c r="M64" s="367"/>
      <c r="N64" s="367">
        <f t="shared" si="10"/>
        <v>2640</v>
      </c>
    </row>
    <row r="65" spans="1:14" s="11" customFormat="1" ht="12.75">
      <c r="A65" s="79"/>
      <c r="B65" s="30" t="s">
        <v>377</v>
      </c>
      <c r="C65" s="530">
        <v>605</v>
      </c>
      <c r="D65" s="387"/>
      <c r="E65" s="367"/>
      <c r="F65" s="283"/>
      <c r="G65" s="367"/>
      <c r="H65" s="367"/>
      <c r="I65" s="367"/>
      <c r="J65" s="367"/>
      <c r="K65" s="367"/>
      <c r="L65" s="367"/>
      <c r="M65" s="367"/>
      <c r="N65" s="367">
        <f t="shared" si="10"/>
        <v>605</v>
      </c>
    </row>
    <row r="66" spans="1:14" s="11" customFormat="1" ht="12.75">
      <c r="A66" s="79"/>
      <c r="B66" s="30" t="s">
        <v>551</v>
      </c>
      <c r="C66" s="367">
        <v>2000</v>
      </c>
      <c r="D66" s="387"/>
      <c r="E66" s="367"/>
      <c r="F66" s="283"/>
      <c r="G66" s="367"/>
      <c r="H66" s="367"/>
      <c r="I66" s="367"/>
      <c r="J66" s="367"/>
      <c r="K66" s="367"/>
      <c r="L66" s="367"/>
      <c r="M66" s="367"/>
      <c r="N66" s="367">
        <f t="shared" si="10"/>
        <v>2000</v>
      </c>
    </row>
    <row r="67" spans="1:14" s="11" customFormat="1" ht="12.75">
      <c r="A67" s="79"/>
      <c r="B67" s="30" t="s">
        <v>540</v>
      </c>
      <c r="C67" s="283">
        <v>7000</v>
      </c>
      <c r="D67" s="387"/>
      <c r="E67" s="367"/>
      <c r="F67" s="283"/>
      <c r="G67" s="367"/>
      <c r="H67" s="367"/>
      <c r="I67" s="367"/>
      <c r="J67" s="367"/>
      <c r="K67" s="367"/>
      <c r="L67" s="367"/>
      <c r="M67" s="367"/>
      <c r="N67" s="367">
        <f t="shared" si="10"/>
        <v>7000</v>
      </c>
    </row>
    <row r="68" spans="1:14" s="11" customFormat="1" ht="12.75">
      <c r="A68" s="79"/>
      <c r="B68" s="30" t="s">
        <v>550</v>
      </c>
      <c r="C68" s="283">
        <v>2000</v>
      </c>
      <c r="D68" s="387"/>
      <c r="E68" s="367"/>
      <c r="F68" s="283"/>
      <c r="G68" s="367"/>
      <c r="H68" s="367"/>
      <c r="I68" s="367"/>
      <c r="J68" s="367"/>
      <c r="K68" s="367"/>
      <c r="L68" s="367"/>
      <c r="M68" s="367"/>
      <c r="N68" s="367">
        <f t="shared" si="10"/>
        <v>2000</v>
      </c>
    </row>
    <row r="69" spans="1:14" s="11" customFormat="1" ht="12.75">
      <c r="A69" s="79"/>
      <c r="B69" s="30" t="s">
        <v>537</v>
      </c>
      <c r="C69" s="283">
        <v>500</v>
      </c>
      <c r="D69" s="387"/>
      <c r="E69" s="367"/>
      <c r="F69" s="283"/>
      <c r="G69" s="367"/>
      <c r="H69" s="367"/>
      <c r="I69" s="367"/>
      <c r="J69" s="367"/>
      <c r="K69" s="367"/>
      <c r="L69" s="367"/>
      <c r="M69" s="367"/>
      <c r="N69" s="367">
        <f t="shared" si="10"/>
        <v>500</v>
      </c>
    </row>
    <row r="70" spans="1:14" s="11" customFormat="1" ht="12.75">
      <c r="A70" s="79"/>
      <c r="B70" s="30" t="s">
        <v>538</v>
      </c>
      <c r="C70" s="283">
        <v>3000</v>
      </c>
      <c r="D70" s="387"/>
      <c r="E70" s="367"/>
      <c r="F70" s="283"/>
      <c r="G70" s="367"/>
      <c r="H70" s="367"/>
      <c r="I70" s="367"/>
      <c r="J70" s="367"/>
      <c r="K70" s="367"/>
      <c r="L70" s="367"/>
      <c r="M70" s="367"/>
      <c r="N70" s="367">
        <f t="shared" si="10"/>
        <v>3000</v>
      </c>
    </row>
    <row r="71" spans="1:14" s="11" customFormat="1" ht="12.75">
      <c r="A71" s="79"/>
      <c r="B71" s="30" t="s">
        <v>539</v>
      </c>
      <c r="C71" s="283">
        <v>2000</v>
      </c>
      <c r="D71" s="387"/>
      <c r="E71" s="367"/>
      <c r="F71" s="283"/>
      <c r="G71" s="367"/>
      <c r="H71" s="367"/>
      <c r="I71" s="367"/>
      <c r="J71" s="367"/>
      <c r="K71" s="367"/>
      <c r="L71" s="367"/>
      <c r="M71" s="367"/>
      <c r="N71" s="367">
        <f>SUM(C71:M71)</f>
        <v>2000</v>
      </c>
    </row>
    <row r="72" spans="1:14" s="11" customFormat="1" ht="25.5">
      <c r="A72" s="79"/>
      <c r="B72" s="186" t="s">
        <v>666</v>
      </c>
      <c r="C72" s="283">
        <f>5863+387</f>
        <v>6250</v>
      </c>
      <c r="D72" s="387"/>
      <c r="E72" s="367"/>
      <c r="F72" s="283"/>
      <c r="G72" s="367"/>
      <c r="H72" s="367"/>
      <c r="I72" s="367"/>
      <c r="J72" s="367"/>
      <c r="K72" s="367"/>
      <c r="L72" s="367"/>
      <c r="M72" s="367"/>
      <c r="N72" s="367">
        <f t="shared" si="10"/>
        <v>6250</v>
      </c>
    </row>
    <row r="73" spans="1:14" s="11" customFormat="1" ht="25.5">
      <c r="A73" s="79"/>
      <c r="B73" s="389" t="s">
        <v>530</v>
      </c>
      <c r="C73" s="16">
        <v>41991</v>
      </c>
      <c r="D73" s="42"/>
      <c r="E73" s="14"/>
      <c r="F73" s="283"/>
      <c r="G73" s="14"/>
      <c r="H73" s="14"/>
      <c r="I73" s="14"/>
      <c r="J73" s="14"/>
      <c r="K73" s="14"/>
      <c r="L73" s="14"/>
      <c r="M73" s="14"/>
      <c r="N73" s="14">
        <f t="shared" si="10"/>
        <v>41991</v>
      </c>
    </row>
    <row r="74" spans="1:14" s="11" customFormat="1" ht="12.75">
      <c r="A74" s="79" t="s">
        <v>327</v>
      </c>
      <c r="B74" s="30" t="s">
        <v>354</v>
      </c>
      <c r="C74" s="283"/>
      <c r="D74" s="387"/>
      <c r="E74" s="367"/>
      <c r="F74" s="367"/>
      <c r="G74" s="367">
        <v>1300</v>
      </c>
      <c r="H74" s="367"/>
      <c r="I74" s="367"/>
      <c r="J74" s="367"/>
      <c r="K74" s="367"/>
      <c r="L74" s="367"/>
      <c r="M74" s="367"/>
      <c r="N74" s="367">
        <f t="shared" si="10"/>
        <v>1300</v>
      </c>
    </row>
    <row r="75" spans="1:14" s="11" customFormat="1" ht="12.75">
      <c r="A75" s="79"/>
      <c r="B75" s="10" t="s">
        <v>437</v>
      </c>
      <c r="C75" s="367">
        <v>100</v>
      </c>
      <c r="D75" s="387"/>
      <c r="E75" s="367"/>
      <c r="F75" s="367"/>
      <c r="G75" s="367"/>
      <c r="H75" s="367"/>
      <c r="I75" s="367"/>
      <c r="J75" s="367"/>
      <c r="K75" s="367"/>
      <c r="L75" s="367"/>
      <c r="M75" s="367"/>
      <c r="N75" s="367">
        <f t="shared" si="10"/>
        <v>100</v>
      </c>
    </row>
    <row r="76" spans="1:14" s="11" customFormat="1" ht="12.75">
      <c r="A76" s="79"/>
      <c r="B76" s="10" t="s">
        <v>415</v>
      </c>
      <c r="C76" s="367"/>
      <c r="D76" s="387"/>
      <c r="E76" s="367"/>
      <c r="F76" s="367"/>
      <c r="G76" s="555"/>
      <c r="H76" s="367"/>
      <c r="I76" s="367"/>
      <c r="J76" s="367"/>
      <c r="K76" s="367"/>
      <c r="L76" s="367">
        <v>35</v>
      </c>
      <c r="M76" s="367"/>
      <c r="N76" s="367">
        <f t="shared" si="10"/>
        <v>35</v>
      </c>
    </row>
    <row r="77" spans="1:14" s="11" customFormat="1" ht="12.75">
      <c r="A77" s="79"/>
      <c r="B77" s="30" t="s">
        <v>529</v>
      </c>
      <c r="C77" s="367">
        <v>4700</v>
      </c>
      <c r="D77" s="387"/>
      <c r="E77" s="367"/>
      <c r="F77" s="367"/>
      <c r="G77" s="367"/>
      <c r="H77" s="367"/>
      <c r="I77" s="367"/>
      <c r="J77" s="367"/>
      <c r="K77" s="367"/>
      <c r="L77" s="367"/>
      <c r="M77" s="367"/>
      <c r="N77" s="367">
        <f t="shared" si="10"/>
        <v>4700</v>
      </c>
    </row>
    <row r="78" spans="1:14" s="11" customFormat="1" ht="12.75">
      <c r="A78" s="79"/>
      <c r="B78" s="10" t="s">
        <v>378</v>
      </c>
      <c r="C78" s="367">
        <v>1500</v>
      </c>
      <c r="D78" s="387"/>
      <c r="E78" s="367"/>
      <c r="F78" s="367"/>
      <c r="G78" s="367"/>
      <c r="H78" s="367"/>
      <c r="I78" s="367"/>
      <c r="J78" s="367"/>
      <c r="K78" s="367"/>
      <c r="L78" s="367"/>
      <c r="M78" s="367"/>
      <c r="N78" s="367">
        <f t="shared" si="10"/>
        <v>1500</v>
      </c>
    </row>
    <row r="79" spans="1:14" s="11" customFormat="1" ht="12.75">
      <c r="A79" s="79"/>
      <c r="B79" s="10" t="s">
        <v>399</v>
      </c>
      <c r="C79" s="367">
        <v>30</v>
      </c>
      <c r="D79" s="387"/>
      <c r="E79" s="367"/>
      <c r="F79" s="367"/>
      <c r="G79" s="367"/>
      <c r="H79" s="367"/>
      <c r="I79" s="367"/>
      <c r="J79" s="367"/>
      <c r="K79" s="367"/>
      <c r="L79" s="367"/>
      <c r="M79" s="367"/>
      <c r="N79" s="367">
        <f t="shared" si="10"/>
        <v>30</v>
      </c>
    </row>
    <row r="80" spans="1:14" s="11" customFormat="1" ht="12.75">
      <c r="A80" s="79"/>
      <c r="B80" s="30" t="s">
        <v>366</v>
      </c>
      <c r="C80" s="283">
        <v>50</v>
      </c>
      <c r="D80" s="387"/>
      <c r="E80" s="367"/>
      <c r="F80" s="367"/>
      <c r="G80" s="367"/>
      <c r="H80" s="367"/>
      <c r="I80" s="367"/>
      <c r="J80" s="367"/>
      <c r="K80" s="367"/>
      <c r="L80" s="367"/>
      <c r="M80" s="367"/>
      <c r="N80" s="367">
        <f t="shared" si="10"/>
        <v>50</v>
      </c>
    </row>
    <row r="81" spans="1:14" s="11" customFormat="1" ht="12.75">
      <c r="A81" s="79"/>
      <c r="B81" s="30" t="s">
        <v>677</v>
      </c>
      <c r="C81" s="283">
        <v>350</v>
      </c>
      <c r="D81" s="387"/>
      <c r="E81" s="367"/>
      <c r="F81" s="367"/>
      <c r="G81" s="367"/>
      <c r="H81" s="367"/>
      <c r="I81" s="367"/>
      <c r="J81" s="367"/>
      <c r="K81" s="367"/>
      <c r="L81" s="367"/>
      <c r="M81" s="367"/>
      <c r="N81" s="367">
        <f t="shared" si="10"/>
        <v>350</v>
      </c>
    </row>
    <row r="82" spans="1:14" s="11" customFormat="1" ht="12.75">
      <c r="A82" s="79"/>
      <c r="B82" s="30" t="s">
        <v>393</v>
      </c>
      <c r="C82" s="283">
        <v>820</v>
      </c>
      <c r="D82" s="387"/>
      <c r="E82" s="367"/>
      <c r="F82" s="367"/>
      <c r="G82" s="367">
        <v>390</v>
      </c>
      <c r="H82" s="367"/>
      <c r="I82" s="367"/>
      <c r="J82" s="367"/>
      <c r="K82" s="367"/>
      <c r="L82" s="367"/>
      <c r="M82" s="367"/>
      <c r="N82" s="367">
        <f t="shared" si="10"/>
        <v>1210</v>
      </c>
    </row>
    <row r="83" spans="1:14" s="11" customFormat="1" ht="12.75">
      <c r="A83" s="79"/>
      <c r="B83" s="30" t="s">
        <v>435</v>
      </c>
      <c r="C83" s="283">
        <v>2000</v>
      </c>
      <c r="D83" s="387"/>
      <c r="E83" s="367"/>
      <c r="F83" s="367"/>
      <c r="G83" s="367"/>
      <c r="H83" s="367"/>
      <c r="I83" s="367"/>
      <c r="J83" s="367"/>
      <c r="K83" s="367"/>
      <c r="L83" s="367"/>
      <c r="M83" s="367"/>
      <c r="N83" s="367">
        <f t="shared" si="10"/>
        <v>2000</v>
      </c>
    </row>
    <row r="84" spans="1:14" s="11" customFormat="1" ht="12.75">
      <c r="A84" s="79"/>
      <c r="B84" s="30" t="s">
        <v>652</v>
      </c>
      <c r="C84" s="283">
        <v>440</v>
      </c>
      <c r="D84" s="387"/>
      <c r="E84" s="367"/>
      <c r="F84" s="367"/>
      <c r="G84" s="367"/>
      <c r="H84" s="367"/>
      <c r="I84" s="367"/>
      <c r="J84" s="367"/>
      <c r="K84" s="367"/>
      <c r="L84" s="367"/>
      <c r="M84" s="367"/>
      <c r="N84" s="367">
        <f t="shared" si="10"/>
        <v>440</v>
      </c>
    </row>
    <row r="85" spans="1:14" s="11" customFormat="1" ht="12.75">
      <c r="A85" s="79"/>
      <c r="B85" s="30" t="s">
        <v>667</v>
      </c>
      <c r="C85" s="283">
        <f>421+400-11</f>
        <v>810</v>
      </c>
      <c r="D85" s="387"/>
      <c r="E85" s="367"/>
      <c r="F85" s="367"/>
      <c r="G85" s="367"/>
      <c r="H85" s="367"/>
      <c r="I85" s="367"/>
      <c r="J85" s="367"/>
      <c r="K85" s="367"/>
      <c r="L85" s="367"/>
      <c r="M85" s="367"/>
      <c r="N85" s="367">
        <f t="shared" si="10"/>
        <v>810</v>
      </c>
    </row>
    <row r="86" spans="1:14" s="11" customFormat="1" ht="12.75">
      <c r="A86" s="121" t="s">
        <v>328</v>
      </c>
      <c r="B86" s="34" t="s">
        <v>313</v>
      </c>
      <c r="C86" s="115">
        <f>SUM(C87:C89)</f>
        <v>1010</v>
      </c>
      <c r="D86" s="115">
        <f aca="true" t="shared" si="11" ref="D86:N86">SUM(D87:D89)</f>
        <v>30</v>
      </c>
      <c r="E86" s="115">
        <f t="shared" si="11"/>
        <v>0</v>
      </c>
      <c r="F86" s="115">
        <f t="shared" si="11"/>
        <v>0</v>
      </c>
      <c r="G86" s="115">
        <f t="shared" si="11"/>
        <v>140</v>
      </c>
      <c r="H86" s="115">
        <f t="shared" si="11"/>
        <v>0</v>
      </c>
      <c r="I86" s="115">
        <f t="shared" si="11"/>
        <v>0</v>
      </c>
      <c r="J86" s="115">
        <f t="shared" si="11"/>
        <v>0</v>
      </c>
      <c r="K86" s="115">
        <f t="shared" si="11"/>
        <v>0</v>
      </c>
      <c r="L86" s="115">
        <f t="shared" si="11"/>
        <v>0</v>
      </c>
      <c r="M86" s="115">
        <f t="shared" si="11"/>
        <v>0</v>
      </c>
      <c r="N86" s="115">
        <f t="shared" si="11"/>
        <v>1180</v>
      </c>
    </row>
    <row r="87" spans="1:14" s="11" customFormat="1" ht="12.75">
      <c r="A87" s="79" t="s">
        <v>329</v>
      </c>
      <c r="B87" s="30" t="s">
        <v>353</v>
      </c>
      <c r="C87" s="283"/>
      <c r="D87" s="283">
        <v>30</v>
      </c>
      <c r="E87" s="367"/>
      <c r="F87" s="367"/>
      <c r="G87" s="367">
        <v>100</v>
      </c>
      <c r="H87" s="367"/>
      <c r="I87" s="367"/>
      <c r="J87" s="367"/>
      <c r="K87" s="367"/>
      <c r="L87" s="367"/>
      <c r="M87" s="367"/>
      <c r="N87" s="367">
        <f t="shared" si="10"/>
        <v>130</v>
      </c>
    </row>
    <row r="88" spans="1:14" s="11" customFormat="1" ht="12.75">
      <c r="A88" s="79" t="s">
        <v>330</v>
      </c>
      <c r="B88" s="30" t="s">
        <v>370</v>
      </c>
      <c r="C88" s="283">
        <f>500+400</f>
        <v>900</v>
      </c>
      <c r="D88" s="387"/>
      <c r="E88" s="367"/>
      <c r="F88" s="367"/>
      <c r="G88" s="367">
        <v>40</v>
      </c>
      <c r="H88" s="367"/>
      <c r="I88" s="367"/>
      <c r="J88" s="367"/>
      <c r="K88" s="367"/>
      <c r="L88" s="367"/>
      <c r="M88" s="367"/>
      <c r="N88" s="367">
        <f>SUM(C88:M88)</f>
        <v>940</v>
      </c>
    </row>
    <row r="89" spans="1:14" s="11" customFormat="1" ht="12.75">
      <c r="A89" s="79" t="s">
        <v>330</v>
      </c>
      <c r="B89" s="30" t="s">
        <v>668</v>
      </c>
      <c r="C89" s="283">
        <f>99+11</f>
        <v>110</v>
      </c>
      <c r="D89" s="387"/>
      <c r="E89" s="367"/>
      <c r="F89" s="367"/>
      <c r="G89" s="367"/>
      <c r="H89" s="367"/>
      <c r="I89" s="367"/>
      <c r="J89" s="367"/>
      <c r="K89" s="367"/>
      <c r="L89" s="367"/>
      <c r="M89" s="367"/>
      <c r="N89" s="367">
        <f t="shared" si="10"/>
        <v>110</v>
      </c>
    </row>
    <row r="90" spans="1:15" ht="12.75">
      <c r="A90" s="121" t="s">
        <v>331</v>
      </c>
      <c r="B90" s="34" t="s">
        <v>314</v>
      </c>
      <c r="C90" s="115">
        <f>SUM(C91:C101)</f>
        <v>32188</v>
      </c>
      <c r="D90" s="115">
        <f aca="true" t="shared" si="12" ref="D90:N90">SUM(D91:D101)</f>
        <v>27</v>
      </c>
      <c r="E90" s="115">
        <f t="shared" si="12"/>
        <v>3105</v>
      </c>
      <c r="F90" s="115">
        <f t="shared" si="12"/>
        <v>150</v>
      </c>
      <c r="G90" s="115">
        <f t="shared" si="12"/>
        <v>3200</v>
      </c>
      <c r="H90" s="115">
        <f t="shared" si="12"/>
        <v>2700</v>
      </c>
      <c r="I90" s="115">
        <f t="shared" si="12"/>
        <v>0</v>
      </c>
      <c r="J90" s="115">
        <f t="shared" si="12"/>
        <v>0</v>
      </c>
      <c r="K90" s="115">
        <f t="shared" si="12"/>
        <v>600</v>
      </c>
      <c r="L90" s="115">
        <f t="shared" si="12"/>
        <v>0</v>
      </c>
      <c r="M90" s="115">
        <f t="shared" si="12"/>
        <v>0</v>
      </c>
      <c r="N90" s="115">
        <f t="shared" si="12"/>
        <v>41970</v>
      </c>
      <c r="O90" s="51">
        <f>SUM(C90:M90)</f>
        <v>41970</v>
      </c>
    </row>
    <row r="91" spans="1:14" ht="12.75">
      <c r="A91" s="79" t="s">
        <v>332</v>
      </c>
      <c r="B91" s="30" t="s">
        <v>343</v>
      </c>
      <c r="C91" s="283">
        <f>17000+216+648+135+119+257+203+202+162+108+459+2280+213</f>
        <v>22002</v>
      </c>
      <c r="D91" s="283">
        <v>27</v>
      </c>
      <c r="E91" s="367">
        <v>3105</v>
      </c>
      <c r="F91" s="367">
        <v>150</v>
      </c>
      <c r="G91" s="367">
        <v>2200</v>
      </c>
      <c r="H91" s="367">
        <v>2700</v>
      </c>
      <c r="I91" s="367"/>
      <c r="J91" s="367"/>
      <c r="K91" s="367">
        <v>600</v>
      </c>
      <c r="L91" s="367"/>
      <c r="M91" s="367"/>
      <c r="N91" s="367">
        <f aca="true" t="shared" si="13" ref="N91:N101">SUM(C91:M91)</f>
        <v>30784</v>
      </c>
    </row>
    <row r="92" spans="1:14" ht="12.75">
      <c r="A92" s="79" t="s">
        <v>333</v>
      </c>
      <c r="B92" s="30" t="s">
        <v>344</v>
      </c>
      <c r="C92" s="283">
        <f>4012+1414+370</f>
        <v>5796</v>
      </c>
      <c r="D92" s="387"/>
      <c r="E92" s="367"/>
      <c r="F92" s="367"/>
      <c r="G92" s="367"/>
      <c r="H92" s="367"/>
      <c r="I92" s="367"/>
      <c r="J92" s="367"/>
      <c r="K92" s="367"/>
      <c r="L92" s="367"/>
      <c r="M92" s="367"/>
      <c r="N92" s="367">
        <f t="shared" si="13"/>
        <v>5796</v>
      </c>
    </row>
    <row r="93" spans="1:14" ht="12.75">
      <c r="A93" s="79" t="s">
        <v>334</v>
      </c>
      <c r="B93" s="30" t="s">
        <v>345</v>
      </c>
      <c r="C93" s="283">
        <v>500</v>
      </c>
      <c r="D93" s="387"/>
      <c r="E93" s="367"/>
      <c r="F93" s="367"/>
      <c r="G93" s="367"/>
      <c r="H93" s="367"/>
      <c r="I93" s="367"/>
      <c r="J93" s="367"/>
      <c r="K93" s="367"/>
      <c r="L93" s="367"/>
      <c r="M93" s="367"/>
      <c r="N93" s="367">
        <f t="shared" si="13"/>
        <v>500</v>
      </c>
    </row>
    <row r="94" spans="1:14" ht="12.75">
      <c r="A94" s="79"/>
      <c r="B94" s="30" t="s">
        <v>669</v>
      </c>
      <c r="C94" s="283">
        <v>172</v>
      </c>
      <c r="D94" s="387"/>
      <c r="E94" s="367"/>
      <c r="F94" s="367"/>
      <c r="G94" s="367"/>
      <c r="H94" s="367"/>
      <c r="I94" s="367"/>
      <c r="J94" s="367"/>
      <c r="K94" s="367"/>
      <c r="L94" s="367"/>
      <c r="M94" s="367"/>
      <c r="N94" s="367">
        <f t="shared" si="13"/>
        <v>172</v>
      </c>
    </row>
    <row r="95" spans="1:14" ht="12.75">
      <c r="A95" s="79" t="s">
        <v>335</v>
      </c>
      <c r="B95" s="30" t="s">
        <v>346</v>
      </c>
      <c r="C95" s="283">
        <f>4000-4000</f>
        <v>0</v>
      </c>
      <c r="D95" s="387"/>
      <c r="E95" s="367"/>
      <c r="F95" s="367"/>
      <c r="G95" s="367"/>
      <c r="H95" s="367"/>
      <c r="I95" s="367"/>
      <c r="J95" s="367"/>
      <c r="K95" s="367"/>
      <c r="L95" s="367"/>
      <c r="M95" s="367"/>
      <c r="N95" s="367">
        <f t="shared" si="13"/>
        <v>0</v>
      </c>
    </row>
    <row r="96" spans="1:14" ht="12.75">
      <c r="A96" s="79" t="s">
        <v>336</v>
      </c>
      <c r="B96" s="30" t="s">
        <v>70</v>
      </c>
      <c r="C96" s="283"/>
      <c r="D96" s="367"/>
      <c r="E96" s="367"/>
      <c r="F96" s="367"/>
      <c r="G96" s="367">
        <v>1000</v>
      </c>
      <c r="H96" s="367"/>
      <c r="I96" s="367"/>
      <c r="J96" s="367"/>
      <c r="K96" s="367"/>
      <c r="L96" s="367"/>
      <c r="M96" s="367"/>
      <c r="N96" s="367">
        <f t="shared" si="13"/>
        <v>1000</v>
      </c>
    </row>
    <row r="97" spans="1:14" ht="12.75">
      <c r="A97" s="79"/>
      <c r="B97" s="30" t="s">
        <v>364</v>
      </c>
      <c r="C97" s="283">
        <v>100</v>
      </c>
      <c r="D97" s="387"/>
      <c r="E97" s="367"/>
      <c r="F97" s="367"/>
      <c r="G97" s="367"/>
      <c r="H97" s="367"/>
      <c r="I97" s="367"/>
      <c r="J97" s="367"/>
      <c r="K97" s="367"/>
      <c r="L97" s="367"/>
      <c r="M97" s="367"/>
      <c r="N97" s="367">
        <f t="shared" si="13"/>
        <v>100</v>
      </c>
    </row>
    <row r="98" spans="1:14" ht="12.75">
      <c r="A98" s="79"/>
      <c r="B98" s="30" t="s">
        <v>372</v>
      </c>
      <c r="C98" s="283">
        <v>985</v>
      </c>
      <c r="D98" s="387"/>
      <c r="E98" s="367"/>
      <c r="F98" s="367"/>
      <c r="G98" s="367"/>
      <c r="H98" s="367"/>
      <c r="I98" s="367"/>
      <c r="J98" s="367"/>
      <c r="K98" s="367"/>
      <c r="L98" s="367"/>
      <c r="M98" s="367"/>
      <c r="N98" s="367">
        <f t="shared" si="13"/>
        <v>985</v>
      </c>
    </row>
    <row r="99" spans="1:14" ht="12.75">
      <c r="A99" s="79"/>
      <c r="B99" s="30" t="s">
        <v>379</v>
      </c>
      <c r="C99" s="283">
        <v>1000</v>
      </c>
      <c r="D99" s="387"/>
      <c r="E99" s="367"/>
      <c r="F99" s="367"/>
      <c r="G99" s="367"/>
      <c r="H99" s="367"/>
      <c r="I99" s="367"/>
      <c r="J99" s="367"/>
      <c r="K99" s="367"/>
      <c r="L99" s="367"/>
      <c r="M99" s="367"/>
      <c r="N99" s="367">
        <f t="shared" si="13"/>
        <v>1000</v>
      </c>
    </row>
    <row r="100" spans="1:14" ht="12.75">
      <c r="A100" s="79"/>
      <c r="B100" s="30" t="s">
        <v>651</v>
      </c>
      <c r="C100" s="283">
        <v>748</v>
      </c>
      <c r="D100" s="38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>
        <f t="shared" si="13"/>
        <v>748</v>
      </c>
    </row>
    <row r="101" spans="1:14" ht="12.75">
      <c r="A101" s="79"/>
      <c r="B101" s="30" t="s">
        <v>670</v>
      </c>
      <c r="C101" s="283">
        <v>885</v>
      </c>
      <c r="D101" s="38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>
        <f t="shared" si="13"/>
        <v>885</v>
      </c>
    </row>
    <row r="102" spans="1:15" ht="12.75">
      <c r="A102" s="121" t="s">
        <v>348</v>
      </c>
      <c r="B102" s="184" t="s">
        <v>33</v>
      </c>
      <c r="C102" s="282">
        <f aca="true" t="shared" si="14" ref="C102:N102">SUM(C30+C39+C43+C86+C90)</f>
        <v>123570</v>
      </c>
      <c r="D102" s="282">
        <f t="shared" si="14"/>
        <v>97</v>
      </c>
      <c r="E102" s="282">
        <f t="shared" si="14"/>
        <v>14605</v>
      </c>
      <c r="F102" s="282">
        <f t="shared" si="14"/>
        <v>10055</v>
      </c>
      <c r="G102" s="282">
        <f t="shared" si="14"/>
        <v>9986</v>
      </c>
      <c r="H102" s="282">
        <f t="shared" si="14"/>
        <v>12700</v>
      </c>
      <c r="I102" s="282">
        <f t="shared" si="14"/>
        <v>0</v>
      </c>
      <c r="J102" s="282">
        <f t="shared" si="14"/>
        <v>2640</v>
      </c>
      <c r="K102" s="282">
        <f t="shared" si="14"/>
        <v>2715</v>
      </c>
      <c r="L102" s="282">
        <f t="shared" si="14"/>
        <v>35</v>
      </c>
      <c r="M102" s="282">
        <f t="shared" si="14"/>
        <v>0</v>
      </c>
      <c r="N102" s="282">
        <f t="shared" si="14"/>
        <v>176625</v>
      </c>
      <c r="O102" s="51">
        <f>SUM(C102:M102)</f>
        <v>176403</v>
      </c>
    </row>
    <row r="103" spans="1:14" ht="12.75">
      <c r="A103" s="290" t="s">
        <v>347</v>
      </c>
      <c r="B103" s="184" t="s">
        <v>44</v>
      </c>
      <c r="C103" s="282">
        <v>350</v>
      </c>
      <c r="D103" s="293"/>
      <c r="E103" s="293"/>
      <c r="F103" s="293"/>
      <c r="G103" s="293"/>
      <c r="H103" s="293"/>
      <c r="I103" s="293">
        <v>9000</v>
      </c>
      <c r="J103" s="293"/>
      <c r="K103" s="293"/>
      <c r="L103" s="293"/>
      <c r="M103" s="293"/>
      <c r="N103" s="293">
        <f>SUM(C103:M103)</f>
        <v>9350</v>
      </c>
    </row>
    <row r="104" spans="1:14" ht="13.5" thickBot="1">
      <c r="A104" s="290" t="s">
        <v>389</v>
      </c>
      <c r="B104" s="289" t="s">
        <v>554</v>
      </c>
      <c r="C104" s="185">
        <v>308580</v>
      </c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>
        <f>SUM(C104:M104)</f>
        <v>308580</v>
      </c>
    </row>
    <row r="105" spans="1:15" ht="15.75" customHeight="1" thickBot="1">
      <c r="A105" s="290"/>
      <c r="B105" s="411" t="s">
        <v>11</v>
      </c>
      <c r="C105" s="297">
        <f aca="true" t="shared" si="15" ref="C105:N105">SUM(C25+C29+C102+C103+C104)</f>
        <v>463179</v>
      </c>
      <c r="D105" s="297">
        <f t="shared" si="15"/>
        <v>6785</v>
      </c>
      <c r="E105" s="297">
        <f t="shared" si="15"/>
        <v>14605</v>
      </c>
      <c r="F105" s="297">
        <f t="shared" si="15"/>
        <v>10055</v>
      </c>
      <c r="G105" s="297">
        <f t="shared" si="15"/>
        <v>28603</v>
      </c>
      <c r="H105" s="297">
        <f t="shared" si="15"/>
        <v>14090</v>
      </c>
      <c r="I105" s="297">
        <f t="shared" si="15"/>
        <v>9000</v>
      </c>
      <c r="J105" s="297">
        <f t="shared" si="15"/>
        <v>2640</v>
      </c>
      <c r="K105" s="297">
        <f t="shared" si="15"/>
        <v>2715</v>
      </c>
      <c r="L105" s="297">
        <f t="shared" si="15"/>
        <v>1251</v>
      </c>
      <c r="M105" s="297">
        <f t="shared" si="15"/>
        <v>3620</v>
      </c>
      <c r="N105" s="412">
        <f t="shared" si="15"/>
        <v>556765</v>
      </c>
      <c r="O105" s="51">
        <f>SUM(C105:M105)</f>
        <v>556543</v>
      </c>
    </row>
    <row r="106" spans="1:14" ht="18" customHeight="1" thickBot="1">
      <c r="A106" s="290" t="s">
        <v>390</v>
      </c>
      <c r="B106" s="407" t="s">
        <v>553</v>
      </c>
      <c r="C106" s="408" t="e">
        <f>SUM('3.felh'!#REF!+'3.felh'!#REF!+'3.felh'!#REF!)</f>
        <v>#REF!</v>
      </c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10" t="e">
        <f>SUM(C106:M106)</f>
        <v>#REF!</v>
      </c>
    </row>
    <row r="107" spans="1:15" ht="20.25" thickBot="1">
      <c r="A107" s="286"/>
      <c r="B107" s="396" t="s">
        <v>8</v>
      </c>
      <c r="C107" s="397" t="e">
        <f>SUM(C105+C106)</f>
        <v>#REF!</v>
      </c>
      <c r="D107" s="397">
        <f aca="true" t="shared" si="16" ref="D107:N107">SUM(D105+D106)</f>
        <v>6785</v>
      </c>
      <c r="E107" s="397">
        <f t="shared" si="16"/>
        <v>14605</v>
      </c>
      <c r="F107" s="397">
        <f t="shared" si="16"/>
        <v>10055</v>
      </c>
      <c r="G107" s="397">
        <v>30470</v>
      </c>
      <c r="H107" s="397">
        <f t="shared" si="16"/>
        <v>14090</v>
      </c>
      <c r="I107" s="397">
        <f t="shared" si="16"/>
        <v>9000</v>
      </c>
      <c r="J107" s="397">
        <f t="shared" si="16"/>
        <v>2640</v>
      </c>
      <c r="K107" s="397">
        <f t="shared" si="16"/>
        <v>2715</v>
      </c>
      <c r="L107" s="397">
        <f>SUM(L105+L106)</f>
        <v>1251</v>
      </c>
      <c r="M107" s="397">
        <f t="shared" si="16"/>
        <v>3620</v>
      </c>
      <c r="N107" s="397" t="e">
        <f t="shared" si="16"/>
        <v>#REF!</v>
      </c>
      <c r="O107" s="51" t="e">
        <f>SUM(C107:M107)</f>
        <v>#REF!</v>
      </c>
    </row>
    <row r="108" spans="2:14" ht="13.5" thickBot="1">
      <c r="B108" s="394" t="s">
        <v>71</v>
      </c>
      <c r="C108" s="400">
        <v>1</v>
      </c>
      <c r="D108" s="400">
        <v>2</v>
      </c>
      <c r="E108" s="400"/>
      <c r="F108" s="400"/>
      <c r="G108" s="400">
        <v>7</v>
      </c>
      <c r="H108" s="400">
        <v>1</v>
      </c>
      <c r="I108" s="400"/>
      <c r="J108" s="400"/>
      <c r="K108" s="400"/>
      <c r="L108" s="400"/>
      <c r="M108" s="400">
        <v>3</v>
      </c>
      <c r="N108" s="401">
        <f>SUM(C108:M108)</f>
        <v>14</v>
      </c>
    </row>
    <row r="109" spans="1:14" s="11" customFormat="1" ht="12.75">
      <c r="A109"/>
      <c r="B109" s="395"/>
      <c r="C109" s="4"/>
      <c r="D109" s="12"/>
      <c r="E109" s="4"/>
      <c r="F109" s="4"/>
      <c r="G109" s="4"/>
      <c r="H109" s="4"/>
      <c r="I109" s="4"/>
      <c r="J109" s="4"/>
      <c r="K109" s="4"/>
      <c r="L109" s="4"/>
      <c r="M109" s="4"/>
      <c r="N109" s="56"/>
    </row>
    <row r="110" spans="1:14" s="11" customFormat="1" ht="12.75" hidden="1">
      <c r="A110"/>
      <c r="B110"/>
      <c r="C110"/>
      <c r="E110"/>
      <c r="F110" s="385"/>
      <c r="G110"/>
      <c r="H110"/>
      <c r="I110"/>
      <c r="J110"/>
      <c r="K110"/>
      <c r="L110"/>
      <c r="M110"/>
      <c r="N110"/>
    </row>
    <row r="111" spans="1:14" s="11" customFormat="1" ht="12.75" hidden="1">
      <c r="A111"/>
      <c r="B111"/>
      <c r="C111" s="105"/>
      <c r="D111" s="51"/>
      <c r="E111" s="105"/>
      <c r="F111"/>
      <c r="G111" s="398" t="s">
        <v>524</v>
      </c>
      <c r="H111" s="398">
        <v>300</v>
      </c>
      <c r="I111" s="398">
        <v>236</v>
      </c>
      <c r="J111" s="398">
        <v>64</v>
      </c>
      <c r="K111" s="398" t="s">
        <v>527</v>
      </c>
      <c r="L111" s="398"/>
      <c r="M111"/>
      <c r="N111"/>
    </row>
    <row r="112" spans="1:14" s="11" customFormat="1" ht="12.75" hidden="1">
      <c r="A112"/>
      <c r="B112"/>
      <c r="C112" s="317"/>
      <c r="D112" s="317"/>
      <c r="E112" s="317"/>
      <c r="F112"/>
      <c r="G112" s="398" t="s">
        <v>525</v>
      </c>
      <c r="H112" s="398">
        <v>700</v>
      </c>
      <c r="I112" s="398">
        <v>551</v>
      </c>
      <c r="J112" s="398">
        <v>149</v>
      </c>
      <c r="K112" s="398"/>
      <c r="L112" s="398"/>
      <c r="M112"/>
      <c r="N112"/>
    </row>
    <row r="113" spans="1:14" s="11" customFormat="1" ht="12.75" hidden="1">
      <c r="A113"/>
      <c r="B113"/>
      <c r="C113" s="390"/>
      <c r="D113" s="317"/>
      <c r="E113" s="317"/>
      <c r="F113"/>
      <c r="G113" s="399"/>
      <c r="H113" s="399"/>
      <c r="I113" s="399"/>
      <c r="J113" s="399"/>
      <c r="K113" s="399"/>
      <c r="L113" s="399"/>
      <c r="M113"/>
      <c r="N113"/>
    </row>
    <row r="114" spans="1:14" s="11" customFormat="1" ht="12.75">
      <c r="A114"/>
      <c r="B114"/>
      <c r="C114" s="390"/>
      <c r="D114" s="317"/>
      <c r="E114" s="317"/>
      <c r="F114"/>
      <c r="G114" s="398" t="s">
        <v>506</v>
      </c>
      <c r="H114" s="398">
        <v>152</v>
      </c>
      <c r="I114" s="398">
        <v>120</v>
      </c>
      <c r="J114" s="398">
        <v>32</v>
      </c>
      <c r="K114" s="399"/>
      <c r="L114" s="399"/>
      <c r="M114"/>
      <c r="N114" s="105" t="e">
        <f>SUM(C107:M107)</f>
        <v>#REF!</v>
      </c>
    </row>
    <row r="115" spans="1:14" s="11" customFormat="1" ht="12.75" hidden="1">
      <c r="A115"/>
      <c r="B115" s="3" t="s">
        <v>547</v>
      </c>
      <c r="C115" s="385" t="s">
        <v>514</v>
      </c>
      <c r="D115" s="386" t="s">
        <v>515</v>
      </c>
      <c r="E115" s="385" t="s">
        <v>373</v>
      </c>
      <c r="F115"/>
      <c r="G115" s="398" t="s">
        <v>507</v>
      </c>
      <c r="H115" s="398">
        <v>384</v>
      </c>
      <c r="I115" s="398">
        <v>302</v>
      </c>
      <c r="J115" s="398">
        <v>82</v>
      </c>
      <c r="K115" s="399"/>
      <c r="L115" s="399"/>
      <c r="M115" s="105" t="e">
        <f>(O105-N106)</f>
        <v>#REF!</v>
      </c>
      <c r="N115"/>
    </row>
    <row r="116" spans="1:14" s="11" customFormat="1" ht="12.75" hidden="1">
      <c r="A116"/>
      <c r="B116"/>
      <c r="C116" s="317"/>
      <c r="D116" s="317"/>
      <c r="E116" s="317"/>
      <c r="F116"/>
      <c r="G116" s="398" t="s">
        <v>508</v>
      </c>
      <c r="H116" s="398">
        <v>254</v>
      </c>
      <c r="I116" s="398">
        <v>200</v>
      </c>
      <c r="J116" s="398">
        <v>54</v>
      </c>
      <c r="K116" s="399"/>
      <c r="L116" s="399"/>
      <c r="M116"/>
      <c r="N116"/>
    </row>
    <row r="117" spans="1:14" s="11" customFormat="1" ht="12.75" hidden="1">
      <c r="A117"/>
      <c r="B117" t="s">
        <v>535</v>
      </c>
      <c r="C117" s="317">
        <f>SUM(D117:E117)</f>
        <v>10058.4</v>
      </c>
      <c r="D117" s="317">
        <v>7920</v>
      </c>
      <c r="E117" s="317">
        <f>SUM(D117*0.27)</f>
        <v>2138.4</v>
      </c>
      <c r="F117"/>
      <c r="G117" s="398" t="s">
        <v>509</v>
      </c>
      <c r="H117" s="398"/>
      <c r="I117" s="398"/>
      <c r="J117" s="398"/>
      <c r="K117" s="399"/>
      <c r="L117" s="399"/>
      <c r="M117"/>
      <c r="N117"/>
    </row>
    <row r="118" spans="1:14" s="11" customFormat="1" ht="12.75" hidden="1">
      <c r="A118"/>
      <c r="B118" t="s">
        <v>536</v>
      </c>
      <c r="C118" s="317">
        <f>SUM(D118:E118)</f>
        <v>16865.6</v>
      </c>
      <c r="D118" s="51">
        <v>13280</v>
      </c>
      <c r="E118" s="317">
        <f>SUM(D118*0.27)</f>
        <v>3585.6000000000004</v>
      </c>
      <c r="F118"/>
      <c r="K118"/>
      <c r="L118"/>
      <c r="M118"/>
      <c r="N118"/>
    </row>
    <row r="119" spans="1:14" s="11" customFormat="1" ht="12.75" hidden="1">
      <c r="A119"/>
      <c r="B119"/>
      <c r="C119" s="317"/>
      <c r="D119" s="317"/>
      <c r="E119" s="317"/>
      <c r="F119"/>
      <c r="G119"/>
      <c r="H119"/>
      <c r="I119"/>
      <c r="J119"/>
      <c r="K119"/>
      <c r="L119"/>
      <c r="M119"/>
      <c r="N119"/>
    </row>
    <row r="120" spans="1:14" s="11" customFormat="1" ht="12.75" hidden="1">
      <c r="A120"/>
      <c r="B120" t="s">
        <v>516</v>
      </c>
      <c r="C120" s="317">
        <v>1905</v>
      </c>
      <c r="D120" s="317">
        <v>1500</v>
      </c>
      <c r="E120" s="317">
        <v>405</v>
      </c>
      <c r="F120"/>
      <c r="G120"/>
      <c r="H120"/>
      <c r="I120"/>
      <c r="J120"/>
      <c r="K120"/>
      <c r="L120"/>
      <c r="M120"/>
      <c r="N120"/>
    </row>
    <row r="121" spans="1:14" s="11" customFormat="1" ht="12.75" hidden="1">
      <c r="A121"/>
      <c r="B121" t="s">
        <v>517</v>
      </c>
      <c r="C121" s="317">
        <v>254</v>
      </c>
      <c r="D121" s="317">
        <v>200</v>
      </c>
      <c r="E121" s="317">
        <v>54</v>
      </c>
      <c r="F121"/>
      <c r="G121"/>
      <c r="H121"/>
      <c r="I121"/>
      <c r="J121"/>
      <c r="K121"/>
      <c r="L121"/>
      <c r="M121"/>
      <c r="N121"/>
    </row>
    <row r="122" spans="1:14" s="11" customFormat="1" ht="12.75" hidden="1">
      <c r="A122"/>
      <c r="B122" t="s">
        <v>518</v>
      </c>
      <c r="C122" s="317">
        <v>1041</v>
      </c>
      <c r="D122" s="317">
        <v>820</v>
      </c>
      <c r="E122" s="317">
        <v>221</v>
      </c>
      <c r="F122"/>
      <c r="G122"/>
      <c r="H122"/>
      <c r="I122"/>
      <c r="J122"/>
      <c r="K122"/>
      <c r="L122"/>
      <c r="M122"/>
      <c r="N122"/>
    </row>
    <row r="123" spans="1:14" s="11" customFormat="1" ht="12.75" hidden="1">
      <c r="A123"/>
      <c r="B123"/>
      <c r="C123" s="390">
        <f>SUM(C120:C122)</f>
        <v>3200</v>
      </c>
      <c r="D123" s="317">
        <f>SUM(D120:D122)</f>
        <v>2520</v>
      </c>
      <c r="E123" s="317">
        <f>SUM(E120:E122)</f>
        <v>680</v>
      </c>
      <c r="F123"/>
      <c r="G123"/>
      <c r="H123"/>
      <c r="I123"/>
      <c r="J123"/>
      <c r="K123"/>
      <c r="L123"/>
      <c r="M123"/>
      <c r="N123"/>
    </row>
    <row r="124" spans="1:14" s="11" customFormat="1" ht="12.75" hidden="1">
      <c r="A124"/>
      <c r="B124"/>
      <c r="C124" s="390"/>
      <c r="D124" s="390"/>
      <c r="E124" s="390"/>
      <c r="F124"/>
      <c r="G124"/>
      <c r="H124"/>
      <c r="I124"/>
      <c r="J124"/>
      <c r="K124"/>
      <c r="L124"/>
      <c r="M124"/>
      <c r="N124"/>
    </row>
    <row r="125" spans="2:5" ht="12.75" hidden="1">
      <c r="B125" t="s">
        <v>519</v>
      </c>
      <c r="C125" s="390">
        <v>3810</v>
      </c>
      <c r="D125" s="317">
        <v>3000</v>
      </c>
      <c r="E125" s="317">
        <v>810</v>
      </c>
    </row>
    <row r="126" spans="3:5" ht="12.75" hidden="1">
      <c r="C126" s="317"/>
      <c r="D126" s="317"/>
      <c r="E126" s="317"/>
    </row>
    <row r="127" spans="2:5" ht="12.75" hidden="1">
      <c r="B127" t="s">
        <v>520</v>
      </c>
      <c r="C127" s="390">
        <v>2000</v>
      </c>
      <c r="D127" s="317">
        <v>1575</v>
      </c>
      <c r="E127" s="317">
        <v>425</v>
      </c>
    </row>
    <row r="128" spans="3:5" ht="12.75" hidden="1">
      <c r="C128" s="317"/>
      <c r="D128" s="317"/>
      <c r="E128" s="317"/>
    </row>
    <row r="129" spans="2:5" ht="12.75" hidden="1">
      <c r="B129" t="s">
        <v>521</v>
      </c>
      <c r="C129" s="317">
        <v>3200</v>
      </c>
      <c r="D129" s="317">
        <v>2520</v>
      </c>
      <c r="E129" s="317">
        <v>680</v>
      </c>
    </row>
    <row r="130" spans="2:5" ht="12.75" hidden="1">
      <c r="B130" t="s">
        <v>522</v>
      </c>
      <c r="C130" s="317">
        <v>300</v>
      </c>
      <c r="D130" s="317">
        <v>236</v>
      </c>
      <c r="E130" s="317">
        <v>64</v>
      </c>
    </row>
    <row r="131" spans="2:5" ht="12.75" hidden="1">
      <c r="B131" t="s">
        <v>523</v>
      </c>
      <c r="C131" s="317">
        <v>1800</v>
      </c>
      <c r="D131" s="317">
        <v>1417</v>
      </c>
      <c r="E131" s="317">
        <v>383</v>
      </c>
    </row>
    <row r="132" spans="3:6" ht="12.75" hidden="1">
      <c r="C132" s="390">
        <f>SUM(C129:C131)</f>
        <v>5300</v>
      </c>
      <c r="D132" s="317">
        <f>SUM(D129:D131)</f>
        <v>4173</v>
      </c>
      <c r="E132" s="317">
        <f>SUM(E129:E131)</f>
        <v>1127</v>
      </c>
      <c r="F132" s="105"/>
    </row>
    <row r="133" spans="3:5" ht="12.75" hidden="1">
      <c r="C133" s="317"/>
      <c r="D133" s="317"/>
      <c r="E133" s="317"/>
    </row>
    <row r="134" spans="2:5" ht="12.75" hidden="1">
      <c r="B134" t="s">
        <v>528</v>
      </c>
      <c r="C134" s="390">
        <v>500</v>
      </c>
      <c r="D134" s="317">
        <v>393</v>
      </c>
      <c r="E134" s="317">
        <v>107</v>
      </c>
    </row>
    <row r="135" spans="2:5" ht="12.75" hidden="1">
      <c r="B135" t="s">
        <v>545</v>
      </c>
      <c r="C135" s="390">
        <f>SUM(D135:E135)</f>
        <v>800.1</v>
      </c>
      <c r="D135" s="317">
        <v>630</v>
      </c>
      <c r="E135" s="317">
        <f>(D135*0.27)</f>
        <v>170.10000000000002</v>
      </c>
    </row>
    <row r="136" spans="3:5" ht="13.5" hidden="1" thickBot="1">
      <c r="C136" s="105"/>
      <c r="D136" s="51"/>
      <c r="E136" s="105"/>
    </row>
    <row r="137" spans="2:6" ht="13.5" hidden="1" thickBot="1">
      <c r="B137" s="391" t="s">
        <v>531</v>
      </c>
      <c r="C137" s="392">
        <f>SUM(C123+C125+C127+C132+C134+C117+C118+C135)</f>
        <v>42534.1</v>
      </c>
      <c r="D137" s="392">
        <f>SUM(D123+D125+D127+D132+D134+D117+D118+D135)</f>
        <v>33491</v>
      </c>
      <c r="E137" s="406">
        <f>SUM(E123+E125+E127+E132+E134+E117+E118+E135)</f>
        <v>9043.1</v>
      </c>
      <c r="F137" s="51">
        <f>SUM(D137:E137)</f>
        <v>42534.1</v>
      </c>
    </row>
    <row r="138" spans="3:5" ht="12.75" hidden="1">
      <c r="C138" s="105"/>
      <c r="D138" s="51"/>
      <c r="E138" s="105"/>
    </row>
    <row r="139" spans="2:5" ht="12.75" hidden="1">
      <c r="B139" t="s">
        <v>532</v>
      </c>
      <c r="C139" s="105">
        <f>SUM(D139:E139)</f>
        <v>381</v>
      </c>
      <c r="D139" s="11">
        <v>300</v>
      </c>
      <c r="E139">
        <v>81</v>
      </c>
    </row>
    <row r="140" ht="13.5" hidden="1" thickBot="1"/>
    <row r="141" spans="1:14" s="11" customFormat="1" ht="16.5" hidden="1" thickBot="1">
      <c r="A141"/>
      <c r="B141" s="1041" t="s">
        <v>31</v>
      </c>
      <c r="C141" s="1043" t="s">
        <v>638</v>
      </c>
      <c r="D141" s="1044"/>
      <c r="E141" s="1044"/>
      <c r="F141" s="1044"/>
      <c r="G141" s="1044"/>
      <c r="H141" s="1044"/>
      <c r="I141" s="1044"/>
      <c r="J141" s="1044"/>
      <c r="K141" s="1044"/>
      <c r="L141" s="1044"/>
      <c r="M141" s="1044"/>
      <c r="N141" s="1045"/>
    </row>
    <row r="142" spans="1:14" s="11" customFormat="1" ht="60.75" hidden="1" thickBot="1">
      <c r="A142"/>
      <c r="B142" s="1042"/>
      <c r="C142" s="287" t="s">
        <v>383</v>
      </c>
      <c r="D142" s="284" t="s">
        <v>380</v>
      </c>
      <c r="E142" s="284" t="s">
        <v>156</v>
      </c>
      <c r="F142" s="285" t="s">
        <v>381</v>
      </c>
      <c r="G142" s="285" t="s">
        <v>384</v>
      </c>
      <c r="H142" s="285" t="s">
        <v>158</v>
      </c>
      <c r="I142" s="287" t="s">
        <v>382</v>
      </c>
      <c r="J142" s="287" t="s">
        <v>396</v>
      </c>
      <c r="K142" s="287" t="s">
        <v>159</v>
      </c>
      <c r="L142" s="287"/>
      <c r="M142" s="287" t="s">
        <v>157</v>
      </c>
      <c r="N142" s="288" t="s">
        <v>56</v>
      </c>
    </row>
    <row r="143" spans="1:14" s="11" customFormat="1" ht="12.75" hidden="1">
      <c r="A143"/>
      <c r="B143" s="25" t="s">
        <v>351</v>
      </c>
      <c r="C143" s="55">
        <f aca="true" t="shared" si="17" ref="C143:N143">SUM(C144:C149)</f>
        <v>7030</v>
      </c>
      <c r="D143" s="55">
        <f t="shared" si="17"/>
        <v>5270</v>
      </c>
      <c r="E143" s="55">
        <f t="shared" si="17"/>
        <v>0</v>
      </c>
      <c r="F143" s="55">
        <f t="shared" si="17"/>
        <v>0</v>
      </c>
      <c r="G143" s="55">
        <f t="shared" si="17"/>
        <v>12399</v>
      </c>
      <c r="H143" s="55">
        <f t="shared" si="17"/>
        <v>1085</v>
      </c>
      <c r="I143" s="55">
        <f t="shared" si="17"/>
        <v>0</v>
      </c>
      <c r="J143" s="55">
        <f t="shared" si="17"/>
        <v>0</v>
      </c>
      <c r="K143" s="55">
        <f t="shared" si="17"/>
        <v>0</v>
      </c>
      <c r="L143" s="55"/>
      <c r="M143" s="55">
        <f t="shared" si="17"/>
        <v>2850</v>
      </c>
      <c r="N143" s="55">
        <f t="shared" si="17"/>
        <v>28634</v>
      </c>
    </row>
    <row r="144" spans="1:14" s="11" customFormat="1" ht="12.75" hidden="1">
      <c r="A144"/>
      <c r="B144" s="68" t="s">
        <v>425</v>
      </c>
      <c r="C144" s="303">
        <v>480</v>
      </c>
      <c r="D144" s="291">
        <v>4048</v>
      </c>
      <c r="E144" s="291"/>
      <c r="F144" s="291"/>
      <c r="G144" s="291">
        <v>11784</v>
      </c>
      <c r="H144" s="291">
        <v>999</v>
      </c>
      <c r="I144" s="291"/>
      <c r="J144" s="291"/>
      <c r="K144" s="291"/>
      <c r="L144" s="291"/>
      <c r="M144" s="291">
        <v>2850</v>
      </c>
      <c r="N144" s="291">
        <f aca="true" t="shared" si="18" ref="N144:N157">SUM(C144:M144)</f>
        <v>20161</v>
      </c>
    </row>
    <row r="145" spans="1:14" s="11" customFormat="1" ht="12.75" hidden="1">
      <c r="A145"/>
      <c r="B145" s="68" t="s">
        <v>72</v>
      </c>
      <c r="C145" s="303"/>
      <c r="D145" s="122">
        <v>86</v>
      </c>
      <c r="E145" s="122"/>
      <c r="F145" s="122"/>
      <c r="G145" s="122">
        <v>123</v>
      </c>
      <c r="H145" s="122"/>
      <c r="I145" s="122"/>
      <c r="J145" s="122"/>
      <c r="K145" s="122"/>
      <c r="L145" s="122"/>
      <c r="M145" s="122"/>
      <c r="N145" s="122">
        <f t="shared" si="18"/>
        <v>209</v>
      </c>
    </row>
    <row r="146" spans="1:14" s="11" customFormat="1" ht="12.75" hidden="1">
      <c r="A146"/>
      <c r="B146" s="10" t="s">
        <v>419</v>
      </c>
      <c r="C146" s="266"/>
      <c r="D146" s="22">
        <v>192</v>
      </c>
      <c r="E146" s="22"/>
      <c r="F146" s="22"/>
      <c r="G146" s="22">
        <v>492</v>
      </c>
      <c r="H146" s="22">
        <v>86</v>
      </c>
      <c r="I146" s="22"/>
      <c r="J146" s="22"/>
      <c r="K146" s="22"/>
      <c r="L146" s="22"/>
      <c r="M146" s="22"/>
      <c r="N146" s="122">
        <f t="shared" si="18"/>
        <v>770</v>
      </c>
    </row>
    <row r="147" spans="1:14" s="11" customFormat="1" ht="12.75" hidden="1">
      <c r="A147"/>
      <c r="B147" s="10" t="s">
        <v>546</v>
      </c>
      <c r="C147" s="266"/>
      <c r="D147" s="22">
        <v>944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122">
        <f t="shared" si="18"/>
        <v>944</v>
      </c>
    </row>
    <row r="148" spans="1:14" s="11" customFormat="1" ht="12.75" hidden="1">
      <c r="A148"/>
      <c r="B148" s="10" t="s">
        <v>561</v>
      </c>
      <c r="C148" s="266">
        <v>250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122">
        <f t="shared" si="18"/>
        <v>250</v>
      </c>
    </row>
    <row r="149" spans="1:14" s="11" customFormat="1" ht="12.75" hidden="1">
      <c r="A149"/>
      <c r="B149" s="30" t="s">
        <v>376</v>
      </c>
      <c r="C149" s="22">
        <v>6300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122">
        <f t="shared" si="18"/>
        <v>6300</v>
      </c>
    </row>
    <row r="150" spans="1:14" s="11" customFormat="1" ht="12.75" hidden="1">
      <c r="A150"/>
      <c r="B150" s="34" t="s">
        <v>418</v>
      </c>
      <c r="C150" s="262">
        <f aca="true" t="shared" si="19" ref="C150:M150">SUM(C151:C157)</f>
        <v>14870</v>
      </c>
      <c r="D150" s="262">
        <f t="shared" si="19"/>
        <v>0</v>
      </c>
      <c r="E150" s="262">
        <f t="shared" si="19"/>
        <v>0</v>
      </c>
      <c r="F150" s="262">
        <f t="shared" si="19"/>
        <v>0</v>
      </c>
      <c r="G150" s="262">
        <f t="shared" si="19"/>
        <v>2640</v>
      </c>
      <c r="H150" s="262">
        <f t="shared" si="19"/>
        <v>0</v>
      </c>
      <c r="I150" s="262">
        <f t="shared" si="19"/>
        <v>0</v>
      </c>
      <c r="J150" s="262">
        <f t="shared" si="19"/>
        <v>0</v>
      </c>
      <c r="K150" s="262">
        <f t="shared" si="19"/>
        <v>0</v>
      </c>
      <c r="L150" s="262"/>
      <c r="M150" s="262">
        <f t="shared" si="19"/>
        <v>0</v>
      </c>
      <c r="N150" s="380">
        <f t="shared" si="18"/>
        <v>17510</v>
      </c>
    </row>
    <row r="151" spans="1:14" s="11" customFormat="1" ht="12.75" hidden="1">
      <c r="A151"/>
      <c r="B151" s="30" t="s">
        <v>69</v>
      </c>
      <c r="C151" s="303">
        <v>5372</v>
      </c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2">
        <f t="shared" si="18"/>
        <v>5372</v>
      </c>
    </row>
    <row r="152" spans="1:14" s="11" customFormat="1" ht="12.75" hidden="1">
      <c r="A152"/>
      <c r="B152" s="308" t="s">
        <v>542</v>
      </c>
      <c r="C152" s="303">
        <v>808</v>
      </c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2">
        <f t="shared" si="18"/>
        <v>808</v>
      </c>
    </row>
    <row r="153" spans="1:14" s="11" customFormat="1" ht="12.75" hidden="1">
      <c r="A153"/>
      <c r="B153" s="2" t="s">
        <v>419</v>
      </c>
      <c r="C153" s="22">
        <v>140</v>
      </c>
      <c r="D153" s="22"/>
      <c r="E153" s="262"/>
      <c r="F153" s="262"/>
      <c r="G153" s="262"/>
      <c r="H153" s="262"/>
      <c r="I153" s="262"/>
      <c r="J153" s="262"/>
      <c r="K153" s="262"/>
      <c r="L153" s="262"/>
      <c r="M153" s="262"/>
      <c r="N153" s="22">
        <f t="shared" si="18"/>
        <v>140</v>
      </c>
    </row>
    <row r="154" spans="1:14" s="11" customFormat="1" ht="12.75" hidden="1">
      <c r="A154"/>
      <c r="B154" s="30" t="s">
        <v>375</v>
      </c>
      <c r="C154" s="22">
        <v>600</v>
      </c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2">
        <f t="shared" si="18"/>
        <v>600</v>
      </c>
    </row>
    <row r="155" spans="1:14" s="11" customFormat="1" ht="12.75" hidden="1">
      <c r="A155"/>
      <c r="B155" s="30" t="s">
        <v>395</v>
      </c>
      <c r="C155" s="22"/>
      <c r="D155" s="262"/>
      <c r="E155" s="262"/>
      <c r="F155" s="262"/>
      <c r="G155" s="22">
        <v>2640</v>
      </c>
      <c r="H155" s="262"/>
      <c r="I155" s="262"/>
      <c r="J155" s="262"/>
      <c r="K155" s="262"/>
      <c r="L155" s="262"/>
      <c r="M155" s="262"/>
      <c r="N155" s="22">
        <f t="shared" si="18"/>
        <v>2640</v>
      </c>
    </row>
    <row r="156" spans="1:14" s="11" customFormat="1" ht="12.75" hidden="1">
      <c r="A156"/>
      <c r="B156" s="30" t="s">
        <v>436</v>
      </c>
      <c r="C156" s="303">
        <v>1000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4">
        <f t="shared" si="18"/>
        <v>1000</v>
      </c>
    </row>
    <row r="157" spans="1:14" s="11" customFormat="1" ht="12.75" hidden="1">
      <c r="A157"/>
      <c r="B157" s="30" t="s">
        <v>543</v>
      </c>
      <c r="C157" s="22">
        <v>6950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>
        <f t="shared" si="18"/>
        <v>6950</v>
      </c>
    </row>
    <row r="158" spans="1:14" s="11" customFormat="1" ht="12.75" hidden="1">
      <c r="A158"/>
      <c r="B158" s="184" t="s">
        <v>349</v>
      </c>
      <c r="C158" s="282">
        <f aca="true" t="shared" si="20" ref="C158:N158">SUM(C143+C150)</f>
        <v>21900</v>
      </c>
      <c r="D158" s="282">
        <f t="shared" si="20"/>
        <v>5270</v>
      </c>
      <c r="E158" s="282">
        <f t="shared" si="20"/>
        <v>0</v>
      </c>
      <c r="F158" s="282">
        <f t="shared" si="20"/>
        <v>0</v>
      </c>
      <c r="G158" s="282">
        <f t="shared" si="20"/>
        <v>15039</v>
      </c>
      <c r="H158" s="282">
        <f t="shared" si="20"/>
        <v>1085</v>
      </c>
      <c r="I158" s="282">
        <f t="shared" si="20"/>
        <v>0</v>
      </c>
      <c r="J158" s="282">
        <f t="shared" si="20"/>
        <v>0</v>
      </c>
      <c r="K158" s="282">
        <f t="shared" si="20"/>
        <v>0</v>
      </c>
      <c r="L158" s="282"/>
      <c r="M158" s="282">
        <f t="shared" si="20"/>
        <v>2850</v>
      </c>
      <c r="N158" s="282">
        <f t="shared" si="20"/>
        <v>46144</v>
      </c>
    </row>
    <row r="159" spans="1:14" s="11" customFormat="1" ht="12.75" hidden="1">
      <c r="A159"/>
      <c r="B159" s="30" t="s">
        <v>32</v>
      </c>
      <c r="C159" s="19">
        <v>6000</v>
      </c>
      <c r="D159" s="14">
        <f>SUM(D144+D147)*0.27</f>
        <v>1347.8400000000001</v>
      </c>
      <c r="E159" s="14"/>
      <c r="F159" s="14"/>
      <c r="G159" s="14">
        <f>SUM(G144+G155)*0.27</f>
        <v>3894.4800000000005</v>
      </c>
      <c r="H159" s="14">
        <f>SUM(H144*0.27)</f>
        <v>269.73</v>
      </c>
      <c r="I159" s="14"/>
      <c r="J159" s="14"/>
      <c r="K159" s="14"/>
      <c r="L159" s="14"/>
      <c r="M159" s="14">
        <f>SUM(M144*0.27)</f>
        <v>769.5</v>
      </c>
      <c r="N159" s="14">
        <f>SUM(C159:M159)</f>
        <v>12281.55</v>
      </c>
    </row>
    <row r="160" spans="1:14" s="11" customFormat="1" ht="12.75" hidden="1">
      <c r="A160"/>
      <c r="B160" s="30" t="s">
        <v>502</v>
      </c>
      <c r="C160" s="1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>
        <f>SUM(C160:M160)</f>
        <v>0</v>
      </c>
    </row>
    <row r="161" spans="1:14" s="11" customFormat="1" ht="12.75" hidden="1">
      <c r="A161"/>
      <c r="B161" s="30" t="s">
        <v>155</v>
      </c>
      <c r="C161" s="14">
        <v>560</v>
      </c>
      <c r="D161" s="14">
        <v>70</v>
      </c>
      <c r="E161" s="14"/>
      <c r="F161" s="14"/>
      <c r="G161" s="14">
        <v>200</v>
      </c>
      <c r="H161" s="14">
        <v>35</v>
      </c>
      <c r="I161" s="14"/>
      <c r="J161" s="14"/>
      <c r="K161" s="14"/>
      <c r="L161" s="14"/>
      <c r="M161" s="14"/>
      <c r="N161" s="14">
        <f>SUM(C161:M161)</f>
        <v>865</v>
      </c>
    </row>
    <row r="162" spans="1:14" s="11" customFormat="1" ht="12.75" hidden="1">
      <c r="A162"/>
      <c r="B162" s="184" t="s">
        <v>140</v>
      </c>
      <c r="C162" s="282">
        <f>SUM(C159:C161)</f>
        <v>6560</v>
      </c>
      <c r="D162" s="282">
        <f aca="true" t="shared" si="21" ref="D162:N162">SUM(D159:D161)</f>
        <v>1417.8400000000001</v>
      </c>
      <c r="E162" s="282">
        <f t="shared" si="21"/>
        <v>0</v>
      </c>
      <c r="F162" s="282">
        <f t="shared" si="21"/>
        <v>0</v>
      </c>
      <c r="G162" s="282">
        <f t="shared" si="21"/>
        <v>4094.4800000000005</v>
      </c>
      <c r="H162" s="282">
        <f t="shared" si="21"/>
        <v>304.73</v>
      </c>
      <c r="I162" s="282">
        <f t="shared" si="21"/>
        <v>0</v>
      </c>
      <c r="J162" s="282">
        <f t="shared" si="21"/>
        <v>0</v>
      </c>
      <c r="K162" s="282">
        <f t="shared" si="21"/>
        <v>0</v>
      </c>
      <c r="L162" s="282"/>
      <c r="M162" s="282">
        <f t="shared" si="21"/>
        <v>769.5</v>
      </c>
      <c r="N162" s="282">
        <f t="shared" si="21"/>
        <v>13146.55</v>
      </c>
    </row>
    <row r="163" spans="1:14" s="11" customFormat="1" ht="12.75" hidden="1">
      <c r="A163"/>
      <c r="B163" s="34" t="s">
        <v>337</v>
      </c>
      <c r="C163" s="115">
        <f>SUM(C164:C171)</f>
        <v>2330</v>
      </c>
      <c r="D163" s="115">
        <f aca="true" t="shared" si="22" ref="D163:N163">SUM(D164:D171)</f>
        <v>40</v>
      </c>
      <c r="E163" s="115">
        <f t="shared" si="22"/>
        <v>0</v>
      </c>
      <c r="F163" s="115">
        <f t="shared" si="22"/>
        <v>150</v>
      </c>
      <c r="G163" s="115">
        <f t="shared" si="22"/>
        <v>500</v>
      </c>
      <c r="H163" s="115">
        <f t="shared" si="22"/>
        <v>0</v>
      </c>
      <c r="I163" s="115">
        <f t="shared" si="22"/>
        <v>0</v>
      </c>
      <c r="J163" s="115">
        <f t="shared" si="22"/>
        <v>0</v>
      </c>
      <c r="K163" s="115">
        <f t="shared" si="22"/>
        <v>40</v>
      </c>
      <c r="L163" s="115"/>
      <c r="M163" s="115">
        <f t="shared" si="22"/>
        <v>0</v>
      </c>
      <c r="N163" s="115">
        <f t="shared" si="22"/>
        <v>3060</v>
      </c>
    </row>
    <row r="164" spans="1:14" s="11" customFormat="1" ht="12.75" hidden="1">
      <c r="A164"/>
      <c r="B164" s="30" t="s">
        <v>552</v>
      </c>
      <c r="C164" s="283">
        <v>200</v>
      </c>
      <c r="D164" s="283">
        <v>0</v>
      </c>
      <c r="E164" s="14"/>
      <c r="F164" s="14">
        <v>50</v>
      </c>
      <c r="G164" s="14"/>
      <c r="H164" s="14"/>
      <c r="I164" s="14"/>
      <c r="J164" s="14"/>
      <c r="K164" s="14"/>
      <c r="L164" s="14"/>
      <c r="M164" s="14"/>
      <c r="N164" s="14">
        <f>SUM(C164:M164)</f>
        <v>250</v>
      </c>
    </row>
    <row r="165" spans="1:14" s="11" customFormat="1" ht="12.75" hidden="1">
      <c r="A165"/>
      <c r="B165" s="30" t="s">
        <v>338</v>
      </c>
      <c r="C165" s="283"/>
      <c r="D165" s="283"/>
      <c r="E165" s="14"/>
      <c r="F165" s="14"/>
      <c r="G165" s="14"/>
      <c r="H165" s="14"/>
      <c r="I165" s="14"/>
      <c r="J165" s="14"/>
      <c r="K165" s="14"/>
      <c r="L165" s="14"/>
      <c r="M165" s="14"/>
      <c r="N165" s="14">
        <f aca="true" t="shared" si="23" ref="N165:N171">SUM(C165:M165)</f>
        <v>0</v>
      </c>
    </row>
    <row r="166" spans="1:14" s="11" customFormat="1" ht="12.75" hidden="1">
      <c r="A166"/>
      <c r="B166" s="30" t="s">
        <v>574</v>
      </c>
      <c r="C166" s="283">
        <v>100</v>
      </c>
      <c r="D166" s="283">
        <v>10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>
        <f t="shared" si="23"/>
        <v>110</v>
      </c>
    </row>
    <row r="167" spans="1:14" s="11" customFormat="1" ht="12.75" hidden="1">
      <c r="A167"/>
      <c r="B167" s="30" t="s">
        <v>360</v>
      </c>
      <c r="C167" s="283">
        <v>100</v>
      </c>
      <c r="D167" s="283"/>
      <c r="E167" s="14"/>
      <c r="F167" s="14"/>
      <c r="G167" s="14">
        <v>100</v>
      </c>
      <c r="H167" s="14"/>
      <c r="I167" s="14"/>
      <c r="J167" s="14"/>
      <c r="K167" s="14"/>
      <c r="L167" s="14"/>
      <c r="M167" s="14"/>
      <c r="N167" s="14">
        <f t="shared" si="23"/>
        <v>200</v>
      </c>
    </row>
    <row r="168" spans="1:14" s="11" customFormat="1" ht="12.75" hidden="1">
      <c r="A168"/>
      <c r="B168" s="30" t="s">
        <v>339</v>
      </c>
      <c r="C168" s="283"/>
      <c r="D168" s="283"/>
      <c r="E168" s="14"/>
      <c r="F168" s="14"/>
      <c r="G168" s="14"/>
      <c r="H168" s="14"/>
      <c r="I168" s="14"/>
      <c r="J168" s="14"/>
      <c r="K168" s="14"/>
      <c r="L168" s="14"/>
      <c r="M168" s="14"/>
      <c r="N168" s="14">
        <f t="shared" si="23"/>
        <v>0</v>
      </c>
    </row>
    <row r="169" spans="1:14" s="11" customFormat="1" ht="12.75" hidden="1">
      <c r="A169"/>
      <c r="B169" s="30" t="s">
        <v>361</v>
      </c>
      <c r="C169" s="283">
        <v>1200</v>
      </c>
      <c r="D169" s="283"/>
      <c r="E169" s="14"/>
      <c r="F169" s="14"/>
      <c r="G169" s="14"/>
      <c r="H169" s="14"/>
      <c r="I169" s="14"/>
      <c r="J169" s="14"/>
      <c r="K169" s="14"/>
      <c r="L169" s="14"/>
      <c r="M169" s="14"/>
      <c r="N169" s="14">
        <f t="shared" si="23"/>
        <v>1200</v>
      </c>
    </row>
    <row r="170" spans="1:14" s="11" customFormat="1" ht="12.75" hidden="1">
      <c r="A170"/>
      <c r="B170" s="30" t="s">
        <v>573</v>
      </c>
      <c r="C170" s="283">
        <v>700</v>
      </c>
      <c r="D170" s="283">
        <v>0</v>
      </c>
      <c r="E170" s="14"/>
      <c r="F170" s="14">
        <v>100</v>
      </c>
      <c r="G170" s="14">
        <v>400</v>
      </c>
      <c r="H170" s="14"/>
      <c r="I170" s="14"/>
      <c r="J170" s="14"/>
      <c r="K170" s="14">
        <v>40</v>
      </c>
      <c r="L170" s="14"/>
      <c r="M170" s="14"/>
      <c r="N170" s="14">
        <f t="shared" si="23"/>
        <v>1240</v>
      </c>
    </row>
    <row r="171" spans="1:14" s="11" customFormat="1" ht="12.75" hidden="1">
      <c r="A171"/>
      <c r="B171" s="30" t="s">
        <v>388</v>
      </c>
      <c r="C171" s="283">
        <v>30</v>
      </c>
      <c r="D171" s="283">
        <v>30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>
        <f t="shared" si="23"/>
        <v>60</v>
      </c>
    </row>
    <row r="172" spans="1:14" s="11" customFormat="1" ht="12.75" hidden="1">
      <c r="A172"/>
      <c r="B172" s="34" t="s">
        <v>340</v>
      </c>
      <c r="C172" s="115">
        <f>SUM(C173:C174)</f>
        <v>750</v>
      </c>
      <c r="D172" s="115">
        <f aca="true" t="shared" si="24" ref="D172:N172">SUM(D173:D174)</f>
        <v>0</v>
      </c>
      <c r="E172" s="115">
        <f t="shared" si="24"/>
        <v>0</v>
      </c>
      <c r="F172" s="115">
        <f t="shared" si="24"/>
        <v>15</v>
      </c>
      <c r="G172" s="115">
        <f t="shared" si="24"/>
        <v>250</v>
      </c>
      <c r="H172" s="115">
        <f t="shared" si="24"/>
        <v>0</v>
      </c>
      <c r="I172" s="115">
        <f t="shared" si="24"/>
        <v>0</v>
      </c>
      <c r="J172" s="115">
        <f t="shared" si="24"/>
        <v>0</v>
      </c>
      <c r="K172" s="115">
        <f t="shared" si="24"/>
        <v>75</v>
      </c>
      <c r="L172" s="115"/>
      <c r="M172" s="115">
        <f t="shared" si="24"/>
        <v>0</v>
      </c>
      <c r="N172" s="115">
        <f t="shared" si="24"/>
        <v>1090</v>
      </c>
    </row>
    <row r="173" spans="1:14" s="11" customFormat="1" ht="12.75" hidden="1">
      <c r="A173"/>
      <c r="B173" s="30" t="s">
        <v>392</v>
      </c>
      <c r="C173" s="283">
        <v>250</v>
      </c>
      <c r="D173" s="42"/>
      <c r="E173" s="14"/>
      <c r="F173" s="14"/>
      <c r="G173" s="14">
        <v>150</v>
      </c>
      <c r="H173" s="14"/>
      <c r="I173" s="14"/>
      <c r="J173" s="14"/>
      <c r="K173" s="14"/>
      <c r="L173" s="14"/>
      <c r="M173" s="14"/>
      <c r="N173" s="14">
        <f>SUM(C173:M173)</f>
        <v>400</v>
      </c>
    </row>
    <row r="174" spans="1:14" s="11" customFormat="1" ht="12.75" hidden="1">
      <c r="A174"/>
      <c r="B174" s="30" t="s">
        <v>363</v>
      </c>
      <c r="C174" s="283">
        <v>500</v>
      </c>
      <c r="D174" s="42"/>
      <c r="E174" s="14"/>
      <c r="F174" s="14">
        <v>15</v>
      </c>
      <c r="G174" s="14">
        <v>100</v>
      </c>
      <c r="H174" s="14"/>
      <c r="I174" s="14"/>
      <c r="J174" s="14"/>
      <c r="K174" s="14">
        <v>75</v>
      </c>
      <c r="L174" s="14"/>
      <c r="M174" s="14"/>
      <c r="N174" s="14">
        <f>SUM(C174:M174)</f>
        <v>690</v>
      </c>
    </row>
    <row r="175" spans="1:14" s="11" customFormat="1" ht="12.75" hidden="1">
      <c r="A175"/>
      <c r="B175" s="34" t="s">
        <v>342</v>
      </c>
      <c r="C175" s="115">
        <f aca="true" t="shared" si="25" ref="C175:N175">SUM(C176:C212)</f>
        <v>35905</v>
      </c>
      <c r="D175" s="115">
        <f t="shared" si="25"/>
        <v>0</v>
      </c>
      <c r="E175" s="115">
        <f t="shared" si="25"/>
        <v>11500</v>
      </c>
      <c r="F175" s="115">
        <f t="shared" si="25"/>
        <v>9750</v>
      </c>
      <c r="G175" s="115">
        <f t="shared" si="25"/>
        <v>5886</v>
      </c>
      <c r="H175" s="115">
        <f t="shared" si="25"/>
        <v>10000</v>
      </c>
      <c r="I175" s="115">
        <f t="shared" si="25"/>
        <v>0</v>
      </c>
      <c r="J175" s="115">
        <f t="shared" si="25"/>
        <v>2640</v>
      </c>
      <c r="K175" s="115">
        <f t="shared" si="25"/>
        <v>2000</v>
      </c>
      <c r="L175" s="115"/>
      <c r="M175" s="115">
        <f t="shared" si="25"/>
        <v>0</v>
      </c>
      <c r="N175" s="115">
        <f t="shared" si="25"/>
        <v>77681</v>
      </c>
    </row>
    <row r="176" spans="1:14" s="11" customFormat="1" ht="12.75" hidden="1">
      <c r="A176"/>
      <c r="B176" s="30" t="s">
        <v>359</v>
      </c>
      <c r="C176" s="283">
        <v>3000</v>
      </c>
      <c r="D176" s="42"/>
      <c r="E176" s="14">
        <v>11500</v>
      </c>
      <c r="F176" s="14">
        <v>400</v>
      </c>
      <c r="G176" s="14">
        <v>2100</v>
      </c>
      <c r="H176" s="14"/>
      <c r="I176" s="14"/>
      <c r="J176" s="14"/>
      <c r="K176" s="14">
        <v>2000</v>
      </c>
      <c r="L176" s="14"/>
      <c r="M176" s="14"/>
      <c r="N176" s="14">
        <f>SUM(C176:M176)</f>
        <v>19000</v>
      </c>
    </row>
    <row r="177" spans="1:14" s="11" customFormat="1" ht="12.75" hidden="1">
      <c r="A177"/>
      <c r="B177" s="30" t="s">
        <v>387</v>
      </c>
      <c r="C177" s="283"/>
      <c r="D177" s="42"/>
      <c r="E177" s="14"/>
      <c r="F177" s="14"/>
      <c r="G177" s="14"/>
      <c r="H177" s="14">
        <v>10000</v>
      </c>
      <c r="I177" s="14"/>
      <c r="J177" s="14"/>
      <c r="K177" s="14"/>
      <c r="L177" s="14"/>
      <c r="M177" s="14"/>
      <c r="N177" s="14">
        <f aca="true" t="shared" si="26" ref="N177:N215">SUM(C177:M177)</f>
        <v>10000</v>
      </c>
    </row>
    <row r="178" spans="1:14" s="11" customFormat="1" ht="12.75" hidden="1">
      <c r="A178"/>
      <c r="B178" s="30" t="s">
        <v>358</v>
      </c>
      <c r="C178" s="283">
        <v>200</v>
      </c>
      <c r="D178" s="42"/>
      <c r="E178" s="14"/>
      <c r="F178" s="14"/>
      <c r="G178" s="14">
        <v>600</v>
      </c>
      <c r="H178" s="14"/>
      <c r="I178" s="14"/>
      <c r="J178" s="14"/>
      <c r="K178" s="14"/>
      <c r="L178" s="14"/>
      <c r="M178" s="14"/>
      <c r="N178" s="14">
        <f t="shared" si="26"/>
        <v>800</v>
      </c>
    </row>
    <row r="179" spans="1:14" s="11" customFormat="1" ht="12.75" hidden="1">
      <c r="A179"/>
      <c r="B179" s="30" t="s">
        <v>357</v>
      </c>
      <c r="C179" s="283">
        <v>1000</v>
      </c>
      <c r="D179" s="42"/>
      <c r="E179" s="14"/>
      <c r="F179" s="14">
        <v>50</v>
      </c>
      <c r="G179" s="14">
        <v>700</v>
      </c>
      <c r="H179" s="14"/>
      <c r="I179" s="14"/>
      <c r="J179" s="14"/>
      <c r="K179" s="14"/>
      <c r="L179" s="14"/>
      <c r="M179" s="14"/>
      <c r="N179" s="14">
        <f t="shared" si="26"/>
        <v>1750</v>
      </c>
    </row>
    <row r="180" spans="1:14" s="11" customFormat="1" ht="12.75" hidden="1">
      <c r="A180"/>
      <c r="B180" s="30" t="s">
        <v>533</v>
      </c>
      <c r="C180" s="283"/>
      <c r="D180" s="42"/>
      <c r="E180" s="14"/>
      <c r="F180" s="14"/>
      <c r="G180" s="14">
        <v>796</v>
      </c>
      <c r="H180" s="14"/>
      <c r="I180" s="14"/>
      <c r="J180" s="14"/>
      <c r="K180" s="14"/>
      <c r="L180" s="14"/>
      <c r="M180" s="14"/>
      <c r="N180" s="14">
        <f t="shared" si="26"/>
        <v>796</v>
      </c>
    </row>
    <row r="181" spans="1:14" s="11" customFormat="1" ht="12.75" hidden="1">
      <c r="A181"/>
      <c r="B181" s="30" t="s">
        <v>356</v>
      </c>
      <c r="C181" s="283"/>
      <c r="D181" s="42"/>
      <c r="E181" s="14"/>
      <c r="F181" s="14"/>
      <c r="G181" s="14"/>
      <c r="H181" s="14"/>
      <c r="I181" s="14"/>
      <c r="J181" s="14"/>
      <c r="K181" s="14"/>
      <c r="L181" s="14"/>
      <c r="M181" s="14"/>
      <c r="N181" s="14">
        <f t="shared" si="26"/>
        <v>0</v>
      </c>
    </row>
    <row r="182" spans="1:14" s="11" customFormat="1" ht="12.75" hidden="1">
      <c r="A182"/>
      <c r="B182" s="30" t="s">
        <v>355</v>
      </c>
      <c r="C182" s="283"/>
      <c r="D182" s="42"/>
      <c r="E182" s="14"/>
      <c r="F182" s="14"/>
      <c r="G182" s="14"/>
      <c r="H182" s="14"/>
      <c r="I182" s="14"/>
      <c r="J182" s="14"/>
      <c r="K182" s="14"/>
      <c r="L182" s="14"/>
      <c r="M182" s="14"/>
      <c r="N182" s="14">
        <f t="shared" si="26"/>
        <v>0</v>
      </c>
    </row>
    <row r="183" spans="1:14" s="11" customFormat="1" ht="12.75" hidden="1">
      <c r="A183"/>
      <c r="B183" s="30" t="s">
        <v>368</v>
      </c>
      <c r="C183" s="283">
        <v>1230</v>
      </c>
      <c r="D183" s="42"/>
      <c r="E183" s="14"/>
      <c r="F183" s="14"/>
      <c r="G183" s="14"/>
      <c r="H183" s="14"/>
      <c r="I183" s="14"/>
      <c r="J183" s="14"/>
      <c r="K183" s="14"/>
      <c r="L183" s="14"/>
      <c r="M183" s="14"/>
      <c r="N183" s="14">
        <f t="shared" si="26"/>
        <v>1230</v>
      </c>
    </row>
    <row r="184" spans="1:14" s="11" customFormat="1" ht="12.75" hidden="1">
      <c r="A184"/>
      <c r="B184" s="30" t="s">
        <v>369</v>
      </c>
      <c r="C184" s="283">
        <v>720</v>
      </c>
      <c r="D184" s="42"/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f t="shared" si="26"/>
        <v>720</v>
      </c>
    </row>
    <row r="185" spans="1:14" s="11" customFormat="1" ht="12.75" hidden="1">
      <c r="A185"/>
      <c r="B185" s="30" t="s">
        <v>400</v>
      </c>
      <c r="C185" s="283">
        <v>1000</v>
      </c>
      <c r="D185" s="42"/>
      <c r="E185" s="14"/>
      <c r="F185" s="14"/>
      <c r="G185" s="14"/>
      <c r="H185" s="14"/>
      <c r="I185" s="14"/>
      <c r="J185" s="14"/>
      <c r="K185" s="14"/>
      <c r="L185" s="14"/>
      <c r="M185" s="14"/>
      <c r="N185" s="14">
        <f t="shared" si="26"/>
        <v>1000</v>
      </c>
    </row>
    <row r="186" spans="1:14" s="11" customFormat="1" ht="12.75" hidden="1">
      <c r="A186"/>
      <c r="B186" s="30" t="s">
        <v>391</v>
      </c>
      <c r="C186" s="10"/>
      <c r="D186" s="42"/>
      <c r="E186" s="14"/>
      <c r="F186" s="283">
        <v>1200</v>
      </c>
      <c r="G186" s="14"/>
      <c r="H186" s="14"/>
      <c r="I186" s="14"/>
      <c r="J186" s="14"/>
      <c r="K186" s="14"/>
      <c r="L186" s="14"/>
      <c r="M186" s="14"/>
      <c r="N186" s="14">
        <f t="shared" si="26"/>
        <v>1200</v>
      </c>
    </row>
    <row r="187" spans="1:14" s="11" customFormat="1" ht="12.75" hidden="1">
      <c r="A187"/>
      <c r="B187" s="30" t="s">
        <v>114</v>
      </c>
      <c r="C187" s="10"/>
      <c r="D187" s="42"/>
      <c r="E187" s="14"/>
      <c r="F187" s="283">
        <v>900</v>
      </c>
      <c r="G187" s="14"/>
      <c r="H187" s="14"/>
      <c r="I187" s="14"/>
      <c r="J187" s="14"/>
      <c r="K187" s="14"/>
      <c r="L187" s="14"/>
      <c r="M187" s="14"/>
      <c r="N187" s="14">
        <f t="shared" si="26"/>
        <v>900</v>
      </c>
    </row>
    <row r="188" spans="1:14" s="11" customFormat="1" ht="12.75" hidden="1">
      <c r="A188"/>
      <c r="B188" s="30" t="s">
        <v>115</v>
      </c>
      <c r="C188" s="10"/>
      <c r="D188" s="42"/>
      <c r="E188" s="14"/>
      <c r="F188" s="283">
        <v>800</v>
      </c>
      <c r="G188" s="14"/>
      <c r="H188" s="14"/>
      <c r="I188" s="14"/>
      <c r="J188" s="14"/>
      <c r="K188" s="14"/>
      <c r="L188" s="14"/>
      <c r="M188" s="14"/>
      <c r="N188" s="14">
        <f t="shared" si="26"/>
        <v>800</v>
      </c>
    </row>
    <row r="189" spans="1:14" s="11" customFormat="1" ht="12.75" hidden="1">
      <c r="A189"/>
      <c r="B189" s="30" t="s">
        <v>116</v>
      </c>
      <c r="C189" s="10"/>
      <c r="D189" s="42"/>
      <c r="E189" s="14"/>
      <c r="F189" s="283">
        <v>1200</v>
      </c>
      <c r="G189" s="14"/>
      <c r="H189" s="14"/>
      <c r="I189" s="14"/>
      <c r="J189" s="14"/>
      <c r="K189" s="14"/>
      <c r="L189" s="14"/>
      <c r="M189" s="14"/>
      <c r="N189" s="14">
        <f t="shared" si="26"/>
        <v>1200</v>
      </c>
    </row>
    <row r="190" spans="1:14" s="11" customFormat="1" ht="12.75" hidden="1">
      <c r="A190"/>
      <c r="B190" s="30" t="s">
        <v>548</v>
      </c>
      <c r="C190" s="10"/>
      <c r="D190" s="42"/>
      <c r="E190" s="14"/>
      <c r="F190" s="283">
        <v>4700</v>
      </c>
      <c r="G190" s="14"/>
      <c r="H190" s="14"/>
      <c r="I190" s="14"/>
      <c r="J190" s="14"/>
      <c r="K190" s="14"/>
      <c r="L190" s="14"/>
      <c r="M190" s="14"/>
      <c r="N190" s="14">
        <f t="shared" si="26"/>
        <v>4700</v>
      </c>
    </row>
    <row r="191" spans="1:14" s="11" customFormat="1" ht="12.75" hidden="1">
      <c r="A191"/>
      <c r="B191" s="30" t="s">
        <v>394</v>
      </c>
      <c r="C191" s="10">
        <v>100</v>
      </c>
      <c r="D191" s="42"/>
      <c r="E191" s="14"/>
      <c r="F191" s="283"/>
      <c r="G191" s="14"/>
      <c r="H191" s="14"/>
      <c r="I191" s="14"/>
      <c r="J191" s="14"/>
      <c r="K191" s="14"/>
      <c r="L191" s="14"/>
      <c r="M191" s="14"/>
      <c r="N191" s="14">
        <f t="shared" si="26"/>
        <v>100</v>
      </c>
    </row>
    <row r="192" spans="1:14" s="11" customFormat="1" ht="12.75" hidden="1">
      <c r="A192"/>
      <c r="B192" s="30" t="s">
        <v>371</v>
      </c>
      <c r="C192" s="10"/>
      <c r="D192" s="42"/>
      <c r="E192" s="14"/>
      <c r="F192" s="283">
        <v>500</v>
      </c>
      <c r="G192" s="14"/>
      <c r="H192" s="14"/>
      <c r="I192" s="14"/>
      <c r="J192" s="14"/>
      <c r="K192" s="14"/>
      <c r="L192" s="14"/>
      <c r="M192" s="14"/>
      <c r="N192" s="14">
        <f t="shared" si="26"/>
        <v>500</v>
      </c>
    </row>
    <row r="193" spans="1:14" s="11" customFormat="1" ht="12.75" hidden="1">
      <c r="A193"/>
      <c r="B193" s="30" t="s">
        <v>544</v>
      </c>
      <c r="C193" s="22">
        <v>2000</v>
      </c>
      <c r="D193" s="42"/>
      <c r="E193" s="14"/>
      <c r="F193" s="283"/>
      <c r="G193" s="14"/>
      <c r="H193" s="14"/>
      <c r="I193" s="14"/>
      <c r="J193" s="14"/>
      <c r="K193" s="14"/>
      <c r="L193" s="14"/>
      <c r="M193" s="14"/>
      <c r="N193" s="14">
        <f t="shared" si="26"/>
        <v>2000</v>
      </c>
    </row>
    <row r="194" spans="1:14" s="11" customFormat="1" ht="12.75" hidden="1">
      <c r="A194"/>
      <c r="B194" s="30" t="s">
        <v>397</v>
      </c>
      <c r="C194" s="22"/>
      <c r="D194" s="42"/>
      <c r="E194" s="14"/>
      <c r="F194" s="283"/>
      <c r="G194" s="14"/>
      <c r="H194" s="14"/>
      <c r="I194" s="14"/>
      <c r="J194" s="14">
        <v>2640</v>
      </c>
      <c r="K194" s="14"/>
      <c r="L194" s="14"/>
      <c r="M194" s="14"/>
      <c r="N194" s="14">
        <f t="shared" si="26"/>
        <v>2640</v>
      </c>
    </row>
    <row r="195" spans="1:14" s="11" customFormat="1" ht="12.75" hidden="1">
      <c r="A195"/>
      <c r="B195" s="30" t="s">
        <v>377</v>
      </c>
      <c r="C195" s="10">
        <v>605</v>
      </c>
      <c r="D195" s="42"/>
      <c r="E195" s="14"/>
      <c r="F195" s="283"/>
      <c r="G195" s="14"/>
      <c r="H195" s="14"/>
      <c r="I195" s="14"/>
      <c r="J195" s="14"/>
      <c r="K195" s="14"/>
      <c r="L195" s="14"/>
      <c r="M195" s="14"/>
      <c r="N195" s="14">
        <f t="shared" si="26"/>
        <v>605</v>
      </c>
    </row>
    <row r="196" spans="1:14" s="11" customFormat="1" ht="12.75" hidden="1">
      <c r="A196"/>
      <c r="B196" s="30" t="s">
        <v>551</v>
      </c>
      <c r="C196" s="14">
        <v>2000</v>
      </c>
      <c r="D196" s="42"/>
      <c r="E196" s="14"/>
      <c r="F196" s="283"/>
      <c r="G196" s="14"/>
      <c r="H196" s="14"/>
      <c r="I196" s="14"/>
      <c r="J196" s="14"/>
      <c r="K196" s="14"/>
      <c r="L196" s="14"/>
      <c r="M196" s="14"/>
      <c r="N196" s="14">
        <f t="shared" si="26"/>
        <v>2000</v>
      </c>
    </row>
    <row r="197" spans="1:14" s="11" customFormat="1" ht="12.75" hidden="1">
      <c r="A197"/>
      <c r="B197" s="30" t="s">
        <v>540</v>
      </c>
      <c r="C197" s="22">
        <v>7000</v>
      </c>
      <c r="D197" s="42"/>
      <c r="E197" s="14"/>
      <c r="F197" s="283"/>
      <c r="G197" s="14"/>
      <c r="H197" s="14"/>
      <c r="I197" s="14"/>
      <c r="J197" s="14"/>
      <c r="K197" s="14"/>
      <c r="L197" s="14"/>
      <c r="M197" s="14"/>
      <c r="N197" s="14">
        <f t="shared" si="26"/>
        <v>7000</v>
      </c>
    </row>
    <row r="198" spans="1:14" s="11" customFormat="1" ht="12.75" hidden="1">
      <c r="A198"/>
      <c r="B198" s="30" t="s">
        <v>550</v>
      </c>
      <c r="C198" s="22">
        <v>2000</v>
      </c>
      <c r="D198" s="42"/>
      <c r="E198" s="14"/>
      <c r="F198" s="283"/>
      <c r="G198" s="14"/>
      <c r="H198" s="14"/>
      <c r="I198" s="14"/>
      <c r="J198" s="14"/>
      <c r="K198" s="14"/>
      <c r="L198" s="14"/>
      <c r="M198" s="14"/>
      <c r="N198" s="14">
        <f t="shared" si="26"/>
        <v>2000</v>
      </c>
    </row>
    <row r="199" spans="1:14" s="11" customFormat="1" ht="12.75" hidden="1">
      <c r="A199"/>
      <c r="B199" s="30" t="s">
        <v>537</v>
      </c>
      <c r="C199" s="22">
        <v>500</v>
      </c>
      <c r="D199" s="42"/>
      <c r="E199" s="14"/>
      <c r="F199" s="283"/>
      <c r="G199" s="14"/>
      <c r="H199" s="14"/>
      <c r="I199" s="14"/>
      <c r="J199" s="14"/>
      <c r="K199" s="14"/>
      <c r="L199" s="14"/>
      <c r="M199" s="14"/>
      <c r="N199" s="14">
        <f t="shared" si="26"/>
        <v>500</v>
      </c>
    </row>
    <row r="200" spans="1:14" s="11" customFormat="1" ht="12.75" hidden="1">
      <c r="A200"/>
      <c r="B200" s="30" t="s">
        <v>538</v>
      </c>
      <c r="C200" s="22">
        <v>3000</v>
      </c>
      <c r="D200" s="42"/>
      <c r="E200" s="14"/>
      <c r="F200" s="283"/>
      <c r="G200" s="14"/>
      <c r="H200" s="14"/>
      <c r="I200" s="14"/>
      <c r="J200" s="14"/>
      <c r="K200" s="14"/>
      <c r="L200" s="14"/>
      <c r="M200" s="14"/>
      <c r="N200" s="14">
        <f t="shared" si="26"/>
        <v>3000</v>
      </c>
    </row>
    <row r="201" spans="1:14" s="11" customFormat="1" ht="12.75" hidden="1">
      <c r="A201"/>
      <c r="B201" s="30" t="s">
        <v>539</v>
      </c>
      <c r="C201" s="22">
        <v>2000</v>
      </c>
      <c r="D201" s="42"/>
      <c r="E201" s="14"/>
      <c r="F201" s="283"/>
      <c r="G201" s="14"/>
      <c r="H201" s="14"/>
      <c r="I201" s="14"/>
      <c r="J201" s="14"/>
      <c r="K201" s="14"/>
      <c r="L201" s="14"/>
      <c r="M201" s="14"/>
      <c r="N201" s="14">
        <f t="shared" si="26"/>
        <v>2000</v>
      </c>
    </row>
    <row r="202" spans="1:14" s="11" customFormat="1" ht="25.5" hidden="1">
      <c r="A202"/>
      <c r="B202" s="389" t="s">
        <v>530</v>
      </c>
      <c r="C202" s="16">
        <f>SUM(D260)</f>
        <v>0</v>
      </c>
      <c r="D202" s="42"/>
      <c r="E202" s="14"/>
      <c r="F202" s="283"/>
      <c r="G202" s="14"/>
      <c r="H202" s="14"/>
      <c r="I202" s="14"/>
      <c r="J202" s="14"/>
      <c r="K202" s="14"/>
      <c r="L202" s="14"/>
      <c r="M202" s="14"/>
      <c r="N202" s="14">
        <f t="shared" si="26"/>
        <v>0</v>
      </c>
    </row>
    <row r="203" spans="1:14" s="11" customFormat="1" ht="12.75" hidden="1">
      <c r="A203"/>
      <c r="B203" s="30" t="s">
        <v>354</v>
      </c>
      <c r="C203" s="283"/>
      <c r="D203" s="42"/>
      <c r="E203" s="14"/>
      <c r="F203" s="14"/>
      <c r="G203" s="14">
        <v>1300</v>
      </c>
      <c r="H203" s="14"/>
      <c r="I203" s="14"/>
      <c r="J203" s="14"/>
      <c r="K203" s="14"/>
      <c r="L203" s="14"/>
      <c r="M203" s="14"/>
      <c r="N203" s="14">
        <f t="shared" si="26"/>
        <v>1300</v>
      </c>
    </row>
    <row r="204" spans="1:14" s="11" customFormat="1" ht="12.75" hidden="1">
      <c r="A204"/>
      <c r="B204" s="10" t="s">
        <v>437</v>
      </c>
      <c r="C204" s="14">
        <v>100</v>
      </c>
      <c r="D204" s="42"/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f t="shared" si="26"/>
        <v>100</v>
      </c>
    </row>
    <row r="205" spans="1:14" s="11" customFormat="1" ht="12.75" hidden="1">
      <c r="A205"/>
      <c r="B205" s="30" t="s">
        <v>529</v>
      </c>
      <c r="C205" s="14">
        <v>4700</v>
      </c>
      <c r="D205" s="42"/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f t="shared" si="26"/>
        <v>4700</v>
      </c>
    </row>
    <row r="206" spans="1:14" s="11" customFormat="1" ht="12.75" hidden="1">
      <c r="A206"/>
      <c r="B206" s="10" t="s">
        <v>378</v>
      </c>
      <c r="C206" s="14">
        <v>1500</v>
      </c>
      <c r="D206" s="42"/>
      <c r="E206" s="14"/>
      <c r="F206" s="14"/>
      <c r="G206" s="14"/>
      <c r="H206" s="14"/>
      <c r="I206" s="14"/>
      <c r="J206" s="14"/>
      <c r="K206" s="14"/>
      <c r="L206" s="14"/>
      <c r="M206" s="14"/>
      <c r="N206" s="14">
        <f t="shared" si="26"/>
        <v>1500</v>
      </c>
    </row>
    <row r="207" spans="1:14" s="11" customFormat="1" ht="12.75" hidden="1">
      <c r="A207"/>
      <c r="B207" s="10" t="s">
        <v>399</v>
      </c>
      <c r="C207" s="14">
        <v>30</v>
      </c>
      <c r="D207" s="42"/>
      <c r="E207" s="14"/>
      <c r="F207" s="14"/>
      <c r="G207" s="14"/>
      <c r="H207" s="14"/>
      <c r="I207" s="14"/>
      <c r="J207" s="14"/>
      <c r="K207" s="14"/>
      <c r="L207" s="14"/>
      <c r="M207" s="14"/>
      <c r="N207" s="14">
        <f t="shared" si="26"/>
        <v>30</v>
      </c>
    </row>
    <row r="208" spans="1:14" s="11" customFormat="1" ht="12.75" hidden="1">
      <c r="A208"/>
      <c r="B208" s="30" t="s">
        <v>366</v>
      </c>
      <c r="C208" s="283">
        <v>50</v>
      </c>
      <c r="D208" s="42"/>
      <c r="E208" s="14"/>
      <c r="F208" s="14"/>
      <c r="G208" s="14"/>
      <c r="H208" s="14"/>
      <c r="I208" s="14"/>
      <c r="J208" s="14"/>
      <c r="K208" s="14"/>
      <c r="L208" s="14"/>
      <c r="M208" s="14"/>
      <c r="N208" s="14">
        <f t="shared" si="26"/>
        <v>50</v>
      </c>
    </row>
    <row r="209" spans="1:14" s="11" customFormat="1" ht="12.75" hidden="1">
      <c r="A209"/>
      <c r="B209" s="30" t="s">
        <v>367</v>
      </c>
      <c r="C209" s="283">
        <v>350</v>
      </c>
      <c r="D209" s="42"/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f t="shared" si="26"/>
        <v>350</v>
      </c>
    </row>
    <row r="210" spans="1:14" s="11" customFormat="1" ht="12.75" hidden="1">
      <c r="A210"/>
      <c r="B210" s="30" t="s">
        <v>393</v>
      </c>
      <c r="C210" s="283">
        <v>820</v>
      </c>
      <c r="D210" s="42"/>
      <c r="E210" s="14"/>
      <c r="F210" s="14"/>
      <c r="G210" s="14">
        <v>390</v>
      </c>
      <c r="H210" s="14"/>
      <c r="I210" s="14"/>
      <c r="J210" s="14"/>
      <c r="K210" s="14"/>
      <c r="L210" s="14"/>
      <c r="M210" s="14"/>
      <c r="N210" s="14">
        <f t="shared" si="26"/>
        <v>1210</v>
      </c>
    </row>
    <row r="211" spans="1:14" s="11" customFormat="1" ht="12.75" hidden="1">
      <c r="A211"/>
      <c r="B211" s="30" t="s">
        <v>426</v>
      </c>
      <c r="C211" s="283"/>
      <c r="D211" s="42"/>
      <c r="E211" s="14"/>
      <c r="F211" s="14"/>
      <c r="G211" s="14"/>
      <c r="H211" s="14"/>
      <c r="I211" s="14"/>
      <c r="J211" s="14"/>
      <c r="K211" s="14"/>
      <c r="L211" s="14"/>
      <c r="M211" s="14"/>
      <c r="N211" s="14">
        <f t="shared" si="26"/>
        <v>0</v>
      </c>
    </row>
    <row r="212" spans="1:14" s="11" customFormat="1" ht="12.75" hidden="1">
      <c r="A212"/>
      <c r="B212" s="30" t="s">
        <v>435</v>
      </c>
      <c r="C212" s="18">
        <v>2000</v>
      </c>
      <c r="D212" s="42"/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f t="shared" si="26"/>
        <v>2000</v>
      </c>
    </row>
    <row r="213" spans="1:14" s="11" customFormat="1" ht="12.75" hidden="1">
      <c r="A213"/>
      <c r="B213" s="34" t="s">
        <v>313</v>
      </c>
      <c r="C213" s="115">
        <f>SUM(C214:C215)</f>
        <v>500</v>
      </c>
      <c r="D213" s="115">
        <f aca="true" t="shared" si="27" ref="D213:M213">SUM(D214:D215)</f>
        <v>30</v>
      </c>
      <c r="E213" s="115">
        <f t="shared" si="27"/>
        <v>0</v>
      </c>
      <c r="F213" s="115">
        <f t="shared" si="27"/>
        <v>0</v>
      </c>
      <c r="G213" s="115">
        <f t="shared" si="27"/>
        <v>100</v>
      </c>
      <c r="H213" s="115">
        <f t="shared" si="27"/>
        <v>0</v>
      </c>
      <c r="I213" s="115">
        <f t="shared" si="27"/>
        <v>0</v>
      </c>
      <c r="J213" s="115">
        <f t="shared" si="27"/>
        <v>0</v>
      </c>
      <c r="K213" s="115">
        <f t="shared" si="27"/>
        <v>0</v>
      </c>
      <c r="L213" s="115"/>
      <c r="M213" s="115">
        <f t="shared" si="27"/>
        <v>0</v>
      </c>
      <c r="N213" s="16">
        <f t="shared" si="26"/>
        <v>630</v>
      </c>
    </row>
    <row r="214" spans="1:14" s="11" customFormat="1" ht="12.75" hidden="1">
      <c r="A214"/>
      <c r="B214" s="30" t="s">
        <v>353</v>
      </c>
      <c r="C214" s="283"/>
      <c r="D214" s="283">
        <v>30</v>
      </c>
      <c r="E214" s="14"/>
      <c r="F214" s="14"/>
      <c r="G214" s="14">
        <v>100</v>
      </c>
      <c r="H214" s="14"/>
      <c r="I214" s="14"/>
      <c r="J214" s="14"/>
      <c r="K214" s="14"/>
      <c r="L214" s="14"/>
      <c r="M214" s="14"/>
      <c r="N214" s="14">
        <f t="shared" si="26"/>
        <v>130</v>
      </c>
    </row>
    <row r="215" spans="1:14" s="11" customFormat="1" ht="12.75" hidden="1">
      <c r="A215"/>
      <c r="B215" s="30" t="s">
        <v>370</v>
      </c>
      <c r="C215" s="283">
        <v>500</v>
      </c>
      <c r="D215" s="42"/>
      <c r="E215" s="14"/>
      <c r="F215" s="14"/>
      <c r="G215" s="14"/>
      <c r="H215" s="14"/>
      <c r="I215" s="14"/>
      <c r="J215" s="14"/>
      <c r="K215" s="14"/>
      <c r="L215" s="14"/>
      <c r="M215" s="14"/>
      <c r="N215" s="14">
        <f t="shared" si="26"/>
        <v>500</v>
      </c>
    </row>
    <row r="216" spans="1:14" s="11" customFormat="1" ht="12.75" hidden="1">
      <c r="A216"/>
      <c r="B216" s="34" t="s">
        <v>314</v>
      </c>
      <c r="C216" s="115">
        <f aca="true" t="shared" si="28" ref="C216:N216">SUM(C217:C224)</f>
        <v>19585</v>
      </c>
      <c r="D216" s="115">
        <f t="shared" si="28"/>
        <v>27</v>
      </c>
      <c r="E216" s="115">
        <f t="shared" si="28"/>
        <v>3105</v>
      </c>
      <c r="F216" s="115">
        <f t="shared" si="28"/>
        <v>150</v>
      </c>
      <c r="G216" s="115">
        <f t="shared" si="28"/>
        <v>3200</v>
      </c>
      <c r="H216" s="115">
        <f t="shared" si="28"/>
        <v>2700</v>
      </c>
      <c r="I216" s="115">
        <f t="shared" si="28"/>
        <v>0</v>
      </c>
      <c r="J216" s="115">
        <f t="shared" si="28"/>
        <v>0</v>
      </c>
      <c r="K216" s="115">
        <f t="shared" si="28"/>
        <v>600</v>
      </c>
      <c r="L216" s="115"/>
      <c r="M216" s="115">
        <f t="shared" si="28"/>
        <v>0</v>
      </c>
      <c r="N216" s="115">
        <f t="shared" si="28"/>
        <v>29367</v>
      </c>
    </row>
    <row r="217" spans="1:14" s="11" customFormat="1" ht="12.75" hidden="1">
      <c r="A217"/>
      <c r="B217" s="30" t="s">
        <v>343</v>
      </c>
      <c r="C217" s="283">
        <v>17000</v>
      </c>
      <c r="D217" s="283">
        <v>27</v>
      </c>
      <c r="E217" s="14">
        <v>3105</v>
      </c>
      <c r="F217" s="14">
        <v>150</v>
      </c>
      <c r="G217" s="14">
        <v>2200</v>
      </c>
      <c r="H217" s="14">
        <v>2700</v>
      </c>
      <c r="I217" s="14"/>
      <c r="J217" s="14"/>
      <c r="K217" s="14">
        <v>600</v>
      </c>
      <c r="L217" s="14"/>
      <c r="M217" s="14"/>
      <c r="N217" s="14">
        <f aca="true" t="shared" si="29" ref="N217:N224">SUM(C217:M217)</f>
        <v>25782</v>
      </c>
    </row>
    <row r="218" spans="1:14" s="11" customFormat="1" ht="12.75" hidden="1">
      <c r="A218"/>
      <c r="B218" s="30" t="s">
        <v>344</v>
      </c>
      <c r="C218" s="283"/>
      <c r="D218" s="42"/>
      <c r="E218" s="14"/>
      <c r="F218" s="14"/>
      <c r="G218" s="14"/>
      <c r="H218" s="14"/>
      <c r="I218" s="14"/>
      <c r="J218" s="14"/>
      <c r="K218" s="14"/>
      <c r="L218" s="14"/>
      <c r="M218" s="14"/>
      <c r="N218" s="14">
        <f t="shared" si="29"/>
        <v>0</v>
      </c>
    </row>
    <row r="219" spans="1:14" s="11" customFormat="1" ht="12.75" hidden="1">
      <c r="A219"/>
      <c r="B219" s="30" t="s">
        <v>345</v>
      </c>
      <c r="C219" s="283">
        <v>500</v>
      </c>
      <c r="D219" s="42"/>
      <c r="E219" s="14"/>
      <c r="F219" s="14"/>
      <c r="G219" s="14"/>
      <c r="H219" s="14"/>
      <c r="I219" s="14"/>
      <c r="J219" s="14"/>
      <c r="K219" s="14"/>
      <c r="L219" s="14"/>
      <c r="M219" s="14"/>
      <c r="N219" s="14">
        <f t="shared" si="29"/>
        <v>500</v>
      </c>
    </row>
    <row r="220" spans="1:14" s="11" customFormat="1" ht="12.75" hidden="1">
      <c r="A220"/>
      <c r="B220" s="30" t="s">
        <v>346</v>
      </c>
      <c r="C220" s="283">
        <f>4000-4000</f>
        <v>0</v>
      </c>
      <c r="D220" s="42"/>
      <c r="E220" s="14"/>
      <c r="F220" s="14"/>
      <c r="G220" s="14"/>
      <c r="H220" s="14"/>
      <c r="I220" s="14"/>
      <c r="J220" s="14"/>
      <c r="K220" s="14"/>
      <c r="L220" s="14"/>
      <c r="M220" s="14"/>
      <c r="N220" s="14">
        <f t="shared" si="29"/>
        <v>0</v>
      </c>
    </row>
    <row r="221" spans="1:14" s="11" customFormat="1" ht="12.75" hidden="1">
      <c r="A221"/>
      <c r="B221" s="30" t="s">
        <v>70</v>
      </c>
      <c r="C221" s="283"/>
      <c r="D221" s="14"/>
      <c r="E221" s="14"/>
      <c r="F221" s="14"/>
      <c r="G221" s="14">
        <v>1000</v>
      </c>
      <c r="H221" s="14"/>
      <c r="I221" s="14"/>
      <c r="J221" s="14"/>
      <c r="K221" s="14"/>
      <c r="L221" s="14"/>
      <c r="M221" s="14"/>
      <c r="N221" s="14">
        <f t="shared" si="29"/>
        <v>1000</v>
      </c>
    </row>
    <row r="222" spans="1:14" s="11" customFormat="1" ht="12.75" hidden="1">
      <c r="A222"/>
      <c r="B222" s="30" t="s">
        <v>364</v>
      </c>
      <c r="C222" s="283">
        <v>100</v>
      </c>
      <c r="D222" s="42"/>
      <c r="E222" s="14"/>
      <c r="F222" s="14"/>
      <c r="G222" s="14"/>
      <c r="H222" s="14"/>
      <c r="I222" s="14"/>
      <c r="J222" s="14"/>
      <c r="K222" s="14"/>
      <c r="L222" s="14"/>
      <c r="M222" s="14"/>
      <c r="N222" s="14">
        <f t="shared" si="29"/>
        <v>100</v>
      </c>
    </row>
    <row r="223" spans="1:14" s="11" customFormat="1" ht="12.75" hidden="1">
      <c r="A223"/>
      <c r="B223" s="30" t="s">
        <v>372</v>
      </c>
      <c r="C223" s="283">
        <v>985</v>
      </c>
      <c r="D223" s="42"/>
      <c r="E223" s="14"/>
      <c r="F223" s="14"/>
      <c r="G223" s="14"/>
      <c r="H223" s="14"/>
      <c r="I223" s="14"/>
      <c r="J223" s="14"/>
      <c r="K223" s="14"/>
      <c r="L223" s="14"/>
      <c r="M223" s="14"/>
      <c r="N223" s="14">
        <f t="shared" si="29"/>
        <v>985</v>
      </c>
    </row>
    <row r="224" spans="1:14" s="11" customFormat="1" ht="12.75" hidden="1">
      <c r="A224"/>
      <c r="B224" s="30" t="s">
        <v>379</v>
      </c>
      <c r="C224" s="18">
        <v>1000</v>
      </c>
      <c r="D224" s="42"/>
      <c r="E224" s="14"/>
      <c r="F224" s="14"/>
      <c r="G224" s="14"/>
      <c r="H224" s="14"/>
      <c r="I224" s="14"/>
      <c r="J224" s="14"/>
      <c r="K224" s="14"/>
      <c r="L224" s="14"/>
      <c r="M224" s="14"/>
      <c r="N224" s="14">
        <f t="shared" si="29"/>
        <v>1000</v>
      </c>
    </row>
    <row r="225" spans="1:14" s="11" customFormat="1" ht="12.75" hidden="1">
      <c r="A225"/>
      <c r="B225" s="184" t="s">
        <v>33</v>
      </c>
      <c r="C225" s="282">
        <f aca="true" t="shared" si="30" ref="C225:N225">SUM(C163+C172+C175+C213+C216)</f>
        <v>59070</v>
      </c>
      <c r="D225" s="282">
        <f t="shared" si="30"/>
        <v>97</v>
      </c>
      <c r="E225" s="282">
        <f t="shared" si="30"/>
        <v>14605</v>
      </c>
      <c r="F225" s="282">
        <f t="shared" si="30"/>
        <v>10065</v>
      </c>
      <c r="G225" s="282">
        <f t="shared" si="30"/>
        <v>9936</v>
      </c>
      <c r="H225" s="282">
        <f t="shared" si="30"/>
        <v>12700</v>
      </c>
      <c r="I225" s="282">
        <f t="shared" si="30"/>
        <v>0</v>
      </c>
      <c r="J225" s="282">
        <f t="shared" si="30"/>
        <v>2640</v>
      </c>
      <c r="K225" s="282">
        <f t="shared" si="30"/>
        <v>2715</v>
      </c>
      <c r="L225" s="282"/>
      <c r="M225" s="282">
        <f t="shared" si="30"/>
        <v>0</v>
      </c>
      <c r="N225" s="282">
        <f t="shared" si="30"/>
        <v>111828</v>
      </c>
    </row>
    <row r="226" spans="1:14" s="11" customFormat="1" ht="12.75" hidden="1">
      <c r="A226"/>
      <c r="B226" s="184" t="s">
        <v>44</v>
      </c>
      <c r="C226" s="282">
        <v>350</v>
      </c>
      <c r="D226" s="293"/>
      <c r="E226" s="293"/>
      <c r="F226" s="293"/>
      <c r="G226" s="293"/>
      <c r="H226" s="293"/>
      <c r="I226" s="293">
        <v>9000</v>
      </c>
      <c r="J226" s="293"/>
      <c r="K226" s="293"/>
      <c r="L226" s="293"/>
      <c r="M226" s="293"/>
      <c r="N226" s="293">
        <f>SUM(C226:M226)</f>
        <v>9350</v>
      </c>
    </row>
    <row r="227" spans="1:14" s="11" customFormat="1" ht="13.5" hidden="1" thickBot="1">
      <c r="A227"/>
      <c r="B227" s="289" t="s">
        <v>554</v>
      </c>
      <c r="C227" s="185" t="e">
        <f>SUM('4. Átadott p.eszk.'!#REF!)</f>
        <v>#REF!</v>
      </c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 t="e">
        <f>SUM(C227:M227)</f>
        <v>#REF!</v>
      </c>
    </row>
    <row r="228" spans="1:14" s="11" customFormat="1" ht="16.5" hidden="1" thickBot="1">
      <c r="A228"/>
      <c r="B228" s="411" t="s">
        <v>11</v>
      </c>
      <c r="C228" s="297" t="e">
        <f>SUM(C158+C162+C225+C226+C227)</f>
        <v>#REF!</v>
      </c>
      <c r="D228" s="297">
        <f aca="true" t="shared" si="31" ref="D228:N228">SUM(D158+D162+D225+D226+D227)</f>
        <v>6784.84</v>
      </c>
      <c r="E228" s="297">
        <f t="shared" si="31"/>
        <v>14605</v>
      </c>
      <c r="F228" s="297">
        <f t="shared" si="31"/>
        <v>10065</v>
      </c>
      <c r="G228" s="297">
        <f t="shared" si="31"/>
        <v>29069.48</v>
      </c>
      <c r="H228" s="297">
        <f t="shared" si="31"/>
        <v>14089.73</v>
      </c>
      <c r="I228" s="297">
        <f t="shared" si="31"/>
        <v>9000</v>
      </c>
      <c r="J228" s="297">
        <f t="shared" si="31"/>
        <v>2640</v>
      </c>
      <c r="K228" s="297">
        <f t="shared" si="31"/>
        <v>2715</v>
      </c>
      <c r="L228" s="297"/>
      <c r="M228" s="297">
        <f t="shared" si="31"/>
        <v>3619.5</v>
      </c>
      <c r="N228" s="412" t="e">
        <f t="shared" si="31"/>
        <v>#REF!</v>
      </c>
    </row>
    <row r="229" spans="1:14" s="11" customFormat="1" ht="15.75" hidden="1" thickBot="1">
      <c r="A229"/>
      <c r="B229" s="407" t="s">
        <v>553</v>
      </c>
      <c r="C229" s="408" t="e">
        <f>SUM('3.felh'!#REF!+'3.felh'!#REF!+'3.felh'!#REF!)</f>
        <v>#REF!</v>
      </c>
      <c r="D229" s="409"/>
      <c r="E229" s="409"/>
      <c r="F229" s="409"/>
      <c r="G229" s="409"/>
      <c r="H229" s="409"/>
      <c r="I229" s="409"/>
      <c r="J229" s="409"/>
      <c r="K229" s="409"/>
      <c r="L229" s="409"/>
      <c r="M229" s="409"/>
      <c r="N229" s="410" t="e">
        <f>SUM(C229:M229)</f>
        <v>#REF!</v>
      </c>
    </row>
    <row r="230" spans="1:14" s="11" customFormat="1" ht="20.25" hidden="1" thickBot="1">
      <c r="A230"/>
      <c r="B230" s="396" t="s">
        <v>8</v>
      </c>
      <c r="C230" s="397" t="e">
        <f>SUM(C228+C229)</f>
        <v>#REF!</v>
      </c>
      <c r="D230" s="397">
        <f aca="true" t="shared" si="32" ref="D230:N230">SUM(D228+D229)</f>
        <v>6784.84</v>
      </c>
      <c r="E230" s="397">
        <f t="shared" si="32"/>
        <v>14605</v>
      </c>
      <c r="F230" s="397">
        <f t="shared" si="32"/>
        <v>10065</v>
      </c>
      <c r="G230" s="397">
        <f t="shared" si="32"/>
        <v>29069.48</v>
      </c>
      <c r="H230" s="397">
        <f t="shared" si="32"/>
        <v>14089.73</v>
      </c>
      <c r="I230" s="397">
        <f t="shared" si="32"/>
        <v>9000</v>
      </c>
      <c r="J230" s="397">
        <f t="shared" si="32"/>
        <v>2640</v>
      </c>
      <c r="K230" s="397">
        <f t="shared" si="32"/>
        <v>2715</v>
      </c>
      <c r="L230" s="397"/>
      <c r="M230" s="397">
        <f t="shared" si="32"/>
        <v>3619.5</v>
      </c>
      <c r="N230" s="397" t="e">
        <f t="shared" si="32"/>
        <v>#REF!</v>
      </c>
    </row>
    <row r="231" spans="1:14" s="11" customFormat="1" ht="13.5" hidden="1" thickBot="1">
      <c r="A231"/>
      <c r="B231" s="394" t="s">
        <v>71</v>
      </c>
      <c r="C231" s="400">
        <v>1</v>
      </c>
      <c r="D231" s="400">
        <v>2</v>
      </c>
      <c r="E231" s="400"/>
      <c r="F231" s="400"/>
      <c r="G231" s="400">
        <v>7</v>
      </c>
      <c r="H231" s="400">
        <v>1</v>
      </c>
      <c r="I231" s="400"/>
      <c r="J231" s="400"/>
      <c r="K231" s="400"/>
      <c r="L231" s="400"/>
      <c r="M231" s="400">
        <v>3</v>
      </c>
      <c r="N231" s="401">
        <f>SUM(C231:M231)</f>
        <v>14</v>
      </c>
    </row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</sheetData>
  <sheetProtection/>
  <mergeCells count="8">
    <mergeCell ref="B141:B142"/>
    <mergeCell ref="C141:N141"/>
    <mergeCell ref="A2:N2"/>
    <mergeCell ref="A3:N3"/>
    <mergeCell ref="A4:M4"/>
    <mergeCell ref="A6:A7"/>
    <mergeCell ref="B6:B7"/>
    <mergeCell ref="C6:N6"/>
  </mergeCells>
  <printOptions/>
  <pageMargins left="0.8267716535433072" right="0.15748031496062992" top="0.2362204724409449" bottom="0.15748031496062992" header="0.15748031496062992" footer="0.15748031496062992"/>
  <pageSetup horizontalDpi="300" verticalDpi="300" orientation="landscape" paperSize="9" scale="75" r:id="rId1"/>
  <rowBreaks count="2" manualBreakCount="2">
    <brk id="57" max="13" man="1"/>
    <brk id="139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5"/>
  <sheetViews>
    <sheetView zoomScalePageLayoutView="0" workbookViewId="0" topLeftCell="B22">
      <selection activeCell="C162" sqref="C162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2.75390625" style="0" customWidth="1"/>
    <col min="4" max="4" width="11.125" style="11" customWidth="1"/>
    <col min="5" max="5" width="10.625" style="0" customWidth="1"/>
    <col min="6" max="6" width="9.875" style="0" customWidth="1"/>
    <col min="7" max="7" width="10.375" style="0" customWidth="1"/>
    <col min="8" max="11" width="9.25390625" style="0" bestFit="1" customWidth="1"/>
    <col min="12" max="12" width="9.25390625" style="0" customWidth="1"/>
    <col min="13" max="13" width="9.25390625" style="0" bestFit="1" customWidth="1"/>
    <col min="14" max="14" width="9.875" style="0" bestFit="1" customWidth="1"/>
    <col min="15" max="15" width="7.375" style="11" customWidth="1"/>
  </cols>
  <sheetData>
    <row r="1" spans="1:14" ht="12.75">
      <c r="A1" s="157"/>
      <c r="B1" s="1"/>
      <c r="C1" s="75"/>
      <c r="N1" s="71" t="s">
        <v>458</v>
      </c>
    </row>
    <row r="2" spans="1:14" ht="15.75">
      <c r="A2" s="1036" t="s">
        <v>117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</row>
    <row r="3" spans="1:14" ht="15.75" customHeight="1">
      <c r="A3" s="1036" t="s">
        <v>505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</row>
    <row r="4" spans="1:14" ht="15.75">
      <c r="A4" s="1046" t="s">
        <v>385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3" t="s">
        <v>0</v>
      </c>
    </row>
    <row r="5" spans="3:14" ht="13.5" thickBot="1">
      <c r="C5" s="2"/>
      <c r="D5" s="294"/>
      <c r="E5" s="295"/>
      <c r="F5" s="2"/>
      <c r="G5" s="2"/>
      <c r="H5" s="2"/>
      <c r="I5" s="2"/>
      <c r="J5" s="2"/>
      <c r="K5" s="2"/>
      <c r="L5" s="2"/>
      <c r="M5" s="2"/>
      <c r="N5" s="2"/>
    </row>
    <row r="6" spans="1:15" s="364" customFormat="1" ht="16.5" thickBot="1">
      <c r="A6" s="1048" t="s">
        <v>162</v>
      </c>
      <c r="B6" s="1041" t="s">
        <v>31</v>
      </c>
      <c r="C6" s="1043" t="s">
        <v>638</v>
      </c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5"/>
      <c r="O6" s="11"/>
    </row>
    <row r="7" spans="1:15" s="364" customFormat="1" ht="60.75" thickBot="1">
      <c r="A7" s="1049"/>
      <c r="B7" s="1042"/>
      <c r="C7" s="287" t="s">
        <v>383</v>
      </c>
      <c r="D7" s="284" t="s">
        <v>380</v>
      </c>
      <c r="E7" s="284" t="s">
        <v>156</v>
      </c>
      <c r="F7" s="285" t="s">
        <v>381</v>
      </c>
      <c r="G7" s="285" t="s">
        <v>384</v>
      </c>
      <c r="H7" s="285" t="s">
        <v>158</v>
      </c>
      <c r="I7" s="287" t="s">
        <v>645</v>
      </c>
      <c r="J7" s="287" t="s">
        <v>396</v>
      </c>
      <c r="K7" s="287" t="s">
        <v>159</v>
      </c>
      <c r="L7" s="287" t="s">
        <v>404</v>
      </c>
      <c r="M7" s="287" t="s">
        <v>157</v>
      </c>
      <c r="N7" s="288" t="s">
        <v>56</v>
      </c>
      <c r="O7" s="11"/>
    </row>
    <row r="8" spans="1:14" ht="12.75">
      <c r="A8" s="299" t="s">
        <v>350</v>
      </c>
      <c r="B8" s="25" t="s">
        <v>351</v>
      </c>
      <c r="C8" s="55">
        <f aca="true" t="shared" si="0" ref="C8:N8">SUM(C9:C15)</f>
        <v>1409</v>
      </c>
      <c r="D8" s="55">
        <f t="shared" si="0"/>
        <v>5653</v>
      </c>
      <c r="E8" s="55">
        <f t="shared" si="0"/>
        <v>0</v>
      </c>
      <c r="F8" s="55">
        <f t="shared" si="0"/>
        <v>0</v>
      </c>
      <c r="G8" s="55">
        <f t="shared" si="0"/>
        <v>12684</v>
      </c>
      <c r="H8" s="55">
        <f t="shared" si="0"/>
        <v>1164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>SUM(L9:L15)</f>
        <v>1004</v>
      </c>
      <c r="M8" s="55">
        <f t="shared" si="0"/>
        <v>2862</v>
      </c>
      <c r="N8" s="55">
        <f t="shared" si="0"/>
        <v>24776</v>
      </c>
    </row>
    <row r="9" spans="1:14" ht="12.75">
      <c r="A9" s="299"/>
      <c r="B9" s="68" t="s">
        <v>425</v>
      </c>
      <c r="C9" s="550">
        <v>480</v>
      </c>
      <c r="D9" s="551">
        <v>4048</v>
      </c>
      <c r="E9" s="551"/>
      <c r="F9" s="551"/>
      <c r="G9" s="551">
        <f>(11784-516)</f>
        <v>11268</v>
      </c>
      <c r="H9" s="551">
        <v>999</v>
      </c>
      <c r="I9" s="551"/>
      <c r="J9" s="551"/>
      <c r="K9" s="551"/>
      <c r="L9" s="551">
        <v>956</v>
      </c>
      <c r="M9" s="551">
        <f>2850</f>
        <v>2850</v>
      </c>
      <c r="N9" s="551">
        <f aca="true" t="shared" si="1" ref="N9:N29">SUM(C9:M9)</f>
        <v>20601</v>
      </c>
    </row>
    <row r="10" spans="1:14" ht="12.75">
      <c r="A10" s="299"/>
      <c r="B10" s="68" t="s">
        <v>72</v>
      </c>
      <c r="C10" s="550"/>
      <c r="D10" s="552">
        <v>86</v>
      </c>
      <c r="E10" s="552"/>
      <c r="F10" s="552"/>
      <c r="G10" s="552">
        <v>123</v>
      </c>
      <c r="H10" s="552"/>
      <c r="I10" s="552"/>
      <c r="J10" s="552"/>
      <c r="K10" s="552"/>
      <c r="L10" s="552"/>
      <c r="M10" s="552"/>
      <c r="N10" s="552">
        <f t="shared" si="1"/>
        <v>209</v>
      </c>
    </row>
    <row r="11" spans="1:14" s="11" customFormat="1" ht="12.75">
      <c r="A11" s="79"/>
      <c r="B11" s="10" t="s">
        <v>419</v>
      </c>
      <c r="C11" s="566">
        <v>550</v>
      </c>
      <c r="D11" s="283">
        <v>192</v>
      </c>
      <c r="E11" s="283"/>
      <c r="F11" s="283"/>
      <c r="G11" s="283">
        <v>492</v>
      </c>
      <c r="H11" s="283">
        <v>86</v>
      </c>
      <c r="I11" s="283"/>
      <c r="J11" s="283"/>
      <c r="K11" s="283"/>
      <c r="L11" s="363">
        <v>16</v>
      </c>
      <c r="M11" s="283"/>
      <c r="N11" s="552">
        <f t="shared" si="1"/>
        <v>1336</v>
      </c>
    </row>
    <row r="12" spans="1:14" s="11" customFormat="1" ht="12.75">
      <c r="A12" s="79"/>
      <c r="B12" s="10" t="s">
        <v>546</v>
      </c>
      <c r="C12" s="553"/>
      <c r="D12" s="283">
        <v>944</v>
      </c>
      <c r="E12" s="283"/>
      <c r="F12" s="283"/>
      <c r="G12" s="283"/>
      <c r="H12" s="283"/>
      <c r="I12" s="283"/>
      <c r="J12" s="283"/>
      <c r="K12" s="283"/>
      <c r="L12" s="283"/>
      <c r="M12" s="283"/>
      <c r="N12" s="552">
        <f t="shared" si="1"/>
        <v>944</v>
      </c>
    </row>
    <row r="13" spans="1:14" s="11" customFormat="1" ht="12.75">
      <c r="A13" s="79"/>
      <c r="B13" s="10" t="s">
        <v>561</v>
      </c>
      <c r="C13" s="283">
        <v>250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552">
        <f t="shared" si="1"/>
        <v>250</v>
      </c>
    </row>
    <row r="14" spans="1:14" s="11" customFormat="1" ht="12.75">
      <c r="A14" s="79"/>
      <c r="B14" s="30" t="s">
        <v>376</v>
      </c>
      <c r="C14" s="363">
        <f>6300-6300</f>
        <v>0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552">
        <f t="shared" si="1"/>
        <v>0</v>
      </c>
    </row>
    <row r="15" spans="1:14" s="11" customFormat="1" ht="12.75">
      <c r="A15" s="79"/>
      <c r="B15" s="30" t="s">
        <v>673</v>
      </c>
      <c r="C15" s="363">
        <f>222+1010+204-12-32-79-801-383</f>
        <v>129</v>
      </c>
      <c r="D15" s="283">
        <v>383</v>
      </c>
      <c r="E15" s="283"/>
      <c r="F15" s="283"/>
      <c r="G15" s="283">
        <v>801</v>
      </c>
      <c r="H15" s="283">
        <v>79</v>
      </c>
      <c r="I15" s="283"/>
      <c r="J15" s="283"/>
      <c r="K15" s="283"/>
      <c r="L15" s="283">
        <v>32</v>
      </c>
      <c r="M15" s="283">
        <v>12</v>
      </c>
      <c r="N15" s="552">
        <f t="shared" si="1"/>
        <v>1436</v>
      </c>
    </row>
    <row r="16" spans="1:14" s="11" customFormat="1" ht="12.75">
      <c r="A16" s="121" t="s">
        <v>352</v>
      </c>
      <c r="B16" s="34" t="s">
        <v>418</v>
      </c>
      <c r="C16" s="115">
        <f aca="true" t="shared" si="2" ref="C16:M16">SUM(C17:C29)</f>
        <v>19384</v>
      </c>
      <c r="D16" s="115">
        <f t="shared" si="2"/>
        <v>0</v>
      </c>
      <c r="E16" s="115">
        <f t="shared" si="2"/>
        <v>0</v>
      </c>
      <c r="F16" s="115">
        <f t="shared" si="2"/>
        <v>0</v>
      </c>
      <c r="G16" s="115">
        <f t="shared" si="2"/>
        <v>2640</v>
      </c>
      <c r="H16" s="115">
        <f t="shared" si="2"/>
        <v>0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>SUM(L17:L29)</f>
        <v>0</v>
      </c>
      <c r="M16" s="115">
        <f t="shared" si="2"/>
        <v>0</v>
      </c>
      <c r="N16" s="554">
        <f t="shared" si="1"/>
        <v>22024</v>
      </c>
    </row>
    <row r="17" spans="1:14" s="11" customFormat="1" ht="12.75">
      <c r="A17" s="121"/>
      <c r="B17" s="30" t="s">
        <v>69</v>
      </c>
      <c r="C17" s="550">
        <v>5372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283">
        <f t="shared" si="1"/>
        <v>5372</v>
      </c>
    </row>
    <row r="18" spans="1:14" s="11" customFormat="1" ht="12.75">
      <c r="A18" s="121"/>
      <c r="B18" s="308" t="s">
        <v>542</v>
      </c>
      <c r="C18" s="550">
        <v>808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283">
        <f t="shared" si="1"/>
        <v>808</v>
      </c>
    </row>
    <row r="19" spans="1:14" s="11" customFormat="1" ht="12.75">
      <c r="A19" s="121"/>
      <c r="B19" s="2" t="s">
        <v>419</v>
      </c>
      <c r="C19" s="283">
        <v>140</v>
      </c>
      <c r="D19" s="283"/>
      <c r="E19" s="115"/>
      <c r="F19" s="115"/>
      <c r="G19" s="115"/>
      <c r="H19" s="115"/>
      <c r="I19" s="115"/>
      <c r="J19" s="115"/>
      <c r="K19" s="115"/>
      <c r="L19" s="115"/>
      <c r="M19" s="115"/>
      <c r="N19" s="283">
        <f t="shared" si="1"/>
        <v>140</v>
      </c>
    </row>
    <row r="20" spans="1:14" s="11" customFormat="1" ht="12.75">
      <c r="A20" s="121"/>
      <c r="B20" s="30" t="s">
        <v>375</v>
      </c>
      <c r="C20" s="283">
        <v>600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83">
        <f t="shared" si="1"/>
        <v>600</v>
      </c>
    </row>
    <row r="21" spans="1:14" s="11" customFormat="1" ht="12.75">
      <c r="A21" s="121"/>
      <c r="B21" s="30" t="s">
        <v>395</v>
      </c>
      <c r="C21" s="283"/>
      <c r="D21" s="115"/>
      <c r="E21" s="115"/>
      <c r="F21" s="115"/>
      <c r="G21" s="283">
        <v>2640</v>
      </c>
      <c r="H21" s="115"/>
      <c r="I21" s="115"/>
      <c r="J21" s="115"/>
      <c r="K21" s="115"/>
      <c r="L21" s="115"/>
      <c r="M21" s="115"/>
      <c r="N21" s="283">
        <f t="shared" si="1"/>
        <v>2640</v>
      </c>
    </row>
    <row r="22" spans="1:14" ht="12.75">
      <c r="A22" s="121"/>
      <c r="B22" s="30" t="s">
        <v>436</v>
      </c>
      <c r="C22" s="550">
        <v>1000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367">
        <f t="shared" si="1"/>
        <v>1000</v>
      </c>
    </row>
    <row r="23" spans="1:14" ht="12.75">
      <c r="A23" s="121"/>
      <c r="B23" s="30" t="s">
        <v>543</v>
      </c>
      <c r="C23" s="283">
        <v>6950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>
        <f aca="true" t="shared" si="3" ref="N23:N28">SUM(C23:M23)</f>
        <v>6950</v>
      </c>
    </row>
    <row r="24" spans="1:14" ht="12.75">
      <c r="A24" s="121"/>
      <c r="B24" s="30" t="s">
        <v>659</v>
      </c>
      <c r="C24" s="283">
        <v>700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>
        <f t="shared" si="3"/>
        <v>700</v>
      </c>
    </row>
    <row r="25" spans="1:14" ht="12.75">
      <c r="A25" s="121"/>
      <c r="B25" s="30" t="s">
        <v>680</v>
      </c>
      <c r="C25" s="363">
        <v>600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>
        <f t="shared" si="3"/>
        <v>600</v>
      </c>
    </row>
    <row r="26" spans="1:14" ht="12.75">
      <c r="A26" s="121"/>
      <c r="B26" s="30" t="s">
        <v>693</v>
      </c>
      <c r="C26" s="363">
        <v>464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>
        <f t="shared" si="3"/>
        <v>464</v>
      </c>
    </row>
    <row r="27" spans="1:14" ht="12.75">
      <c r="A27" s="121"/>
      <c r="B27" s="30" t="s">
        <v>694</v>
      </c>
      <c r="C27" s="363">
        <v>550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>
        <f t="shared" si="3"/>
        <v>550</v>
      </c>
    </row>
    <row r="28" spans="1:14" ht="12.75">
      <c r="A28" s="121"/>
      <c r="B28" s="30" t="s">
        <v>696</v>
      </c>
      <c r="C28" s="363">
        <v>1300</v>
      </c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>
        <f t="shared" si="3"/>
        <v>1300</v>
      </c>
    </row>
    <row r="29" spans="1:14" ht="12.75">
      <c r="A29" s="121"/>
      <c r="B29" s="30" t="s">
        <v>695</v>
      </c>
      <c r="C29" s="363">
        <v>900</v>
      </c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>
        <f t="shared" si="1"/>
        <v>900</v>
      </c>
    </row>
    <row r="30" spans="1:15" ht="12.75">
      <c r="A30" s="121" t="s">
        <v>263</v>
      </c>
      <c r="B30" s="184" t="s">
        <v>349</v>
      </c>
      <c r="C30" s="282">
        <f aca="true" t="shared" si="4" ref="C30:N30">SUM(C8+C16)</f>
        <v>20793</v>
      </c>
      <c r="D30" s="282">
        <f t="shared" si="4"/>
        <v>5653</v>
      </c>
      <c r="E30" s="282">
        <f t="shared" si="4"/>
        <v>0</v>
      </c>
      <c r="F30" s="282">
        <f t="shared" si="4"/>
        <v>0</v>
      </c>
      <c r="G30" s="282">
        <f t="shared" si="4"/>
        <v>15324</v>
      </c>
      <c r="H30" s="282">
        <f t="shared" si="4"/>
        <v>1164</v>
      </c>
      <c r="I30" s="282">
        <f t="shared" si="4"/>
        <v>0</v>
      </c>
      <c r="J30" s="282">
        <f t="shared" si="4"/>
        <v>0</v>
      </c>
      <c r="K30" s="282">
        <f t="shared" si="4"/>
        <v>0</v>
      </c>
      <c r="L30" s="282">
        <f>SUM(L8+L16)</f>
        <v>1004</v>
      </c>
      <c r="M30" s="282">
        <f t="shared" si="4"/>
        <v>2862</v>
      </c>
      <c r="N30" s="282">
        <f t="shared" si="4"/>
        <v>46800</v>
      </c>
      <c r="O30" s="51">
        <f>SUM(C30:M30)</f>
        <v>46800</v>
      </c>
    </row>
    <row r="31" spans="1:14" ht="12.75">
      <c r="A31" s="79"/>
      <c r="B31" s="30" t="s">
        <v>32</v>
      </c>
      <c r="C31" s="64">
        <f>6000+170+60+57+55</f>
        <v>6342</v>
      </c>
      <c r="D31" s="367">
        <f>1348+237</f>
        <v>1585</v>
      </c>
      <c r="E31" s="367"/>
      <c r="F31" s="367"/>
      <c r="G31" s="367">
        <f>3894-237-50</f>
        <v>3607</v>
      </c>
      <c r="H31" s="367">
        <f>270+50</f>
        <v>320</v>
      </c>
      <c r="I31" s="367"/>
      <c r="J31" s="367"/>
      <c r="K31" s="367"/>
      <c r="L31" s="367">
        <v>260</v>
      </c>
      <c r="M31" s="367">
        <f>770</f>
        <v>770</v>
      </c>
      <c r="N31" s="367">
        <f>SUM(C31:M31)</f>
        <v>12884</v>
      </c>
    </row>
    <row r="32" spans="1:14" ht="12.75" hidden="1">
      <c r="A32" s="79"/>
      <c r="B32" s="30" t="s">
        <v>502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>
        <f>SUM(C32:M32)</f>
        <v>0</v>
      </c>
    </row>
    <row r="33" spans="1:14" ht="12.75">
      <c r="A33" s="79"/>
      <c r="B33" s="30" t="s">
        <v>155</v>
      </c>
      <c r="C33" s="367">
        <v>560</v>
      </c>
      <c r="D33" s="367">
        <v>70</v>
      </c>
      <c r="E33" s="367"/>
      <c r="F33" s="367"/>
      <c r="G33" s="367">
        <f>200-10</f>
        <v>190</v>
      </c>
      <c r="H33" s="367">
        <v>35</v>
      </c>
      <c r="I33" s="367"/>
      <c r="J33" s="367"/>
      <c r="K33" s="367"/>
      <c r="L33" s="367">
        <v>10</v>
      </c>
      <c r="M33" s="367"/>
      <c r="N33" s="367">
        <f>SUM(C33:M33)</f>
        <v>865</v>
      </c>
    </row>
    <row r="34" spans="1:15" ht="12.75">
      <c r="A34" s="121" t="s">
        <v>264</v>
      </c>
      <c r="B34" s="184" t="s">
        <v>140</v>
      </c>
      <c r="C34" s="282">
        <f>SUM(C31:C33)</f>
        <v>6902</v>
      </c>
      <c r="D34" s="282">
        <f aca="true" t="shared" si="5" ref="D34:N34">SUM(D31:D33)</f>
        <v>1655</v>
      </c>
      <c r="E34" s="282">
        <f t="shared" si="5"/>
        <v>0</v>
      </c>
      <c r="F34" s="282">
        <f t="shared" si="5"/>
        <v>0</v>
      </c>
      <c r="G34" s="282">
        <f t="shared" si="5"/>
        <v>3797</v>
      </c>
      <c r="H34" s="282">
        <f t="shared" si="5"/>
        <v>355</v>
      </c>
      <c r="I34" s="282">
        <f t="shared" si="5"/>
        <v>0</v>
      </c>
      <c r="J34" s="282">
        <f t="shared" si="5"/>
        <v>0</v>
      </c>
      <c r="K34" s="282">
        <f t="shared" si="5"/>
        <v>0</v>
      </c>
      <c r="L34" s="282">
        <f>SUM(L31:L33)</f>
        <v>270</v>
      </c>
      <c r="M34" s="282">
        <f t="shared" si="5"/>
        <v>770</v>
      </c>
      <c r="N34" s="282">
        <f t="shared" si="5"/>
        <v>13749</v>
      </c>
      <c r="O34" s="51">
        <f>SUM(C34:M34)</f>
        <v>13749</v>
      </c>
    </row>
    <row r="35" spans="1:14" ht="12.75">
      <c r="A35" s="121" t="s">
        <v>315</v>
      </c>
      <c r="B35" s="34" t="s">
        <v>337</v>
      </c>
      <c r="C35" s="115">
        <f>SUM(C36:C43)</f>
        <v>2734</v>
      </c>
      <c r="D35" s="115">
        <f aca="true" t="shared" si="6" ref="D35:N35">SUM(D36:D43)</f>
        <v>30</v>
      </c>
      <c r="E35" s="115">
        <f t="shared" si="6"/>
        <v>0</v>
      </c>
      <c r="F35" s="115">
        <f t="shared" si="6"/>
        <v>120</v>
      </c>
      <c r="G35" s="115">
        <f t="shared" si="6"/>
        <v>512</v>
      </c>
      <c r="H35" s="115">
        <f t="shared" si="6"/>
        <v>0</v>
      </c>
      <c r="I35" s="115">
        <f t="shared" si="6"/>
        <v>0</v>
      </c>
      <c r="J35" s="115">
        <f t="shared" si="6"/>
        <v>0</v>
      </c>
      <c r="K35" s="115">
        <f t="shared" si="6"/>
        <v>40</v>
      </c>
      <c r="L35" s="115">
        <f>SUM(L36:L43)</f>
        <v>242</v>
      </c>
      <c r="M35" s="115">
        <f t="shared" si="6"/>
        <v>0</v>
      </c>
      <c r="N35" s="115">
        <f t="shared" si="6"/>
        <v>3678</v>
      </c>
    </row>
    <row r="36" spans="1:14" ht="12.75">
      <c r="A36" s="79" t="s">
        <v>316</v>
      </c>
      <c r="B36" s="30" t="s">
        <v>552</v>
      </c>
      <c r="C36" s="363">
        <f>200+115+35</f>
        <v>350</v>
      </c>
      <c r="D36" s="283">
        <v>0</v>
      </c>
      <c r="E36" s="367"/>
      <c r="F36" s="367">
        <f>50-10-20</f>
        <v>20</v>
      </c>
      <c r="G36" s="367">
        <v>10</v>
      </c>
      <c r="H36" s="367"/>
      <c r="I36" s="367"/>
      <c r="J36" s="367"/>
      <c r="K36" s="367"/>
      <c r="L36" s="367">
        <f>150+72+20</f>
        <v>242</v>
      </c>
      <c r="M36" s="367"/>
      <c r="N36" s="367">
        <f aca="true" t="shared" si="7" ref="N36:N43">SUM(C36:M36)</f>
        <v>622</v>
      </c>
    </row>
    <row r="37" spans="1:14" ht="12.75">
      <c r="A37" s="79" t="s">
        <v>317</v>
      </c>
      <c r="B37" s="30" t="s">
        <v>338</v>
      </c>
      <c r="C37" s="283"/>
      <c r="D37" s="283"/>
      <c r="E37" s="367"/>
      <c r="F37" s="367"/>
      <c r="G37" s="367"/>
      <c r="H37" s="367"/>
      <c r="I37" s="367"/>
      <c r="J37" s="367"/>
      <c r="K37" s="367"/>
      <c r="L37" s="367"/>
      <c r="M37" s="367"/>
      <c r="N37" s="367">
        <f t="shared" si="7"/>
        <v>0</v>
      </c>
    </row>
    <row r="38" spans="1:14" ht="12.75">
      <c r="A38" s="79"/>
      <c r="B38" s="30" t="s">
        <v>661</v>
      </c>
      <c r="C38" s="283">
        <f>100+400+10</f>
        <v>510</v>
      </c>
      <c r="D38" s="283">
        <f>10-10</f>
        <v>0</v>
      </c>
      <c r="E38" s="367"/>
      <c r="F38" s="367"/>
      <c r="G38" s="367"/>
      <c r="H38" s="367"/>
      <c r="I38" s="367"/>
      <c r="J38" s="367"/>
      <c r="K38" s="367"/>
      <c r="L38" s="367"/>
      <c r="M38" s="367"/>
      <c r="N38" s="367">
        <f t="shared" si="7"/>
        <v>510</v>
      </c>
    </row>
    <row r="39" spans="1:14" ht="12.75">
      <c r="A39" s="79"/>
      <c r="B39" s="30" t="s">
        <v>360</v>
      </c>
      <c r="C39" s="283">
        <v>100</v>
      </c>
      <c r="D39" s="283"/>
      <c r="E39" s="367"/>
      <c r="F39" s="367"/>
      <c r="G39" s="367">
        <v>100</v>
      </c>
      <c r="H39" s="367"/>
      <c r="I39" s="367"/>
      <c r="J39" s="367"/>
      <c r="K39" s="367"/>
      <c r="L39" s="367"/>
      <c r="M39" s="367"/>
      <c r="N39" s="367">
        <f t="shared" si="7"/>
        <v>200</v>
      </c>
    </row>
    <row r="40" spans="1:14" ht="12.75">
      <c r="A40" s="79"/>
      <c r="B40" s="30" t="s">
        <v>361</v>
      </c>
      <c r="C40" s="283">
        <f>1200-2</f>
        <v>1198</v>
      </c>
      <c r="D40" s="283"/>
      <c r="E40" s="367"/>
      <c r="F40" s="367"/>
      <c r="G40" s="367">
        <v>2</v>
      </c>
      <c r="H40" s="367"/>
      <c r="I40" s="367"/>
      <c r="J40" s="367"/>
      <c r="K40" s="367"/>
      <c r="L40" s="367"/>
      <c r="M40" s="367"/>
      <c r="N40" s="367">
        <f t="shared" si="7"/>
        <v>1200</v>
      </c>
    </row>
    <row r="41" spans="1:14" ht="12.75">
      <c r="A41" s="79"/>
      <c r="B41" s="30" t="s">
        <v>660</v>
      </c>
      <c r="C41" s="283">
        <f>700-400</f>
        <v>300</v>
      </c>
      <c r="D41" s="283">
        <v>0</v>
      </c>
      <c r="E41" s="367"/>
      <c r="F41" s="367">
        <v>100</v>
      </c>
      <c r="G41" s="367">
        <v>400</v>
      </c>
      <c r="H41" s="367"/>
      <c r="I41" s="367"/>
      <c r="J41" s="367"/>
      <c r="K41" s="367">
        <v>40</v>
      </c>
      <c r="L41" s="367"/>
      <c r="M41" s="367"/>
      <c r="N41" s="367">
        <f t="shared" si="7"/>
        <v>840</v>
      </c>
    </row>
    <row r="42" spans="1:14" ht="12.75">
      <c r="A42" s="79"/>
      <c r="B42" s="30" t="s">
        <v>388</v>
      </c>
      <c r="C42" s="283">
        <v>30</v>
      </c>
      <c r="D42" s="283">
        <v>30</v>
      </c>
      <c r="E42" s="367"/>
      <c r="F42" s="367"/>
      <c r="G42" s="367"/>
      <c r="H42" s="367"/>
      <c r="I42" s="367"/>
      <c r="J42" s="367"/>
      <c r="K42" s="367"/>
      <c r="L42" s="367"/>
      <c r="M42" s="367"/>
      <c r="N42" s="367">
        <f t="shared" si="7"/>
        <v>60</v>
      </c>
    </row>
    <row r="43" spans="1:14" ht="12.75">
      <c r="A43" s="79"/>
      <c r="B43" s="30" t="s">
        <v>662</v>
      </c>
      <c r="C43" s="283">
        <v>246</v>
      </c>
      <c r="D43" s="283"/>
      <c r="E43" s="367"/>
      <c r="F43" s="367"/>
      <c r="G43" s="367"/>
      <c r="H43" s="367"/>
      <c r="I43" s="367"/>
      <c r="J43" s="367"/>
      <c r="K43" s="367"/>
      <c r="L43" s="367"/>
      <c r="M43" s="367"/>
      <c r="N43" s="367">
        <f t="shared" si="7"/>
        <v>246</v>
      </c>
    </row>
    <row r="44" spans="1:15" ht="12.75">
      <c r="A44" s="121" t="s">
        <v>318</v>
      </c>
      <c r="B44" s="34" t="s">
        <v>340</v>
      </c>
      <c r="C44" s="115">
        <f>SUM(C45:C47)</f>
        <v>950</v>
      </c>
      <c r="D44" s="115">
        <f aca="true" t="shared" si="8" ref="D44:N44">SUM(D45:D47)</f>
        <v>0</v>
      </c>
      <c r="E44" s="115">
        <f t="shared" si="8"/>
        <v>0</v>
      </c>
      <c r="F44" s="115">
        <f t="shared" si="8"/>
        <v>15</v>
      </c>
      <c r="G44" s="115">
        <f t="shared" si="8"/>
        <v>215</v>
      </c>
      <c r="H44" s="115">
        <f t="shared" si="8"/>
        <v>0</v>
      </c>
      <c r="I44" s="115">
        <f t="shared" si="8"/>
        <v>0</v>
      </c>
      <c r="J44" s="115">
        <f t="shared" si="8"/>
        <v>0</v>
      </c>
      <c r="K44" s="115">
        <f t="shared" si="8"/>
        <v>25</v>
      </c>
      <c r="L44" s="115">
        <f t="shared" si="8"/>
        <v>0</v>
      </c>
      <c r="M44" s="115">
        <f t="shared" si="8"/>
        <v>0</v>
      </c>
      <c r="N44" s="115">
        <f t="shared" si="8"/>
        <v>1205</v>
      </c>
      <c r="O44" s="51">
        <f>SUM(C44:M44)</f>
        <v>1205</v>
      </c>
    </row>
    <row r="45" spans="1:14" ht="12.75">
      <c r="A45" s="79" t="s">
        <v>319</v>
      </c>
      <c r="B45" s="30" t="s">
        <v>392</v>
      </c>
      <c r="C45" s="283">
        <v>250</v>
      </c>
      <c r="D45" s="387"/>
      <c r="E45" s="367"/>
      <c r="F45" s="367"/>
      <c r="G45" s="64">
        <f>150-35</f>
        <v>115</v>
      </c>
      <c r="H45" s="367"/>
      <c r="I45" s="367"/>
      <c r="J45" s="367"/>
      <c r="K45" s="367"/>
      <c r="L45" s="367"/>
      <c r="M45" s="367"/>
      <c r="N45" s="367">
        <f>SUM(C45:M45)</f>
        <v>365</v>
      </c>
    </row>
    <row r="46" spans="1:14" ht="12.75">
      <c r="A46" s="79"/>
      <c r="B46" s="30" t="s">
        <v>663</v>
      </c>
      <c r="C46" s="283">
        <v>150</v>
      </c>
      <c r="D46" s="387"/>
      <c r="E46" s="367"/>
      <c r="F46" s="367"/>
      <c r="G46" s="367"/>
      <c r="H46" s="367"/>
      <c r="I46" s="367"/>
      <c r="J46" s="367"/>
      <c r="K46" s="367"/>
      <c r="L46" s="367"/>
      <c r="M46" s="367"/>
      <c r="N46" s="367">
        <f>SUM(C46:M46)</f>
        <v>150</v>
      </c>
    </row>
    <row r="47" spans="1:14" ht="12.75">
      <c r="A47" s="79" t="s">
        <v>320</v>
      </c>
      <c r="B47" s="30" t="s">
        <v>363</v>
      </c>
      <c r="C47" s="283">
        <f>500+50</f>
        <v>550</v>
      </c>
      <c r="D47" s="387"/>
      <c r="E47" s="367"/>
      <c r="F47" s="367">
        <v>15</v>
      </c>
      <c r="G47" s="367">
        <v>100</v>
      </c>
      <c r="H47" s="367"/>
      <c r="I47" s="367"/>
      <c r="J47" s="367"/>
      <c r="K47" s="367">
        <f>75-50</f>
        <v>25</v>
      </c>
      <c r="L47" s="367"/>
      <c r="M47" s="367"/>
      <c r="N47" s="367">
        <f>SUM(C47:M47)</f>
        <v>690</v>
      </c>
    </row>
    <row r="48" spans="1:15" ht="12.75">
      <c r="A48" s="121" t="s">
        <v>321</v>
      </c>
      <c r="B48" s="34" t="s">
        <v>342</v>
      </c>
      <c r="C48" s="115">
        <f aca="true" t="shared" si="9" ref="C48:N48">SUM(C49:C101)</f>
        <v>96258</v>
      </c>
      <c r="D48" s="115">
        <f t="shared" si="9"/>
        <v>0</v>
      </c>
      <c r="E48" s="115">
        <f t="shared" si="9"/>
        <v>5930</v>
      </c>
      <c r="F48" s="115">
        <f t="shared" si="9"/>
        <v>9754</v>
      </c>
      <c r="G48" s="115">
        <f t="shared" si="9"/>
        <v>13985</v>
      </c>
      <c r="H48" s="115">
        <f t="shared" si="9"/>
        <v>10000</v>
      </c>
      <c r="I48" s="115">
        <f t="shared" si="9"/>
        <v>0</v>
      </c>
      <c r="J48" s="115">
        <f t="shared" si="9"/>
        <v>2640</v>
      </c>
      <c r="K48" s="115">
        <f t="shared" si="9"/>
        <v>0</v>
      </c>
      <c r="L48" s="115">
        <f t="shared" si="9"/>
        <v>35</v>
      </c>
      <c r="M48" s="115">
        <f t="shared" si="9"/>
        <v>0</v>
      </c>
      <c r="N48" s="115">
        <f t="shared" si="9"/>
        <v>138602</v>
      </c>
      <c r="O48" s="51">
        <f>SUM(C48:M48)</f>
        <v>138602</v>
      </c>
    </row>
    <row r="49" spans="1:14" ht="12.75">
      <c r="A49" s="79" t="s">
        <v>322</v>
      </c>
      <c r="B49" s="30" t="s">
        <v>359</v>
      </c>
      <c r="C49" s="283">
        <v>3000</v>
      </c>
      <c r="D49" s="387"/>
      <c r="E49" s="367">
        <f>11500-5570</f>
        <v>5930</v>
      </c>
      <c r="F49" s="367">
        <v>400</v>
      </c>
      <c r="G49" s="367">
        <f>2100+5570</f>
        <v>7670</v>
      </c>
      <c r="H49" s="367"/>
      <c r="I49" s="367"/>
      <c r="J49" s="367"/>
      <c r="K49" s="64">
        <f>2000-2000</f>
        <v>0</v>
      </c>
      <c r="L49" s="367"/>
      <c r="M49" s="367"/>
      <c r="N49" s="367">
        <f>SUM(C49:M49)</f>
        <v>17000</v>
      </c>
    </row>
    <row r="50" spans="1:14" ht="12.75">
      <c r="A50" s="79"/>
      <c r="B50" s="30" t="s">
        <v>664</v>
      </c>
      <c r="C50" s="363">
        <f>1160+48</f>
        <v>1208</v>
      </c>
      <c r="D50" s="387"/>
      <c r="E50" s="367"/>
      <c r="F50" s="367"/>
      <c r="G50" s="555"/>
      <c r="H50" s="367"/>
      <c r="I50" s="367"/>
      <c r="J50" s="367"/>
      <c r="K50" s="367"/>
      <c r="L50" s="367"/>
      <c r="M50" s="367"/>
      <c r="N50" s="367">
        <f>SUM(C50:M50)</f>
        <v>1208</v>
      </c>
    </row>
    <row r="51" spans="1:14" ht="12.75">
      <c r="A51" s="79" t="s">
        <v>386</v>
      </c>
      <c r="B51" s="30" t="s">
        <v>387</v>
      </c>
      <c r="C51" s="283"/>
      <c r="D51" s="387"/>
      <c r="E51" s="367"/>
      <c r="F51" s="367"/>
      <c r="G51" s="367"/>
      <c r="H51" s="367">
        <v>10000</v>
      </c>
      <c r="I51" s="367"/>
      <c r="J51" s="367"/>
      <c r="K51" s="367"/>
      <c r="L51" s="367"/>
      <c r="M51" s="367"/>
      <c r="N51" s="367">
        <f aca="true" t="shared" si="10" ref="N51:N117">SUM(C51:M51)</f>
        <v>10000</v>
      </c>
    </row>
    <row r="52" spans="1:14" ht="12.75">
      <c r="A52" s="79" t="s">
        <v>323</v>
      </c>
      <c r="B52" s="30" t="s">
        <v>358</v>
      </c>
      <c r="C52" s="283">
        <f>200+400</f>
        <v>600</v>
      </c>
      <c r="D52" s="387"/>
      <c r="E52" s="367"/>
      <c r="F52" s="367"/>
      <c r="G52" s="367">
        <f>600-400</f>
        <v>200</v>
      </c>
      <c r="H52" s="367"/>
      <c r="I52" s="367"/>
      <c r="J52" s="367"/>
      <c r="K52" s="367"/>
      <c r="L52" s="367"/>
      <c r="M52" s="367"/>
      <c r="N52" s="367">
        <f t="shared" si="10"/>
        <v>800</v>
      </c>
    </row>
    <row r="53" spans="1:14" ht="12.75">
      <c r="A53" s="79" t="s">
        <v>324</v>
      </c>
      <c r="B53" s="30" t="s">
        <v>357</v>
      </c>
      <c r="C53" s="283">
        <v>1000</v>
      </c>
      <c r="D53" s="387"/>
      <c r="E53" s="367"/>
      <c r="F53" s="367">
        <v>50</v>
      </c>
      <c r="G53" s="367">
        <v>700</v>
      </c>
      <c r="H53" s="367"/>
      <c r="I53" s="367"/>
      <c r="J53" s="367"/>
      <c r="K53" s="367"/>
      <c r="L53" s="367"/>
      <c r="M53" s="367"/>
      <c r="N53" s="367">
        <f t="shared" si="10"/>
        <v>1750</v>
      </c>
    </row>
    <row r="54" spans="1:14" ht="12.75">
      <c r="A54" s="79"/>
      <c r="B54" s="30" t="s">
        <v>533</v>
      </c>
      <c r="C54" s="283"/>
      <c r="D54" s="387"/>
      <c r="E54" s="367"/>
      <c r="F54" s="367"/>
      <c r="G54" s="367">
        <v>796</v>
      </c>
      <c r="H54" s="367"/>
      <c r="I54" s="367"/>
      <c r="J54" s="367"/>
      <c r="K54" s="367"/>
      <c r="L54" s="367"/>
      <c r="M54" s="367"/>
      <c r="N54" s="367">
        <f t="shared" si="10"/>
        <v>796</v>
      </c>
    </row>
    <row r="55" spans="1:14" ht="12.75">
      <c r="A55" s="79"/>
      <c r="B55" s="30" t="s">
        <v>665</v>
      </c>
      <c r="C55" s="283">
        <v>225</v>
      </c>
      <c r="D55" s="387"/>
      <c r="E55" s="367"/>
      <c r="F55" s="367"/>
      <c r="G55" s="367"/>
      <c r="H55" s="367"/>
      <c r="I55" s="367"/>
      <c r="J55" s="367"/>
      <c r="K55" s="367"/>
      <c r="L55" s="367"/>
      <c r="M55" s="367"/>
      <c r="N55" s="367">
        <f t="shared" si="10"/>
        <v>225</v>
      </c>
    </row>
    <row r="56" spans="1:14" ht="12.75">
      <c r="A56" s="79" t="s">
        <v>325</v>
      </c>
      <c r="B56" s="30" t="s">
        <v>356</v>
      </c>
      <c r="C56" s="283"/>
      <c r="D56" s="387"/>
      <c r="E56" s="367"/>
      <c r="F56" s="367"/>
      <c r="G56" s="367"/>
      <c r="H56" s="367"/>
      <c r="I56" s="367"/>
      <c r="J56" s="367"/>
      <c r="K56" s="367"/>
      <c r="L56" s="367"/>
      <c r="M56" s="367"/>
      <c r="N56" s="367">
        <f t="shared" si="10"/>
        <v>0</v>
      </c>
    </row>
    <row r="57" spans="1:14" ht="12.75">
      <c r="A57" s="79" t="s">
        <v>326</v>
      </c>
      <c r="B57" s="30" t="s">
        <v>355</v>
      </c>
      <c r="C57" s="363">
        <v>996</v>
      </c>
      <c r="D57" s="387"/>
      <c r="E57" s="367"/>
      <c r="F57" s="64">
        <v>4</v>
      </c>
      <c r="G57" s="367"/>
      <c r="H57" s="367"/>
      <c r="I57" s="367"/>
      <c r="J57" s="367"/>
      <c r="K57" s="367"/>
      <c r="L57" s="367"/>
      <c r="M57" s="367"/>
      <c r="N57" s="367">
        <f t="shared" si="10"/>
        <v>1000</v>
      </c>
    </row>
    <row r="58" spans="1:14" ht="12.75">
      <c r="A58" s="79"/>
      <c r="B58" s="30" t="s">
        <v>368</v>
      </c>
      <c r="C58" s="363">
        <f>1230+24</f>
        <v>1254</v>
      </c>
      <c r="D58" s="387"/>
      <c r="E58" s="367"/>
      <c r="F58" s="367"/>
      <c r="G58" s="367"/>
      <c r="H58" s="367"/>
      <c r="I58" s="367"/>
      <c r="J58" s="367"/>
      <c r="K58" s="367"/>
      <c r="L58" s="367"/>
      <c r="M58" s="367"/>
      <c r="N58" s="367">
        <f t="shared" si="10"/>
        <v>1254</v>
      </c>
    </row>
    <row r="59" spans="1:14" s="11" customFormat="1" ht="12.75">
      <c r="A59" s="79"/>
      <c r="B59" s="30" t="s">
        <v>369</v>
      </c>
      <c r="C59" s="283">
        <v>720</v>
      </c>
      <c r="D59" s="387"/>
      <c r="E59" s="367"/>
      <c r="F59" s="367"/>
      <c r="G59" s="367"/>
      <c r="H59" s="367"/>
      <c r="I59" s="367"/>
      <c r="J59" s="367"/>
      <c r="K59" s="367"/>
      <c r="L59" s="367"/>
      <c r="M59" s="367"/>
      <c r="N59" s="367">
        <f t="shared" si="10"/>
        <v>720</v>
      </c>
    </row>
    <row r="60" spans="1:14" s="11" customFormat="1" ht="12.75">
      <c r="A60" s="79"/>
      <c r="B60" s="30" t="s">
        <v>400</v>
      </c>
      <c r="C60" s="283">
        <v>1000</v>
      </c>
      <c r="D60" s="387"/>
      <c r="E60" s="367"/>
      <c r="F60" s="367"/>
      <c r="G60" s="367"/>
      <c r="H60" s="367"/>
      <c r="I60" s="367"/>
      <c r="J60" s="367"/>
      <c r="K60" s="367"/>
      <c r="L60" s="367"/>
      <c r="M60" s="367"/>
      <c r="N60" s="367">
        <f t="shared" si="10"/>
        <v>1000</v>
      </c>
    </row>
    <row r="61" spans="1:14" s="11" customFormat="1" ht="12.75">
      <c r="A61" s="79"/>
      <c r="B61" s="30" t="s">
        <v>391</v>
      </c>
      <c r="C61" s="530"/>
      <c r="D61" s="387"/>
      <c r="E61" s="367"/>
      <c r="F61" s="283">
        <v>1200</v>
      </c>
      <c r="G61" s="367"/>
      <c r="H61" s="367"/>
      <c r="I61" s="367"/>
      <c r="J61" s="367"/>
      <c r="K61" s="367"/>
      <c r="L61" s="367"/>
      <c r="M61" s="367"/>
      <c r="N61" s="367">
        <f t="shared" si="10"/>
        <v>1200</v>
      </c>
    </row>
    <row r="62" spans="1:14" s="11" customFormat="1" ht="12.75">
      <c r="A62" s="79"/>
      <c r="B62" s="30" t="s">
        <v>114</v>
      </c>
      <c r="C62" s="530"/>
      <c r="D62" s="387"/>
      <c r="E62" s="367"/>
      <c r="F62" s="283">
        <v>900</v>
      </c>
      <c r="G62" s="367"/>
      <c r="H62" s="367"/>
      <c r="I62" s="367"/>
      <c r="J62" s="367"/>
      <c r="K62" s="367"/>
      <c r="L62" s="367"/>
      <c r="M62" s="367"/>
      <c r="N62" s="367">
        <f t="shared" si="10"/>
        <v>900</v>
      </c>
    </row>
    <row r="63" spans="1:14" s="11" customFormat="1" ht="12.75">
      <c r="A63" s="79"/>
      <c r="B63" s="30" t="s">
        <v>115</v>
      </c>
      <c r="C63" s="530"/>
      <c r="D63" s="387"/>
      <c r="E63" s="367"/>
      <c r="F63" s="283">
        <v>800</v>
      </c>
      <c r="G63" s="367"/>
      <c r="H63" s="367"/>
      <c r="I63" s="367"/>
      <c r="J63" s="367"/>
      <c r="K63" s="367"/>
      <c r="L63" s="367"/>
      <c r="M63" s="367"/>
      <c r="N63" s="367">
        <f t="shared" si="10"/>
        <v>800</v>
      </c>
    </row>
    <row r="64" spans="1:14" s="11" customFormat="1" ht="12.75">
      <c r="A64" s="79"/>
      <c r="B64" s="30" t="s">
        <v>116</v>
      </c>
      <c r="C64" s="530"/>
      <c r="D64" s="387"/>
      <c r="E64" s="367"/>
      <c r="F64" s="283">
        <v>1200</v>
      </c>
      <c r="G64" s="367"/>
      <c r="H64" s="367"/>
      <c r="I64" s="367"/>
      <c r="J64" s="367"/>
      <c r="K64" s="367"/>
      <c r="L64" s="367"/>
      <c r="M64" s="367"/>
      <c r="N64" s="367">
        <f t="shared" si="10"/>
        <v>1200</v>
      </c>
    </row>
    <row r="65" spans="1:14" s="11" customFormat="1" ht="12.75">
      <c r="A65" s="79"/>
      <c r="B65" s="30" t="s">
        <v>548</v>
      </c>
      <c r="C65" s="530"/>
      <c r="D65" s="387"/>
      <c r="E65" s="367"/>
      <c r="F65" s="283">
        <v>4700</v>
      </c>
      <c r="G65" s="367"/>
      <c r="H65" s="367"/>
      <c r="I65" s="367"/>
      <c r="J65" s="367"/>
      <c r="K65" s="367"/>
      <c r="L65" s="367"/>
      <c r="M65" s="367"/>
      <c r="N65" s="367">
        <f t="shared" si="10"/>
        <v>4700</v>
      </c>
    </row>
    <row r="66" spans="1:14" s="11" customFormat="1" ht="12.75">
      <c r="A66" s="79"/>
      <c r="B66" s="30" t="s">
        <v>394</v>
      </c>
      <c r="C66" s="563">
        <f>100+35</f>
        <v>135</v>
      </c>
      <c r="D66" s="387"/>
      <c r="E66" s="367"/>
      <c r="F66" s="283"/>
      <c r="G66" s="367"/>
      <c r="H66" s="367"/>
      <c r="I66" s="367"/>
      <c r="J66" s="367"/>
      <c r="K66" s="367"/>
      <c r="L66" s="367"/>
      <c r="M66" s="367"/>
      <c r="N66" s="367">
        <f t="shared" si="10"/>
        <v>135</v>
      </c>
    </row>
    <row r="67" spans="1:14" s="11" customFormat="1" ht="12.75">
      <c r="A67" s="79"/>
      <c r="B67" s="30" t="s">
        <v>371</v>
      </c>
      <c r="C67" s="530"/>
      <c r="D67" s="387"/>
      <c r="E67" s="367"/>
      <c r="F67" s="283">
        <v>500</v>
      </c>
      <c r="G67" s="367"/>
      <c r="H67" s="367"/>
      <c r="I67" s="367"/>
      <c r="J67" s="367"/>
      <c r="K67" s="367"/>
      <c r="L67" s="367"/>
      <c r="M67" s="367"/>
      <c r="N67" s="367">
        <f t="shared" si="10"/>
        <v>500</v>
      </c>
    </row>
    <row r="68" spans="1:14" s="11" customFormat="1" ht="12.75">
      <c r="A68" s="79"/>
      <c r="B68" s="30" t="s">
        <v>544</v>
      </c>
      <c r="C68" s="363">
        <f>2000+1500</f>
        <v>3500</v>
      </c>
      <c r="D68" s="387"/>
      <c r="E68" s="367"/>
      <c r="F68" s="283"/>
      <c r="G68" s="367"/>
      <c r="H68" s="367"/>
      <c r="I68" s="367"/>
      <c r="J68" s="367"/>
      <c r="K68" s="367"/>
      <c r="L68" s="367"/>
      <c r="M68" s="367"/>
      <c r="N68" s="367">
        <f t="shared" si="10"/>
        <v>3500</v>
      </c>
    </row>
    <row r="69" spans="1:14" s="11" customFormat="1" ht="12.75">
      <c r="A69" s="79"/>
      <c r="B69" s="30" t="s">
        <v>397</v>
      </c>
      <c r="C69" s="283"/>
      <c r="D69" s="387"/>
      <c r="E69" s="367"/>
      <c r="F69" s="283"/>
      <c r="G69" s="367"/>
      <c r="H69" s="367"/>
      <c r="I69" s="367"/>
      <c r="J69" s="367">
        <v>2640</v>
      </c>
      <c r="K69" s="367"/>
      <c r="L69" s="367"/>
      <c r="M69" s="367"/>
      <c r="N69" s="367">
        <f t="shared" si="10"/>
        <v>2640</v>
      </c>
    </row>
    <row r="70" spans="1:14" s="11" customFormat="1" ht="12.75">
      <c r="A70" s="79"/>
      <c r="B70" s="30" t="s">
        <v>377</v>
      </c>
      <c r="C70" s="530">
        <v>605</v>
      </c>
      <c r="D70" s="387"/>
      <c r="E70" s="367"/>
      <c r="F70" s="283"/>
      <c r="G70" s="367"/>
      <c r="H70" s="367"/>
      <c r="I70" s="367"/>
      <c r="J70" s="367"/>
      <c r="K70" s="367"/>
      <c r="L70" s="367"/>
      <c r="M70" s="367"/>
      <c r="N70" s="367">
        <f t="shared" si="10"/>
        <v>605</v>
      </c>
    </row>
    <row r="71" spans="1:14" s="11" customFormat="1" ht="12.75">
      <c r="A71" s="79"/>
      <c r="B71" s="30" t="s">
        <v>551</v>
      </c>
      <c r="C71" s="64">
        <f>2000-35-270-450-1000</f>
        <v>245</v>
      </c>
      <c r="D71" s="387"/>
      <c r="E71" s="367"/>
      <c r="F71" s="283"/>
      <c r="G71" s="367"/>
      <c r="H71" s="367"/>
      <c r="I71" s="367"/>
      <c r="J71" s="367"/>
      <c r="K71" s="367"/>
      <c r="L71" s="367"/>
      <c r="M71" s="367"/>
      <c r="N71" s="367">
        <f t="shared" si="10"/>
        <v>245</v>
      </c>
    </row>
    <row r="72" spans="1:14" s="11" customFormat="1" ht="12.75">
      <c r="A72" s="79"/>
      <c r="B72" s="30" t="s">
        <v>540</v>
      </c>
      <c r="C72" s="283">
        <v>7000</v>
      </c>
      <c r="D72" s="387"/>
      <c r="E72" s="367"/>
      <c r="F72" s="283"/>
      <c r="G72" s="367"/>
      <c r="H72" s="367"/>
      <c r="I72" s="367"/>
      <c r="J72" s="367"/>
      <c r="K72" s="367"/>
      <c r="L72" s="367"/>
      <c r="M72" s="367"/>
      <c r="N72" s="367">
        <f t="shared" si="10"/>
        <v>7000</v>
      </c>
    </row>
    <row r="73" spans="1:14" s="11" customFormat="1" ht="12.75">
      <c r="A73" s="79"/>
      <c r="B73" s="30" t="s">
        <v>550</v>
      </c>
      <c r="C73" s="283">
        <v>2000</v>
      </c>
      <c r="D73" s="387"/>
      <c r="E73" s="367"/>
      <c r="F73" s="283"/>
      <c r="G73" s="367"/>
      <c r="H73" s="367"/>
      <c r="I73" s="367"/>
      <c r="J73" s="367"/>
      <c r="K73" s="367"/>
      <c r="L73" s="367"/>
      <c r="M73" s="367"/>
      <c r="N73" s="367">
        <f t="shared" si="10"/>
        <v>2000</v>
      </c>
    </row>
    <row r="74" spans="1:14" s="11" customFormat="1" ht="12.75">
      <c r="A74" s="79"/>
      <c r="B74" s="30" t="s">
        <v>537</v>
      </c>
      <c r="C74" s="283">
        <v>500</v>
      </c>
      <c r="D74" s="387"/>
      <c r="E74" s="367"/>
      <c r="F74" s="283"/>
      <c r="G74" s="367"/>
      <c r="H74" s="367"/>
      <c r="I74" s="367"/>
      <c r="J74" s="367"/>
      <c r="K74" s="367"/>
      <c r="L74" s="367"/>
      <c r="M74" s="367"/>
      <c r="N74" s="367">
        <f t="shared" si="10"/>
        <v>500</v>
      </c>
    </row>
    <row r="75" spans="1:14" s="11" customFormat="1" ht="12.75">
      <c r="A75" s="79"/>
      <c r="B75" s="30" t="s">
        <v>538</v>
      </c>
      <c r="C75" s="283">
        <v>3000</v>
      </c>
      <c r="D75" s="387"/>
      <c r="E75" s="367"/>
      <c r="F75" s="283"/>
      <c r="G75" s="367"/>
      <c r="H75" s="367"/>
      <c r="I75" s="367"/>
      <c r="J75" s="367"/>
      <c r="K75" s="367"/>
      <c r="L75" s="367"/>
      <c r="M75" s="367"/>
      <c r="N75" s="367">
        <f t="shared" si="10"/>
        <v>3000</v>
      </c>
    </row>
    <row r="76" spans="1:14" s="11" customFormat="1" ht="12.75">
      <c r="A76" s="79"/>
      <c r="B76" s="30" t="s">
        <v>539</v>
      </c>
      <c r="C76" s="283">
        <v>2000</v>
      </c>
      <c r="D76" s="387"/>
      <c r="E76" s="367"/>
      <c r="F76" s="283"/>
      <c r="G76" s="367"/>
      <c r="H76" s="367"/>
      <c r="I76" s="367"/>
      <c r="J76" s="367"/>
      <c r="K76" s="367"/>
      <c r="L76" s="367"/>
      <c r="M76" s="367"/>
      <c r="N76" s="367">
        <f>SUM(C76:M76)</f>
        <v>2000</v>
      </c>
    </row>
    <row r="77" spans="1:14" s="11" customFormat="1" ht="25.5">
      <c r="A77" s="79"/>
      <c r="B77" s="186" t="s">
        <v>666</v>
      </c>
      <c r="C77" s="283">
        <f>5863+387</f>
        <v>6250</v>
      </c>
      <c r="D77" s="387"/>
      <c r="E77" s="367"/>
      <c r="F77" s="283"/>
      <c r="G77" s="367"/>
      <c r="H77" s="367"/>
      <c r="I77" s="367"/>
      <c r="J77" s="367"/>
      <c r="K77" s="367"/>
      <c r="L77" s="367"/>
      <c r="M77" s="367"/>
      <c r="N77" s="367">
        <f t="shared" si="10"/>
        <v>6250</v>
      </c>
    </row>
    <row r="78" spans="1:14" s="11" customFormat="1" ht="12.75">
      <c r="A78" s="79"/>
      <c r="B78" s="186" t="s">
        <v>684</v>
      </c>
      <c r="C78" s="363">
        <v>390</v>
      </c>
      <c r="D78" s="387"/>
      <c r="E78" s="367"/>
      <c r="F78" s="283"/>
      <c r="G78" s="367"/>
      <c r="H78" s="367"/>
      <c r="I78" s="367"/>
      <c r="J78" s="367"/>
      <c r="K78" s="367"/>
      <c r="L78" s="367"/>
      <c r="M78" s="367"/>
      <c r="N78" s="367">
        <f aca="true" t="shared" si="11" ref="N78:N84">SUM(C78:M78)</f>
        <v>390</v>
      </c>
    </row>
    <row r="79" spans="1:14" s="11" customFormat="1" ht="12.75">
      <c r="A79" s="79"/>
      <c r="B79" s="186" t="s">
        <v>690</v>
      </c>
      <c r="C79" s="363">
        <v>3696</v>
      </c>
      <c r="D79" s="387"/>
      <c r="E79" s="367"/>
      <c r="F79" s="283"/>
      <c r="G79" s="367"/>
      <c r="H79" s="367"/>
      <c r="I79" s="367"/>
      <c r="J79" s="367"/>
      <c r="K79" s="367"/>
      <c r="L79" s="367"/>
      <c r="M79" s="367"/>
      <c r="N79" s="367">
        <f t="shared" si="11"/>
        <v>3696</v>
      </c>
    </row>
    <row r="80" spans="1:14" s="11" customFormat="1" ht="12.75">
      <c r="A80" s="79"/>
      <c r="B80" s="30" t="s">
        <v>677</v>
      </c>
      <c r="C80" s="363">
        <v>421</v>
      </c>
      <c r="D80" s="387"/>
      <c r="E80" s="367"/>
      <c r="F80" s="283"/>
      <c r="G80" s="367"/>
      <c r="H80" s="367"/>
      <c r="I80" s="367"/>
      <c r="J80" s="367"/>
      <c r="K80" s="367"/>
      <c r="L80" s="367"/>
      <c r="M80" s="367"/>
      <c r="N80" s="367">
        <f t="shared" si="11"/>
        <v>421</v>
      </c>
    </row>
    <row r="81" spans="1:14" s="11" customFormat="1" ht="12.75">
      <c r="A81" s="79"/>
      <c r="B81" s="30" t="s">
        <v>393</v>
      </c>
      <c r="C81" s="363">
        <v>820</v>
      </c>
      <c r="D81" s="387"/>
      <c r="E81" s="367"/>
      <c r="F81" s="283"/>
      <c r="G81" s="367"/>
      <c r="H81" s="367"/>
      <c r="I81" s="367"/>
      <c r="J81" s="367"/>
      <c r="K81" s="367"/>
      <c r="L81" s="367"/>
      <c r="M81" s="367"/>
      <c r="N81" s="367">
        <f t="shared" si="11"/>
        <v>820</v>
      </c>
    </row>
    <row r="82" spans="1:14" s="11" customFormat="1" ht="12.75">
      <c r="A82" s="79"/>
      <c r="B82" s="30" t="s">
        <v>691</v>
      </c>
      <c r="C82" s="363">
        <v>270</v>
      </c>
      <c r="D82" s="387"/>
      <c r="E82" s="367"/>
      <c r="F82" s="283"/>
      <c r="G82" s="367"/>
      <c r="H82" s="367"/>
      <c r="I82" s="367"/>
      <c r="J82" s="367"/>
      <c r="K82" s="367"/>
      <c r="L82" s="367"/>
      <c r="M82" s="367"/>
      <c r="N82" s="367">
        <f t="shared" si="11"/>
        <v>270</v>
      </c>
    </row>
    <row r="83" spans="1:14" s="11" customFormat="1" ht="12.75">
      <c r="A83" s="79"/>
      <c r="B83" s="30" t="s">
        <v>692</v>
      </c>
      <c r="C83" s="363">
        <v>450</v>
      </c>
      <c r="D83" s="387"/>
      <c r="E83" s="367"/>
      <c r="F83" s="283"/>
      <c r="G83" s="367"/>
      <c r="H83" s="367"/>
      <c r="I83" s="367"/>
      <c r="J83" s="367"/>
      <c r="K83" s="367"/>
      <c r="L83" s="367"/>
      <c r="M83" s="367"/>
      <c r="N83" s="367">
        <f t="shared" si="11"/>
        <v>450</v>
      </c>
    </row>
    <row r="84" spans="1:14" s="11" customFormat="1" ht="12.75" hidden="1">
      <c r="A84" s="79"/>
      <c r="B84" s="30"/>
      <c r="C84" s="363"/>
      <c r="D84" s="387"/>
      <c r="E84" s="367"/>
      <c r="F84" s="283"/>
      <c r="G84" s="367"/>
      <c r="H84" s="367"/>
      <c r="I84" s="367"/>
      <c r="J84" s="367"/>
      <c r="K84" s="367"/>
      <c r="L84" s="367"/>
      <c r="M84" s="367"/>
      <c r="N84" s="367">
        <f t="shared" si="11"/>
        <v>0</v>
      </c>
    </row>
    <row r="85" spans="1:14" s="11" customFormat="1" ht="12.75" hidden="1">
      <c r="A85" s="79"/>
      <c r="B85" s="30"/>
      <c r="C85" s="363"/>
      <c r="D85" s="387"/>
      <c r="E85" s="367"/>
      <c r="F85" s="283"/>
      <c r="G85" s="367"/>
      <c r="H85" s="367"/>
      <c r="I85" s="367"/>
      <c r="J85" s="367"/>
      <c r="K85" s="367"/>
      <c r="L85" s="367"/>
      <c r="M85" s="367"/>
      <c r="N85" s="367">
        <f t="shared" si="10"/>
        <v>0</v>
      </c>
    </row>
    <row r="86" spans="1:14" s="11" customFormat="1" ht="25.5">
      <c r="A86" s="79"/>
      <c r="B86" s="389" t="s">
        <v>530</v>
      </c>
      <c r="C86" s="376">
        <f>SUM(D181)</f>
        <v>44817</v>
      </c>
      <c r="D86" s="564"/>
      <c r="E86" s="565"/>
      <c r="F86" s="133"/>
      <c r="G86" s="565"/>
      <c r="H86" s="565"/>
      <c r="I86" s="565"/>
      <c r="J86" s="565"/>
      <c r="K86" s="565"/>
      <c r="L86" s="565"/>
      <c r="M86" s="565"/>
      <c r="N86" s="565">
        <f t="shared" si="10"/>
        <v>44817</v>
      </c>
    </row>
    <row r="87" spans="1:14" s="11" customFormat="1" ht="12.75">
      <c r="A87" s="79" t="s">
        <v>327</v>
      </c>
      <c r="B87" s="30" t="s">
        <v>354</v>
      </c>
      <c r="C87" s="363">
        <v>800</v>
      </c>
      <c r="D87" s="387"/>
      <c r="E87" s="367"/>
      <c r="F87" s="367"/>
      <c r="G87" s="64">
        <f>1300+2000</f>
        <v>3300</v>
      </c>
      <c r="H87" s="367"/>
      <c r="I87" s="367"/>
      <c r="J87" s="367"/>
      <c r="K87" s="367"/>
      <c r="L87" s="367"/>
      <c r="M87" s="367"/>
      <c r="N87" s="367">
        <f t="shared" si="10"/>
        <v>4100</v>
      </c>
    </row>
    <row r="88" spans="1:14" s="11" customFormat="1" ht="12.75">
      <c r="A88" s="79"/>
      <c r="B88" s="10" t="s">
        <v>437</v>
      </c>
      <c r="C88" s="367">
        <v>100</v>
      </c>
      <c r="D88" s="387"/>
      <c r="E88" s="367"/>
      <c r="F88" s="367"/>
      <c r="G88" s="367"/>
      <c r="H88" s="367"/>
      <c r="I88" s="367"/>
      <c r="J88" s="367"/>
      <c r="K88" s="367"/>
      <c r="L88" s="367"/>
      <c r="M88" s="367"/>
      <c r="N88" s="367">
        <f t="shared" si="10"/>
        <v>100</v>
      </c>
    </row>
    <row r="89" spans="1:14" s="11" customFormat="1" ht="12.75">
      <c r="A89" s="79"/>
      <c r="B89" s="10" t="s">
        <v>415</v>
      </c>
      <c r="C89" s="367"/>
      <c r="D89" s="387"/>
      <c r="E89" s="367"/>
      <c r="F89" s="367"/>
      <c r="G89" s="555"/>
      <c r="H89" s="367"/>
      <c r="I89" s="367"/>
      <c r="J89" s="367"/>
      <c r="K89" s="367"/>
      <c r="L89" s="367">
        <v>35</v>
      </c>
      <c r="M89" s="367"/>
      <c r="N89" s="367">
        <f t="shared" si="10"/>
        <v>35</v>
      </c>
    </row>
    <row r="90" spans="1:14" s="11" customFormat="1" ht="12.75">
      <c r="A90" s="79"/>
      <c r="B90" s="30" t="s">
        <v>529</v>
      </c>
      <c r="C90" s="367">
        <v>4700</v>
      </c>
      <c r="D90" s="387"/>
      <c r="E90" s="367"/>
      <c r="F90" s="367"/>
      <c r="G90" s="367"/>
      <c r="H90" s="367"/>
      <c r="I90" s="367"/>
      <c r="J90" s="367"/>
      <c r="K90" s="367"/>
      <c r="L90" s="367"/>
      <c r="M90" s="367"/>
      <c r="N90" s="367">
        <f t="shared" si="10"/>
        <v>4700</v>
      </c>
    </row>
    <row r="91" spans="1:14" s="11" customFormat="1" ht="12.75">
      <c r="A91" s="79"/>
      <c r="B91" s="10" t="s">
        <v>378</v>
      </c>
      <c r="C91" s="367">
        <f>1500-1000</f>
        <v>500</v>
      </c>
      <c r="D91" s="387"/>
      <c r="E91" s="367"/>
      <c r="F91" s="367"/>
      <c r="G91" s="367">
        <f>1000+319</f>
        <v>1319</v>
      </c>
      <c r="H91" s="367"/>
      <c r="I91" s="367"/>
      <c r="J91" s="367"/>
      <c r="K91" s="367"/>
      <c r="L91" s="367"/>
      <c r="M91" s="367"/>
      <c r="N91" s="367">
        <f t="shared" si="10"/>
        <v>1819</v>
      </c>
    </row>
    <row r="92" spans="1:14" s="11" customFormat="1" ht="12.75">
      <c r="A92" s="79"/>
      <c r="B92" s="10" t="s">
        <v>399</v>
      </c>
      <c r="C92" s="64">
        <f>30-24</f>
        <v>6</v>
      </c>
      <c r="D92" s="387"/>
      <c r="E92" s="367"/>
      <c r="F92" s="367"/>
      <c r="G92" s="367"/>
      <c r="H92" s="367"/>
      <c r="I92" s="367"/>
      <c r="J92" s="367"/>
      <c r="K92" s="367"/>
      <c r="L92" s="367"/>
      <c r="M92" s="367"/>
      <c r="N92" s="367">
        <f t="shared" si="10"/>
        <v>6</v>
      </c>
    </row>
    <row r="93" spans="1:14" s="11" customFormat="1" ht="12.75">
      <c r="A93" s="79"/>
      <c r="B93" s="30" t="s">
        <v>366</v>
      </c>
      <c r="C93" s="283">
        <v>50</v>
      </c>
      <c r="D93" s="387"/>
      <c r="E93" s="367"/>
      <c r="F93" s="367"/>
      <c r="G93" s="367"/>
      <c r="H93" s="367"/>
      <c r="I93" s="367"/>
      <c r="J93" s="367"/>
      <c r="K93" s="367"/>
      <c r="L93" s="367"/>
      <c r="M93" s="367"/>
      <c r="N93" s="367">
        <f t="shared" si="10"/>
        <v>50</v>
      </c>
    </row>
    <row r="94" spans="1:14" s="11" customFormat="1" ht="12.75">
      <c r="A94" s="79"/>
      <c r="B94" s="30" t="s">
        <v>677</v>
      </c>
      <c r="C94" s="363">
        <f>350-350</f>
        <v>0</v>
      </c>
      <c r="D94" s="387"/>
      <c r="E94" s="367"/>
      <c r="F94" s="367"/>
      <c r="G94" s="367"/>
      <c r="H94" s="367"/>
      <c r="I94" s="367"/>
      <c r="J94" s="367"/>
      <c r="K94" s="367"/>
      <c r="L94" s="367"/>
      <c r="M94" s="367"/>
      <c r="N94" s="367">
        <f t="shared" si="10"/>
        <v>0</v>
      </c>
    </row>
    <row r="95" spans="1:14" s="11" customFormat="1" ht="12.75">
      <c r="A95" s="79"/>
      <c r="B95" s="30" t="s">
        <v>393</v>
      </c>
      <c r="C95" s="363">
        <f>820-820</f>
        <v>0</v>
      </c>
      <c r="D95" s="387"/>
      <c r="E95" s="367"/>
      <c r="F95" s="367"/>
      <c r="G95" s="64">
        <f>390-71-319</f>
        <v>0</v>
      </c>
      <c r="H95" s="367"/>
      <c r="I95" s="367"/>
      <c r="J95" s="367"/>
      <c r="K95" s="367"/>
      <c r="L95" s="367"/>
      <c r="M95" s="367"/>
      <c r="N95" s="367">
        <f t="shared" si="10"/>
        <v>0</v>
      </c>
    </row>
    <row r="96" spans="1:14" s="11" customFormat="1" ht="12.75">
      <c r="A96" s="79"/>
      <c r="B96" s="30" t="s">
        <v>435</v>
      </c>
      <c r="C96" s="363">
        <f>2000-550</f>
        <v>1450</v>
      </c>
      <c r="D96" s="387"/>
      <c r="E96" s="367"/>
      <c r="F96" s="367"/>
      <c r="G96" s="367"/>
      <c r="H96" s="367"/>
      <c r="I96" s="367"/>
      <c r="J96" s="367"/>
      <c r="K96" s="367"/>
      <c r="L96" s="367"/>
      <c r="M96" s="367"/>
      <c r="N96" s="367">
        <f t="shared" si="10"/>
        <v>1450</v>
      </c>
    </row>
    <row r="97" spans="1:14" s="11" customFormat="1" ht="12.75">
      <c r="A97" s="79"/>
      <c r="B97" s="30" t="s">
        <v>652</v>
      </c>
      <c r="C97" s="283">
        <v>440</v>
      </c>
      <c r="D97" s="387"/>
      <c r="E97" s="367"/>
      <c r="F97" s="367"/>
      <c r="G97" s="367"/>
      <c r="H97" s="367"/>
      <c r="I97" s="367"/>
      <c r="J97" s="367"/>
      <c r="K97" s="367"/>
      <c r="L97" s="367"/>
      <c r="M97" s="367"/>
      <c r="N97" s="367">
        <f t="shared" si="10"/>
        <v>440</v>
      </c>
    </row>
    <row r="98" spans="1:14" s="11" customFormat="1" ht="12.75">
      <c r="A98" s="79"/>
      <c r="B98" s="30" t="s">
        <v>667</v>
      </c>
      <c r="C98" s="283">
        <f>421+400-11</f>
        <v>810</v>
      </c>
      <c r="D98" s="387"/>
      <c r="E98" s="367"/>
      <c r="F98" s="367"/>
      <c r="G98" s="367"/>
      <c r="H98" s="367"/>
      <c r="I98" s="367"/>
      <c r="J98" s="367"/>
      <c r="K98" s="367"/>
      <c r="L98" s="367"/>
      <c r="M98" s="367"/>
      <c r="N98" s="367">
        <f t="shared" si="10"/>
        <v>810</v>
      </c>
    </row>
    <row r="99" spans="1:14" s="11" customFormat="1" ht="12.75">
      <c r="A99" s="79"/>
      <c r="B99" s="30" t="s">
        <v>374</v>
      </c>
      <c r="C99" s="363">
        <v>1300</v>
      </c>
      <c r="D99" s="387"/>
      <c r="E99" s="367"/>
      <c r="F99" s="367"/>
      <c r="G99" s="367"/>
      <c r="H99" s="367"/>
      <c r="I99" s="367"/>
      <c r="J99" s="367"/>
      <c r="K99" s="367"/>
      <c r="L99" s="367"/>
      <c r="M99" s="367"/>
      <c r="N99" s="367">
        <f t="shared" si="10"/>
        <v>1300</v>
      </c>
    </row>
    <row r="100" spans="1:14" s="11" customFormat="1" ht="12.75" hidden="1">
      <c r="A100" s="79"/>
      <c r="B100" s="30"/>
      <c r="C100" s="283"/>
      <c r="D100" s="38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>
        <f t="shared" si="10"/>
        <v>0</v>
      </c>
    </row>
    <row r="101" spans="1:14" s="11" customFormat="1" ht="12.75" hidden="1">
      <c r="A101" s="79"/>
      <c r="B101" s="30"/>
      <c r="C101" s="283"/>
      <c r="D101" s="38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>
        <f t="shared" si="10"/>
        <v>0</v>
      </c>
    </row>
    <row r="102" spans="1:14" s="11" customFormat="1" ht="12.75">
      <c r="A102" s="121" t="s">
        <v>328</v>
      </c>
      <c r="B102" s="34" t="s">
        <v>313</v>
      </c>
      <c r="C102" s="115">
        <f aca="true" t="shared" si="12" ref="C102:M102">SUM(C103:C105)</f>
        <v>1106</v>
      </c>
      <c r="D102" s="115">
        <f t="shared" si="12"/>
        <v>30</v>
      </c>
      <c r="E102" s="115">
        <f t="shared" si="12"/>
        <v>0</v>
      </c>
      <c r="F102" s="115">
        <f t="shared" si="12"/>
        <v>0</v>
      </c>
      <c r="G102" s="115">
        <f t="shared" si="12"/>
        <v>140</v>
      </c>
      <c r="H102" s="115">
        <f t="shared" si="12"/>
        <v>0</v>
      </c>
      <c r="I102" s="115">
        <f t="shared" si="12"/>
        <v>0</v>
      </c>
      <c r="J102" s="115">
        <f t="shared" si="12"/>
        <v>0</v>
      </c>
      <c r="K102" s="115">
        <f t="shared" si="12"/>
        <v>0</v>
      </c>
      <c r="L102" s="115">
        <f t="shared" si="12"/>
        <v>0</v>
      </c>
      <c r="M102" s="115">
        <f t="shared" si="12"/>
        <v>0</v>
      </c>
      <c r="N102" s="8">
        <f t="shared" si="10"/>
        <v>1276</v>
      </c>
    </row>
    <row r="103" spans="1:14" s="11" customFormat="1" ht="12.75">
      <c r="A103" s="79" t="s">
        <v>329</v>
      </c>
      <c r="B103" s="30" t="s">
        <v>353</v>
      </c>
      <c r="C103" s="283"/>
      <c r="D103" s="283">
        <v>30</v>
      </c>
      <c r="E103" s="367"/>
      <c r="F103" s="367"/>
      <c r="G103" s="367">
        <v>100</v>
      </c>
      <c r="H103" s="367"/>
      <c r="I103" s="367"/>
      <c r="J103" s="367"/>
      <c r="K103" s="367"/>
      <c r="L103" s="367"/>
      <c r="M103" s="367"/>
      <c r="N103" s="367">
        <f t="shared" si="10"/>
        <v>130</v>
      </c>
    </row>
    <row r="104" spans="1:14" s="11" customFormat="1" ht="12.75">
      <c r="A104" s="79" t="s">
        <v>330</v>
      </c>
      <c r="B104" s="30" t="s">
        <v>370</v>
      </c>
      <c r="C104" s="283">
        <f>500+400</f>
        <v>900</v>
      </c>
      <c r="D104" s="387"/>
      <c r="E104" s="367"/>
      <c r="F104" s="367"/>
      <c r="G104" s="367">
        <v>40</v>
      </c>
      <c r="H104" s="367"/>
      <c r="I104" s="367"/>
      <c r="J104" s="367"/>
      <c r="K104" s="367"/>
      <c r="L104" s="367"/>
      <c r="M104" s="367"/>
      <c r="N104" s="367">
        <f>SUM(C104:M104)</f>
        <v>940</v>
      </c>
    </row>
    <row r="105" spans="1:14" s="11" customFormat="1" ht="12.75">
      <c r="A105" s="79" t="s">
        <v>330</v>
      </c>
      <c r="B105" s="30" t="s">
        <v>668</v>
      </c>
      <c r="C105" s="363">
        <f>99+11+96</f>
        <v>206</v>
      </c>
      <c r="D105" s="38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>
        <f t="shared" si="10"/>
        <v>206</v>
      </c>
    </row>
    <row r="106" spans="1:15" ht="12.75">
      <c r="A106" s="121" t="s">
        <v>331</v>
      </c>
      <c r="B106" s="34" t="s">
        <v>314</v>
      </c>
      <c r="C106" s="115">
        <f aca="true" t="shared" si="13" ref="C106:N106">SUM(C107:C118)</f>
        <v>37186</v>
      </c>
      <c r="D106" s="115">
        <f t="shared" si="13"/>
        <v>27</v>
      </c>
      <c r="E106" s="115">
        <f t="shared" si="13"/>
        <v>3099</v>
      </c>
      <c r="F106" s="115">
        <f t="shared" si="13"/>
        <v>150</v>
      </c>
      <c r="G106" s="115">
        <f t="shared" si="13"/>
        <v>2220</v>
      </c>
      <c r="H106" s="115">
        <f t="shared" si="13"/>
        <v>2700</v>
      </c>
      <c r="I106" s="115">
        <f t="shared" si="13"/>
        <v>0</v>
      </c>
      <c r="J106" s="115">
        <f t="shared" si="13"/>
        <v>0</v>
      </c>
      <c r="K106" s="115">
        <f t="shared" si="13"/>
        <v>600</v>
      </c>
      <c r="L106" s="115">
        <f>SUM(L107:L118)</f>
        <v>23</v>
      </c>
      <c r="M106" s="115">
        <f t="shared" si="13"/>
        <v>0</v>
      </c>
      <c r="N106" s="115">
        <f t="shared" si="13"/>
        <v>46005</v>
      </c>
      <c r="O106" s="51">
        <f>SUM(C106:M106)</f>
        <v>46005</v>
      </c>
    </row>
    <row r="107" spans="1:14" ht="12.75">
      <c r="A107" s="79" t="s">
        <v>332</v>
      </c>
      <c r="B107" s="30" t="s">
        <v>343</v>
      </c>
      <c r="C107" s="363">
        <f>17000+216+648+135+119+257+203+202+162+108+459+2280+213+262+108+81+312+105</f>
        <v>22870</v>
      </c>
      <c r="D107" s="283">
        <v>27</v>
      </c>
      <c r="E107" s="367">
        <f>3105-6</f>
        <v>3099</v>
      </c>
      <c r="F107" s="367">
        <v>150</v>
      </c>
      <c r="G107" s="367">
        <v>2200</v>
      </c>
      <c r="H107" s="367">
        <v>2700</v>
      </c>
      <c r="I107" s="367"/>
      <c r="J107" s="367"/>
      <c r="K107" s="367">
        <v>600</v>
      </c>
      <c r="L107" s="367">
        <v>6</v>
      </c>
      <c r="M107" s="367"/>
      <c r="N107" s="367">
        <f t="shared" si="10"/>
        <v>31652</v>
      </c>
    </row>
    <row r="108" spans="1:14" ht="12.75">
      <c r="A108" s="79" t="s">
        <v>333</v>
      </c>
      <c r="B108" s="30" t="s">
        <v>344</v>
      </c>
      <c r="C108" s="283">
        <f>4012+1414+370</f>
        <v>5796</v>
      </c>
      <c r="D108" s="38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>
        <f t="shared" si="10"/>
        <v>5796</v>
      </c>
    </row>
    <row r="109" spans="1:14" ht="12.75">
      <c r="A109" s="79" t="s">
        <v>334</v>
      </c>
      <c r="B109" s="30" t="s">
        <v>345</v>
      </c>
      <c r="C109" s="283">
        <v>500</v>
      </c>
      <c r="D109" s="38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>
        <f t="shared" si="10"/>
        <v>500</v>
      </c>
    </row>
    <row r="110" spans="1:14" ht="12.75">
      <c r="A110" s="79" t="s">
        <v>334</v>
      </c>
      <c r="B110" s="30" t="s">
        <v>669</v>
      </c>
      <c r="C110" s="283">
        <v>172</v>
      </c>
      <c r="D110" s="38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>
        <f t="shared" si="10"/>
        <v>172</v>
      </c>
    </row>
    <row r="111" spans="1:14" ht="12.75">
      <c r="A111" s="79" t="s">
        <v>335</v>
      </c>
      <c r="B111" s="30" t="s">
        <v>346</v>
      </c>
      <c r="C111" s="283">
        <f>4000-4000</f>
        <v>0</v>
      </c>
      <c r="D111" s="38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>
        <f t="shared" si="10"/>
        <v>0</v>
      </c>
    </row>
    <row r="112" spans="1:14" ht="12.75">
      <c r="A112" s="79" t="s">
        <v>336</v>
      </c>
      <c r="B112" s="30" t="s">
        <v>70</v>
      </c>
      <c r="C112" s="363">
        <f>2050+978</f>
        <v>3028</v>
      </c>
      <c r="D112" s="367"/>
      <c r="E112" s="367"/>
      <c r="F112" s="367"/>
      <c r="G112" s="367">
        <f>1000-980</f>
        <v>20</v>
      </c>
      <c r="H112" s="367"/>
      <c r="I112" s="367"/>
      <c r="J112" s="367"/>
      <c r="K112" s="367"/>
      <c r="L112" s="367">
        <v>2</v>
      </c>
      <c r="M112" s="367"/>
      <c r="N112" s="367">
        <f t="shared" si="10"/>
        <v>3050</v>
      </c>
    </row>
    <row r="113" spans="1:14" ht="12.75">
      <c r="A113" s="79"/>
      <c r="B113" s="30" t="s">
        <v>364</v>
      </c>
      <c r="C113" s="283">
        <v>100</v>
      </c>
      <c r="D113" s="38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>
        <f t="shared" si="10"/>
        <v>100</v>
      </c>
    </row>
    <row r="114" spans="1:14" ht="12.75">
      <c r="A114" s="79"/>
      <c r="B114" s="30" t="s">
        <v>372</v>
      </c>
      <c r="C114" s="363">
        <f>985-464</f>
        <v>521</v>
      </c>
      <c r="D114" s="38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>
        <f t="shared" si="10"/>
        <v>521</v>
      </c>
    </row>
    <row r="115" spans="1:14" ht="12.75">
      <c r="A115" s="79"/>
      <c r="B115" s="30" t="s">
        <v>379</v>
      </c>
      <c r="C115" s="363">
        <f>1000+1500</f>
        <v>2500</v>
      </c>
      <c r="D115" s="387"/>
      <c r="E115" s="367"/>
      <c r="F115" s="367"/>
      <c r="G115" s="367"/>
      <c r="H115" s="367"/>
      <c r="I115" s="367"/>
      <c r="J115" s="367"/>
      <c r="K115" s="367"/>
      <c r="L115" s="64">
        <v>15</v>
      </c>
      <c r="M115" s="367"/>
      <c r="N115" s="367">
        <f t="shared" si="10"/>
        <v>2515</v>
      </c>
    </row>
    <row r="116" spans="1:14" ht="12.75">
      <c r="A116" s="79"/>
      <c r="B116" s="30" t="s">
        <v>651</v>
      </c>
      <c r="C116" s="283">
        <v>748</v>
      </c>
      <c r="D116" s="38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>
        <f t="shared" si="10"/>
        <v>748</v>
      </c>
    </row>
    <row r="117" spans="1:14" ht="12.75">
      <c r="A117" s="79"/>
      <c r="B117" s="30" t="s">
        <v>670</v>
      </c>
      <c r="C117" s="363">
        <f>885+66</f>
        <v>951</v>
      </c>
      <c r="D117" s="38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>
        <f t="shared" si="10"/>
        <v>951</v>
      </c>
    </row>
    <row r="118" spans="1:14" ht="12.75" hidden="1">
      <c r="A118" s="79"/>
      <c r="B118" s="30"/>
      <c r="C118" s="283"/>
      <c r="D118" s="38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</row>
    <row r="119" spans="1:15" ht="12.75">
      <c r="A119" s="121" t="s">
        <v>348</v>
      </c>
      <c r="B119" s="184" t="s">
        <v>33</v>
      </c>
      <c r="C119" s="282">
        <f aca="true" t="shared" si="14" ref="C119:N119">SUM(C35+C44+C48+C102+C106)</f>
        <v>138234</v>
      </c>
      <c r="D119" s="282">
        <f t="shared" si="14"/>
        <v>87</v>
      </c>
      <c r="E119" s="282">
        <f t="shared" si="14"/>
        <v>9029</v>
      </c>
      <c r="F119" s="282">
        <f t="shared" si="14"/>
        <v>10039</v>
      </c>
      <c r="G119" s="282">
        <f t="shared" si="14"/>
        <v>17072</v>
      </c>
      <c r="H119" s="282">
        <f t="shared" si="14"/>
        <v>12700</v>
      </c>
      <c r="I119" s="282">
        <f t="shared" si="14"/>
        <v>0</v>
      </c>
      <c r="J119" s="282">
        <f t="shared" si="14"/>
        <v>2640</v>
      </c>
      <c r="K119" s="282">
        <f t="shared" si="14"/>
        <v>665</v>
      </c>
      <c r="L119" s="282">
        <f t="shared" si="14"/>
        <v>300</v>
      </c>
      <c r="M119" s="282">
        <f t="shared" si="14"/>
        <v>0</v>
      </c>
      <c r="N119" s="282">
        <f t="shared" si="14"/>
        <v>190766</v>
      </c>
      <c r="O119" s="51">
        <f>SUM(C119:M119)</f>
        <v>190766</v>
      </c>
    </row>
    <row r="120" spans="1:14" ht="12.75">
      <c r="A120" s="290" t="s">
        <v>347</v>
      </c>
      <c r="B120" s="184" t="s">
        <v>687</v>
      </c>
      <c r="C120" s="282">
        <v>350</v>
      </c>
      <c r="D120" s="282"/>
      <c r="E120" s="282"/>
      <c r="F120" s="282"/>
      <c r="G120" s="282"/>
      <c r="H120" s="282"/>
      <c r="I120" s="282">
        <v>9000</v>
      </c>
      <c r="J120" s="282"/>
      <c r="K120" s="282"/>
      <c r="L120" s="282"/>
      <c r="M120" s="282"/>
      <c r="N120" s="282">
        <f>SUM(C120:M120)</f>
        <v>9350</v>
      </c>
    </row>
    <row r="121" spans="1:14" ht="13.5" thickBot="1">
      <c r="A121" s="290" t="s">
        <v>389</v>
      </c>
      <c r="B121" s="289" t="s">
        <v>554</v>
      </c>
      <c r="C121" s="185" t="e">
        <f>SUM('4. Átadott p.eszk.'!#REF!)</f>
        <v>#REF!</v>
      </c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 t="e">
        <f>SUM(C121:M121)</f>
        <v>#REF!</v>
      </c>
    </row>
    <row r="122" spans="1:15" ht="15.75" customHeight="1" thickBot="1">
      <c r="A122" s="290"/>
      <c r="B122" s="411" t="s">
        <v>11</v>
      </c>
      <c r="C122" s="297" t="e">
        <f aca="true" t="shared" si="15" ref="C122:N122">SUM(C30+C34+C119+C120+C121)</f>
        <v>#REF!</v>
      </c>
      <c r="D122" s="297">
        <f t="shared" si="15"/>
        <v>7395</v>
      </c>
      <c r="E122" s="297">
        <f t="shared" si="15"/>
        <v>9029</v>
      </c>
      <c r="F122" s="297">
        <f t="shared" si="15"/>
        <v>10039</v>
      </c>
      <c r="G122" s="297">
        <f t="shared" si="15"/>
        <v>36193</v>
      </c>
      <c r="H122" s="297">
        <f t="shared" si="15"/>
        <v>14219</v>
      </c>
      <c r="I122" s="297">
        <f t="shared" si="15"/>
        <v>9000</v>
      </c>
      <c r="J122" s="297">
        <f t="shared" si="15"/>
        <v>2640</v>
      </c>
      <c r="K122" s="297">
        <f t="shared" si="15"/>
        <v>665</v>
      </c>
      <c r="L122" s="297">
        <f t="shared" si="15"/>
        <v>1574</v>
      </c>
      <c r="M122" s="297">
        <f t="shared" si="15"/>
        <v>3632</v>
      </c>
      <c r="N122" s="412" t="e">
        <f t="shared" si="15"/>
        <v>#REF!</v>
      </c>
      <c r="O122" s="51" t="e">
        <f>SUM(C122:M122)</f>
        <v>#REF!</v>
      </c>
    </row>
    <row r="123" spans="1:14" ht="18" customHeight="1" thickBot="1">
      <c r="A123" s="290" t="s">
        <v>390</v>
      </c>
      <c r="B123" s="407" t="s">
        <v>553</v>
      </c>
      <c r="C123" s="408" t="e">
        <f>SUM('3.felh'!#REF!+'3.felh'!#REF!+'3.felh'!#REF!)</f>
        <v>#REF!</v>
      </c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556" t="e">
        <f>SUM(C123:M123)</f>
        <v>#REF!</v>
      </c>
    </row>
    <row r="124" spans="1:15" ht="20.25" thickBot="1">
      <c r="A124" s="286"/>
      <c r="B124" s="396" t="s">
        <v>8</v>
      </c>
      <c r="C124" s="397" t="e">
        <f>SUM(C122+C123)</f>
        <v>#REF!</v>
      </c>
      <c r="D124" s="397">
        <f aca="true" t="shared" si="16" ref="D124:N124">SUM(D122+D123)</f>
        <v>7395</v>
      </c>
      <c r="E124" s="397">
        <f t="shared" si="16"/>
        <v>9029</v>
      </c>
      <c r="F124" s="397">
        <f t="shared" si="16"/>
        <v>10039</v>
      </c>
      <c r="G124" s="397">
        <v>30470</v>
      </c>
      <c r="H124" s="397">
        <f t="shared" si="16"/>
        <v>14219</v>
      </c>
      <c r="I124" s="397">
        <f t="shared" si="16"/>
        <v>9000</v>
      </c>
      <c r="J124" s="397">
        <f t="shared" si="16"/>
        <v>2640</v>
      </c>
      <c r="K124" s="397">
        <f t="shared" si="16"/>
        <v>665</v>
      </c>
      <c r="L124" s="397">
        <f>SUM(L122+L123)</f>
        <v>1574</v>
      </c>
      <c r="M124" s="397">
        <f t="shared" si="16"/>
        <v>3632</v>
      </c>
      <c r="N124" s="397" t="e">
        <f t="shared" si="16"/>
        <v>#REF!</v>
      </c>
      <c r="O124" s="51" t="e">
        <f>SUM(C124:M124)</f>
        <v>#REF!</v>
      </c>
    </row>
    <row r="125" spans="2:14" ht="13.5" thickBot="1">
      <c r="B125" s="394" t="s">
        <v>71</v>
      </c>
      <c r="C125" s="557">
        <v>1</v>
      </c>
      <c r="D125" s="557">
        <v>2</v>
      </c>
      <c r="E125" s="557"/>
      <c r="F125" s="557"/>
      <c r="G125" s="557">
        <v>7</v>
      </c>
      <c r="H125" s="557">
        <v>1</v>
      </c>
      <c r="I125" s="557"/>
      <c r="J125" s="557"/>
      <c r="K125" s="557"/>
      <c r="L125" s="557"/>
      <c r="M125" s="557">
        <v>3</v>
      </c>
      <c r="N125" s="558">
        <f>SUM(C125:M125)</f>
        <v>14</v>
      </c>
    </row>
    <row r="126" spans="1:14" s="11" customFormat="1" ht="12.75">
      <c r="A126"/>
      <c r="B126" s="395"/>
      <c r="C126" s="4"/>
      <c r="D126" s="12"/>
      <c r="E126" s="4"/>
      <c r="F126" s="4"/>
      <c r="G126" s="4"/>
      <c r="H126" s="4"/>
      <c r="I126" s="4"/>
      <c r="J126" s="4"/>
      <c r="K126" s="4"/>
      <c r="L126" s="4"/>
      <c r="M126" s="4"/>
      <c r="N126" s="56"/>
    </row>
    <row r="127" spans="1:14" s="11" customFormat="1" ht="12.75" hidden="1">
      <c r="A127"/>
      <c r="B127"/>
      <c r="C127"/>
      <c r="E127"/>
      <c r="F127" s="385"/>
      <c r="G127"/>
      <c r="H127"/>
      <c r="I127"/>
      <c r="J127"/>
      <c r="K127"/>
      <c r="L127"/>
      <c r="M127"/>
      <c r="N127"/>
    </row>
    <row r="128" spans="1:14" s="11" customFormat="1" ht="12.75" hidden="1">
      <c r="A128"/>
      <c r="B128"/>
      <c r="C128" s="105"/>
      <c r="D128" s="51"/>
      <c r="E128" s="105"/>
      <c r="F128"/>
      <c r="G128" s="398" t="s">
        <v>524</v>
      </c>
      <c r="H128" s="398">
        <v>300</v>
      </c>
      <c r="I128" s="398">
        <v>236</v>
      </c>
      <c r="J128" s="398">
        <v>64</v>
      </c>
      <c r="K128" s="398" t="s">
        <v>527</v>
      </c>
      <c r="L128" s="398"/>
      <c r="M128"/>
      <c r="N128"/>
    </row>
    <row r="129" spans="1:14" s="11" customFormat="1" ht="12.75" hidden="1">
      <c r="A129"/>
      <c r="B129"/>
      <c r="C129" s="317"/>
      <c r="D129" s="317"/>
      <c r="E129" s="317"/>
      <c r="F129"/>
      <c r="G129" s="398" t="s">
        <v>525</v>
      </c>
      <c r="H129" s="398">
        <v>700</v>
      </c>
      <c r="I129" s="398">
        <v>551</v>
      </c>
      <c r="J129" s="398">
        <v>149</v>
      </c>
      <c r="K129" s="398"/>
      <c r="L129" s="398"/>
      <c r="M129"/>
      <c r="N129"/>
    </row>
    <row r="130" spans="1:14" s="11" customFormat="1" ht="12.75" hidden="1">
      <c r="A130"/>
      <c r="B130"/>
      <c r="C130" s="390"/>
      <c r="D130" s="317"/>
      <c r="E130" s="317"/>
      <c r="F130"/>
      <c r="G130" s="399"/>
      <c r="H130" s="399"/>
      <c r="I130" s="399"/>
      <c r="J130" s="399"/>
      <c r="K130" s="399"/>
      <c r="L130" s="399"/>
      <c r="M130"/>
      <c r="N130"/>
    </row>
    <row r="131" spans="1:14" s="11" customFormat="1" ht="12.75">
      <c r="A131"/>
      <c r="B131"/>
      <c r="C131" s="390"/>
      <c r="D131" s="317"/>
      <c r="E131" s="317"/>
      <c r="F131"/>
      <c r="G131" s="398" t="s">
        <v>506</v>
      </c>
      <c r="H131" s="398">
        <v>152</v>
      </c>
      <c r="I131" s="398">
        <v>120</v>
      </c>
      <c r="J131" s="398">
        <v>32</v>
      </c>
      <c r="K131" s="399"/>
      <c r="L131" s="399"/>
      <c r="M131"/>
      <c r="N131" s="105" t="e">
        <f>SUM(C124:M124)</f>
        <v>#REF!</v>
      </c>
    </row>
    <row r="132" spans="1:14" s="11" customFormat="1" ht="12.75">
      <c r="A132"/>
      <c r="B132" s="3" t="s">
        <v>547</v>
      </c>
      <c r="C132" s="385" t="s">
        <v>514</v>
      </c>
      <c r="D132" s="386" t="s">
        <v>515</v>
      </c>
      <c r="E132" s="385" t="s">
        <v>373</v>
      </c>
      <c r="F132"/>
      <c r="G132" s="398" t="s">
        <v>507</v>
      </c>
      <c r="H132" s="398">
        <v>384</v>
      </c>
      <c r="I132" s="398">
        <v>302</v>
      </c>
      <c r="J132" s="398">
        <v>82</v>
      </c>
      <c r="K132" s="399"/>
      <c r="L132" s="399"/>
      <c r="M132" s="105" t="e">
        <f>(O122-N123)</f>
        <v>#REF!</v>
      </c>
      <c r="N132"/>
    </row>
    <row r="133" spans="1:14" s="11" customFormat="1" ht="12.75">
      <c r="A133"/>
      <c r="B133"/>
      <c r="C133" s="317"/>
      <c r="D133" s="317"/>
      <c r="E133" s="317"/>
      <c r="F133"/>
      <c r="G133" s="398" t="s">
        <v>508</v>
      </c>
      <c r="H133" s="398">
        <v>254</v>
      </c>
      <c r="I133" s="398">
        <v>200</v>
      </c>
      <c r="J133" s="398">
        <v>54</v>
      </c>
      <c r="K133" s="399"/>
      <c r="L133" s="399"/>
      <c r="M133"/>
      <c r="N133"/>
    </row>
    <row r="134" spans="1:14" s="11" customFormat="1" ht="12.75">
      <c r="A134"/>
      <c r="B134" t="s">
        <v>535</v>
      </c>
      <c r="C134" s="317">
        <f>SUM(D134:E134)</f>
        <v>10058.4</v>
      </c>
      <c r="D134" s="317">
        <v>7920</v>
      </c>
      <c r="E134" s="317">
        <f>SUM(D134*0.27)</f>
        <v>2138.4</v>
      </c>
      <c r="F134"/>
      <c r="G134" s="398" t="s">
        <v>509</v>
      </c>
      <c r="H134" s="398"/>
      <c r="I134" s="398"/>
      <c r="J134" s="398"/>
      <c r="K134" s="399"/>
      <c r="L134" s="399"/>
      <c r="M134"/>
      <c r="N134"/>
    </row>
    <row r="135" spans="1:14" s="11" customFormat="1" ht="12.75">
      <c r="A135"/>
      <c r="B135" t="s">
        <v>536</v>
      </c>
      <c r="C135" s="317">
        <f>SUM(D135:E135)</f>
        <v>16865.6</v>
      </c>
      <c r="D135" s="51">
        <v>13280</v>
      </c>
      <c r="E135" s="317">
        <f>SUM(D135*0.27)</f>
        <v>3585.6000000000004</v>
      </c>
      <c r="F135"/>
      <c r="K135"/>
      <c r="L135"/>
      <c r="M135"/>
      <c r="N135"/>
    </row>
    <row r="136" spans="1:14" s="11" customFormat="1" ht="12.75">
      <c r="A136"/>
      <c r="B136"/>
      <c r="C136" s="317"/>
      <c r="D136" s="317"/>
      <c r="E136" s="317"/>
      <c r="F136"/>
      <c r="G136"/>
      <c r="H136"/>
      <c r="I136"/>
      <c r="J136"/>
      <c r="K136"/>
      <c r="L136"/>
      <c r="M136"/>
      <c r="N136"/>
    </row>
    <row r="137" spans="1:14" s="11" customFormat="1" ht="12.75">
      <c r="A137"/>
      <c r="B137" t="s">
        <v>653</v>
      </c>
      <c r="C137" s="317">
        <f>SUM(D137:E137)</f>
        <v>1905</v>
      </c>
      <c r="D137" s="317">
        <v>1500</v>
      </c>
      <c r="E137" s="317">
        <v>405</v>
      </c>
      <c r="F137"/>
      <c r="G137"/>
      <c r="H137"/>
      <c r="I137"/>
      <c r="J137"/>
      <c r="K137"/>
      <c r="L137"/>
      <c r="M137"/>
      <c r="N137"/>
    </row>
    <row r="138" spans="1:14" s="11" customFormat="1" ht="12.75">
      <c r="A138"/>
      <c r="B138" t="s">
        <v>654</v>
      </c>
      <c r="C138" s="317">
        <f>SUM(D138:E138)</f>
        <v>254</v>
      </c>
      <c r="D138" s="317">
        <v>200</v>
      </c>
      <c r="E138" s="317">
        <v>54</v>
      </c>
      <c r="F138"/>
      <c r="G138"/>
      <c r="H138"/>
      <c r="I138"/>
      <c r="J138"/>
      <c r="K138"/>
      <c r="L138"/>
      <c r="M138"/>
      <c r="N138"/>
    </row>
    <row r="139" spans="1:14" s="11" customFormat="1" ht="12.75">
      <c r="A139"/>
      <c r="B139" t="s">
        <v>655</v>
      </c>
      <c r="C139" s="317">
        <f>SUM(D139:E139)</f>
        <v>1041</v>
      </c>
      <c r="D139" s="317">
        <v>820</v>
      </c>
      <c r="E139" s="317">
        <v>221</v>
      </c>
      <c r="F139"/>
      <c r="G139"/>
      <c r="H139"/>
      <c r="I139"/>
      <c r="J139"/>
      <c r="K139"/>
      <c r="L139"/>
      <c r="M139"/>
      <c r="N139"/>
    </row>
    <row r="140" spans="1:14" s="11" customFormat="1" ht="12.75">
      <c r="A140"/>
      <c r="B140"/>
      <c r="C140" s="390">
        <f>SUM(C137:C139)</f>
        <v>3200</v>
      </c>
      <c r="D140" s="317">
        <f>SUM(D137:D139)</f>
        <v>2520</v>
      </c>
      <c r="E140" s="317">
        <f>SUM(E137:E139)</f>
        <v>680</v>
      </c>
      <c r="F140"/>
      <c r="G140"/>
      <c r="H140"/>
      <c r="I140"/>
      <c r="J140"/>
      <c r="K140"/>
      <c r="L140"/>
      <c r="M140"/>
      <c r="N140"/>
    </row>
    <row r="141" spans="1:14" s="11" customFormat="1" ht="12.75">
      <c r="A141"/>
      <c r="B141"/>
      <c r="C141" s="390"/>
      <c r="D141" s="390"/>
      <c r="E141" s="390"/>
      <c r="F141"/>
      <c r="G141"/>
      <c r="H141"/>
      <c r="I141"/>
      <c r="J141"/>
      <c r="K141"/>
      <c r="L141"/>
      <c r="M141"/>
      <c r="N141"/>
    </row>
    <row r="142" spans="2:5" ht="12.75">
      <c r="B142" t="s">
        <v>519</v>
      </c>
      <c r="C142" s="390">
        <f>SUM(D142:E142)</f>
        <v>4826</v>
      </c>
      <c r="D142" s="317">
        <f>3000+800</f>
        <v>3800</v>
      </c>
      <c r="E142" s="317">
        <f>810+216</f>
        <v>1026</v>
      </c>
    </row>
    <row r="143" spans="2:5" ht="12.75">
      <c r="B143" t="s">
        <v>658</v>
      </c>
      <c r="C143" s="390">
        <f>SUM(D143:E143)</f>
        <v>2159</v>
      </c>
      <c r="D143" s="317">
        <v>1700</v>
      </c>
      <c r="E143" s="317">
        <v>459</v>
      </c>
    </row>
    <row r="144" spans="3:5" ht="12.75">
      <c r="C144" s="317"/>
      <c r="D144" s="317"/>
      <c r="E144" s="317"/>
    </row>
    <row r="145" spans="2:5" ht="12.75">
      <c r="B145" t="s">
        <v>520</v>
      </c>
      <c r="C145" s="390">
        <f>SUM(D145:E145)</f>
        <v>2000</v>
      </c>
      <c r="D145" s="317">
        <v>1575</v>
      </c>
      <c r="E145" s="317">
        <v>425</v>
      </c>
    </row>
    <row r="146" spans="3:5" ht="12.75">
      <c r="C146" s="317"/>
      <c r="D146" s="317"/>
      <c r="E146" s="317"/>
    </row>
    <row r="147" spans="2:5" ht="12.75">
      <c r="B147" t="s">
        <v>521</v>
      </c>
      <c r="C147" s="317">
        <f>SUM(D147:E147)</f>
        <v>3200</v>
      </c>
      <c r="D147" s="317">
        <v>2520</v>
      </c>
      <c r="E147" s="317">
        <v>680</v>
      </c>
    </row>
    <row r="148" spans="2:5" ht="12.75">
      <c r="B148" t="s">
        <v>522</v>
      </c>
      <c r="C148" s="317">
        <f>SUM(D148:E148)</f>
        <v>300</v>
      </c>
      <c r="D148" s="317">
        <v>236</v>
      </c>
      <c r="E148" s="317">
        <v>64</v>
      </c>
    </row>
    <row r="149" spans="2:5" ht="12.75">
      <c r="B149" t="s">
        <v>523</v>
      </c>
      <c r="C149" s="317">
        <f>SUM(D149:E149)</f>
        <v>1800</v>
      </c>
      <c r="D149" s="317">
        <v>1417</v>
      </c>
      <c r="E149" s="317">
        <v>383</v>
      </c>
    </row>
    <row r="150" spans="3:6" ht="12.75">
      <c r="C150" s="390">
        <f>SUM(C147:C149)</f>
        <v>5300</v>
      </c>
      <c r="D150" s="317">
        <f>SUM(D147:D149)</f>
        <v>4173</v>
      </c>
      <c r="E150" s="317">
        <f>SUM(E147:E149)</f>
        <v>1127</v>
      </c>
      <c r="F150" s="105"/>
    </row>
    <row r="151" spans="3:5" ht="12.75">
      <c r="C151" s="317"/>
      <c r="D151" s="317"/>
      <c r="E151" s="317"/>
    </row>
    <row r="152" spans="2:5" ht="12.75">
      <c r="B152" t="s">
        <v>528</v>
      </c>
      <c r="C152" s="390">
        <f>SUM(D152:E152)</f>
        <v>500</v>
      </c>
      <c r="D152" s="317">
        <v>393</v>
      </c>
      <c r="E152" s="317">
        <v>107</v>
      </c>
    </row>
    <row r="153" spans="2:5" ht="12.75">
      <c r="B153" t="s">
        <v>545</v>
      </c>
      <c r="C153" s="390">
        <f>SUM(D153:E153)</f>
        <v>800.1</v>
      </c>
      <c r="D153" s="317">
        <v>630</v>
      </c>
      <c r="E153" s="317">
        <f>(D153*0.27)</f>
        <v>170.10000000000002</v>
      </c>
    </row>
    <row r="154" spans="3:5" ht="12.75">
      <c r="C154" s="390"/>
      <c r="D154" s="317"/>
      <c r="E154" s="317"/>
    </row>
    <row r="155" spans="2:5" ht="12.75">
      <c r="B155" t="s">
        <v>646</v>
      </c>
      <c r="C155" s="390">
        <f>SUM(D155:E155)</f>
        <v>3048</v>
      </c>
      <c r="D155" s="317">
        <v>2400</v>
      </c>
      <c r="E155" s="317">
        <v>648</v>
      </c>
    </row>
    <row r="156" spans="3:5" ht="12.75">
      <c r="C156" s="390"/>
      <c r="D156" s="317"/>
      <c r="E156" s="317"/>
    </row>
    <row r="157" spans="2:5" ht="25.5">
      <c r="B157" s="544" t="s">
        <v>647</v>
      </c>
      <c r="C157" s="390">
        <f>SUM(D157:E157)</f>
        <v>400</v>
      </c>
      <c r="D157" s="317">
        <v>400</v>
      </c>
      <c r="E157" s="317">
        <v>0</v>
      </c>
    </row>
    <row r="158" spans="3:5" ht="12.75">
      <c r="C158" s="390"/>
      <c r="D158" s="317"/>
      <c r="E158" s="317"/>
    </row>
    <row r="159" spans="2:5" ht="25.5">
      <c r="B159" s="544" t="s">
        <v>648</v>
      </c>
      <c r="C159" s="390">
        <f>SUM(D159:E159)</f>
        <v>635</v>
      </c>
      <c r="D159" s="317">
        <v>500</v>
      </c>
      <c r="E159" s="317">
        <v>135</v>
      </c>
    </row>
    <row r="160" spans="3:5" ht="12.75">
      <c r="C160" s="390"/>
      <c r="D160" s="317"/>
      <c r="E160" s="317"/>
    </row>
    <row r="161" spans="2:5" ht="12.75">
      <c r="B161" t="s">
        <v>649</v>
      </c>
      <c r="C161" s="390">
        <f>SUM(D161:E161)</f>
        <v>1207</v>
      </c>
      <c r="D161" s="317">
        <v>950</v>
      </c>
      <c r="E161" s="317">
        <v>257</v>
      </c>
    </row>
    <row r="163" spans="2:5" ht="12.75">
      <c r="B163" t="s">
        <v>650</v>
      </c>
      <c r="C163" s="390">
        <f>SUM(D163:E163)</f>
        <v>953</v>
      </c>
      <c r="D163" s="317">
        <v>750</v>
      </c>
      <c r="E163" s="317">
        <v>203</v>
      </c>
    </row>
    <row r="164" spans="3:5" ht="12.75">
      <c r="C164" s="390"/>
      <c r="D164" s="317"/>
      <c r="E164" s="317"/>
    </row>
    <row r="165" spans="2:5" ht="25.5">
      <c r="B165" s="544" t="s">
        <v>656</v>
      </c>
      <c r="C165" s="390">
        <f>SUM(D165:E165)</f>
        <v>762</v>
      </c>
      <c r="D165" s="317">
        <v>600</v>
      </c>
      <c r="E165" s="317">
        <v>162</v>
      </c>
    </row>
    <row r="166" spans="2:5" ht="12.75">
      <c r="B166" s="544"/>
      <c r="C166" s="390"/>
      <c r="D166" s="317"/>
      <c r="E166" s="317"/>
    </row>
    <row r="167" spans="2:5" ht="25.5">
      <c r="B167" s="544" t="s">
        <v>657</v>
      </c>
      <c r="C167" s="390">
        <f>SUM(D167:E167)</f>
        <v>508</v>
      </c>
      <c r="D167" s="317">
        <v>400</v>
      </c>
      <c r="E167" s="317">
        <v>108</v>
      </c>
    </row>
    <row r="168" spans="2:5" ht="12.75">
      <c r="B168" s="544"/>
      <c r="C168" s="390"/>
      <c r="D168" s="317"/>
      <c r="E168" s="317"/>
    </row>
    <row r="169" spans="1:5" ht="12.75">
      <c r="A169" t="s">
        <v>681</v>
      </c>
      <c r="B169" s="544" t="s">
        <v>682</v>
      </c>
      <c r="C169" s="390">
        <f>SUM(D169:E169)</f>
        <v>1232</v>
      </c>
      <c r="D169" s="317">
        <v>970</v>
      </c>
      <c r="E169" s="317">
        <v>262</v>
      </c>
    </row>
    <row r="170" spans="2:5" ht="12.75">
      <c r="B170" s="544"/>
      <c r="C170" s="390"/>
      <c r="D170" s="317"/>
      <c r="E170" s="317"/>
    </row>
    <row r="171" spans="2:5" ht="12.75">
      <c r="B171" s="544" t="s">
        <v>683</v>
      </c>
      <c r="C171" s="390">
        <f>SUM(D171:E171)</f>
        <v>508</v>
      </c>
      <c r="D171" s="317">
        <v>400</v>
      </c>
      <c r="E171" s="317">
        <v>108</v>
      </c>
    </row>
    <row r="172" spans="2:5" ht="12.75">
      <c r="B172" s="544"/>
      <c r="C172" s="390"/>
      <c r="D172" s="317"/>
      <c r="E172" s="317"/>
    </row>
    <row r="173" spans="2:5" ht="12.75">
      <c r="B173" s="544" t="s">
        <v>685</v>
      </c>
      <c r="C173" s="390">
        <f>SUM(D173:E173)</f>
        <v>381</v>
      </c>
      <c r="D173" s="317">
        <v>300</v>
      </c>
      <c r="E173" s="317">
        <v>81</v>
      </c>
    </row>
    <row r="174" spans="2:5" ht="12.75">
      <c r="B174" s="544"/>
      <c r="C174" s="390"/>
      <c r="D174" s="317"/>
      <c r="E174" s="317"/>
    </row>
    <row r="175" spans="2:5" ht="12.75">
      <c r="B175" s="544" t="s">
        <v>686</v>
      </c>
      <c r="C175" s="390">
        <f>SUM(D175:E175)</f>
        <v>1468</v>
      </c>
      <c r="D175" s="317">
        <v>1156</v>
      </c>
      <c r="E175" s="317">
        <v>312</v>
      </c>
    </row>
    <row r="176" spans="2:5" ht="12.75">
      <c r="B176" s="544"/>
      <c r="C176" s="390"/>
      <c r="D176" s="317"/>
      <c r="E176" s="317"/>
    </row>
    <row r="177" spans="2:5" ht="12.75">
      <c r="B177" s="544"/>
      <c r="C177" s="390">
        <f>SUM(D177:E177)</f>
        <v>0</v>
      </c>
      <c r="D177" s="317"/>
      <c r="E177" s="317"/>
    </row>
    <row r="178" spans="3:5" ht="12.75">
      <c r="C178" s="390"/>
      <c r="D178" s="317"/>
      <c r="E178" s="317"/>
    </row>
    <row r="179" spans="3:5" ht="12.75">
      <c r="C179" s="390">
        <f>SUM(D179:E179)</f>
        <v>0</v>
      </c>
      <c r="D179" s="317"/>
      <c r="E179" s="317"/>
    </row>
    <row r="180" spans="3:5" ht="13.5" thickBot="1">
      <c r="C180" s="105"/>
      <c r="D180" s="51"/>
      <c r="E180" s="105"/>
    </row>
    <row r="181" spans="2:6" ht="13.5" thickBot="1">
      <c r="B181" s="391" t="s">
        <v>531</v>
      </c>
      <c r="C181" s="392">
        <f>SUM(C140+C142+C143+C145+C150+C152+C134+C135+C153+C155+C157+C159+C161+C163+C165+C167+C169+C171+C179+C173+C175+C177)</f>
        <v>56811.1</v>
      </c>
      <c r="D181" s="392">
        <f>SUM(D140+D142+D143+D145+D150+D152+D134+D135+D153+D155+D157+D159+D161+D163+D165+D167+D169+D171+D179+D173+D175+D177)</f>
        <v>44817</v>
      </c>
      <c r="E181" s="406">
        <f>SUM(E140+E142+E143+E145+E150+E152+E134+E135+E153+E155+E157+E159+E161+E163+E165+E167+E169+E171+E179+E173+E175+E177)</f>
        <v>11994.1</v>
      </c>
      <c r="F181" s="51">
        <f>SUM(D181:E181)</f>
        <v>56811.1</v>
      </c>
    </row>
    <row r="182" spans="3:5" ht="12.75">
      <c r="C182" s="105"/>
      <c r="D182" s="51"/>
      <c r="E182" s="105"/>
    </row>
    <row r="183" spans="2:5" ht="12.75" hidden="1">
      <c r="B183" t="s">
        <v>532</v>
      </c>
      <c r="C183" s="105">
        <f>SUM(D183:E183)</f>
        <v>381</v>
      </c>
      <c r="D183" s="11">
        <v>300</v>
      </c>
      <c r="E183">
        <v>81</v>
      </c>
    </row>
    <row r="185" spans="1:14" s="11" customFormat="1" ht="16.5" hidden="1" thickBot="1">
      <c r="A185"/>
      <c r="B185" s="1041" t="s">
        <v>31</v>
      </c>
      <c r="C185" s="1043" t="s">
        <v>638</v>
      </c>
      <c r="D185" s="1044"/>
      <c r="E185" s="1044"/>
      <c r="F185" s="1044"/>
      <c r="G185" s="1044"/>
      <c r="H185" s="1044"/>
      <c r="I185" s="1044"/>
      <c r="J185" s="1044"/>
      <c r="K185" s="1044"/>
      <c r="L185" s="1044"/>
      <c r="M185" s="1044"/>
      <c r="N185" s="1045"/>
    </row>
    <row r="186" spans="1:14" s="11" customFormat="1" ht="60.75" hidden="1" thickBot="1">
      <c r="A186"/>
      <c r="B186" s="1042"/>
      <c r="C186" s="287" t="s">
        <v>383</v>
      </c>
      <c r="D186" s="284" t="s">
        <v>380</v>
      </c>
      <c r="E186" s="284" t="s">
        <v>156</v>
      </c>
      <c r="F186" s="285" t="s">
        <v>381</v>
      </c>
      <c r="G186" s="285" t="s">
        <v>384</v>
      </c>
      <c r="H186" s="285" t="s">
        <v>158</v>
      </c>
      <c r="I186" s="287" t="s">
        <v>382</v>
      </c>
      <c r="J186" s="287" t="s">
        <v>396</v>
      </c>
      <c r="K186" s="287" t="s">
        <v>159</v>
      </c>
      <c r="L186" s="287"/>
      <c r="M186" s="287" t="s">
        <v>157</v>
      </c>
      <c r="N186" s="288" t="s">
        <v>56</v>
      </c>
    </row>
    <row r="187" spans="1:14" s="11" customFormat="1" ht="12.75" hidden="1">
      <c r="A187"/>
      <c r="B187" s="25" t="s">
        <v>351</v>
      </c>
      <c r="C187" s="55">
        <f aca="true" t="shared" si="17" ref="C187:N187">SUM(C188:C193)</f>
        <v>7030</v>
      </c>
      <c r="D187" s="55">
        <f t="shared" si="17"/>
        <v>5270</v>
      </c>
      <c r="E187" s="55">
        <f t="shared" si="17"/>
        <v>0</v>
      </c>
      <c r="F187" s="55">
        <f t="shared" si="17"/>
        <v>0</v>
      </c>
      <c r="G187" s="55">
        <f t="shared" si="17"/>
        <v>12399</v>
      </c>
      <c r="H187" s="55">
        <f t="shared" si="17"/>
        <v>1085</v>
      </c>
      <c r="I187" s="55">
        <f t="shared" si="17"/>
        <v>0</v>
      </c>
      <c r="J187" s="55">
        <f t="shared" si="17"/>
        <v>0</v>
      </c>
      <c r="K187" s="55">
        <f t="shared" si="17"/>
        <v>0</v>
      </c>
      <c r="L187" s="55"/>
      <c r="M187" s="55">
        <f t="shared" si="17"/>
        <v>2850</v>
      </c>
      <c r="N187" s="55">
        <f t="shared" si="17"/>
        <v>28634</v>
      </c>
    </row>
    <row r="188" spans="1:14" s="11" customFormat="1" ht="12.75" hidden="1">
      <c r="A188"/>
      <c r="B188" s="68" t="s">
        <v>425</v>
      </c>
      <c r="C188" s="303">
        <v>480</v>
      </c>
      <c r="D188" s="291">
        <v>4048</v>
      </c>
      <c r="E188" s="291"/>
      <c r="F188" s="291"/>
      <c r="G188" s="291">
        <v>11784</v>
      </c>
      <c r="H188" s="291">
        <v>999</v>
      </c>
      <c r="I188" s="291"/>
      <c r="J188" s="291"/>
      <c r="K188" s="291"/>
      <c r="L188" s="291"/>
      <c r="M188" s="291">
        <v>2850</v>
      </c>
      <c r="N188" s="291">
        <f aca="true" t="shared" si="18" ref="N188:N201">SUM(C188:M188)</f>
        <v>20161</v>
      </c>
    </row>
    <row r="189" spans="1:14" s="11" customFormat="1" ht="12.75" hidden="1">
      <c r="A189"/>
      <c r="B189" s="68" t="s">
        <v>72</v>
      </c>
      <c r="C189" s="303"/>
      <c r="D189" s="122">
        <v>86</v>
      </c>
      <c r="E189" s="122"/>
      <c r="F189" s="122"/>
      <c r="G189" s="122">
        <v>123</v>
      </c>
      <c r="H189" s="122"/>
      <c r="I189" s="122"/>
      <c r="J189" s="122"/>
      <c r="K189" s="122"/>
      <c r="L189" s="122"/>
      <c r="M189" s="122"/>
      <c r="N189" s="122">
        <f t="shared" si="18"/>
        <v>209</v>
      </c>
    </row>
    <row r="190" spans="1:14" s="11" customFormat="1" ht="12.75" hidden="1">
      <c r="A190"/>
      <c r="B190" s="10" t="s">
        <v>419</v>
      </c>
      <c r="C190" s="266"/>
      <c r="D190" s="22">
        <v>192</v>
      </c>
      <c r="E190" s="22"/>
      <c r="F190" s="22"/>
      <c r="G190" s="22">
        <v>492</v>
      </c>
      <c r="H190" s="22">
        <v>86</v>
      </c>
      <c r="I190" s="22"/>
      <c r="J190" s="22"/>
      <c r="K190" s="22"/>
      <c r="L190" s="22"/>
      <c r="M190" s="22"/>
      <c r="N190" s="122">
        <f t="shared" si="18"/>
        <v>770</v>
      </c>
    </row>
    <row r="191" spans="1:14" s="11" customFormat="1" ht="12.75" hidden="1">
      <c r="A191"/>
      <c r="B191" s="10" t="s">
        <v>546</v>
      </c>
      <c r="C191" s="266"/>
      <c r="D191" s="22">
        <v>944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122">
        <f t="shared" si="18"/>
        <v>944</v>
      </c>
    </row>
    <row r="192" spans="1:14" s="11" customFormat="1" ht="12.75" hidden="1">
      <c r="A192"/>
      <c r="B192" s="10" t="s">
        <v>561</v>
      </c>
      <c r="C192" s="266">
        <v>250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122">
        <f t="shared" si="18"/>
        <v>250</v>
      </c>
    </row>
    <row r="193" spans="1:14" s="11" customFormat="1" ht="12.75" hidden="1">
      <c r="A193"/>
      <c r="B193" s="30" t="s">
        <v>376</v>
      </c>
      <c r="C193" s="22">
        <v>6300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122">
        <f t="shared" si="18"/>
        <v>6300</v>
      </c>
    </row>
    <row r="194" spans="1:14" s="11" customFormat="1" ht="12.75" hidden="1">
      <c r="A194"/>
      <c r="B194" s="34" t="s">
        <v>418</v>
      </c>
      <c r="C194" s="262">
        <f aca="true" t="shared" si="19" ref="C194:M194">SUM(C195:C201)</f>
        <v>14870</v>
      </c>
      <c r="D194" s="262">
        <f t="shared" si="19"/>
        <v>0</v>
      </c>
      <c r="E194" s="262">
        <f t="shared" si="19"/>
        <v>0</v>
      </c>
      <c r="F194" s="262">
        <f t="shared" si="19"/>
        <v>0</v>
      </c>
      <c r="G194" s="262">
        <f t="shared" si="19"/>
        <v>2640</v>
      </c>
      <c r="H194" s="262">
        <f t="shared" si="19"/>
        <v>0</v>
      </c>
      <c r="I194" s="262">
        <f t="shared" si="19"/>
        <v>0</v>
      </c>
      <c r="J194" s="262">
        <f t="shared" si="19"/>
        <v>0</v>
      </c>
      <c r="K194" s="262">
        <f t="shared" si="19"/>
        <v>0</v>
      </c>
      <c r="L194" s="262"/>
      <c r="M194" s="262">
        <f t="shared" si="19"/>
        <v>0</v>
      </c>
      <c r="N194" s="380">
        <f t="shared" si="18"/>
        <v>17510</v>
      </c>
    </row>
    <row r="195" spans="1:14" s="11" customFormat="1" ht="12.75" hidden="1">
      <c r="A195"/>
      <c r="B195" s="30" t="s">
        <v>69</v>
      </c>
      <c r="C195" s="303">
        <v>5372</v>
      </c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2">
        <f t="shared" si="18"/>
        <v>5372</v>
      </c>
    </row>
    <row r="196" spans="1:14" s="11" customFormat="1" ht="12.75" hidden="1">
      <c r="A196"/>
      <c r="B196" s="308" t="s">
        <v>542</v>
      </c>
      <c r="C196" s="303">
        <v>808</v>
      </c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2">
        <f t="shared" si="18"/>
        <v>808</v>
      </c>
    </row>
    <row r="197" spans="1:14" s="11" customFormat="1" ht="12.75" hidden="1">
      <c r="A197"/>
      <c r="B197" s="2" t="s">
        <v>419</v>
      </c>
      <c r="C197" s="22">
        <v>140</v>
      </c>
      <c r="D197" s="22"/>
      <c r="E197" s="262"/>
      <c r="F197" s="262"/>
      <c r="G197" s="262"/>
      <c r="H197" s="262"/>
      <c r="I197" s="262"/>
      <c r="J197" s="262"/>
      <c r="K197" s="262"/>
      <c r="L197" s="262"/>
      <c r="M197" s="262"/>
      <c r="N197" s="22">
        <f t="shared" si="18"/>
        <v>140</v>
      </c>
    </row>
    <row r="198" spans="1:14" s="11" customFormat="1" ht="12.75" hidden="1">
      <c r="A198"/>
      <c r="B198" s="30" t="s">
        <v>375</v>
      </c>
      <c r="C198" s="22">
        <v>600</v>
      </c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2">
        <f t="shared" si="18"/>
        <v>600</v>
      </c>
    </row>
    <row r="199" spans="1:14" s="11" customFormat="1" ht="12.75" hidden="1">
      <c r="A199"/>
      <c r="B199" s="30" t="s">
        <v>395</v>
      </c>
      <c r="C199" s="22"/>
      <c r="D199" s="262"/>
      <c r="E199" s="262"/>
      <c r="F199" s="262"/>
      <c r="G199" s="22">
        <v>2640</v>
      </c>
      <c r="H199" s="262"/>
      <c r="I199" s="262"/>
      <c r="J199" s="262"/>
      <c r="K199" s="262"/>
      <c r="L199" s="262"/>
      <c r="M199" s="262"/>
      <c r="N199" s="22">
        <f t="shared" si="18"/>
        <v>2640</v>
      </c>
    </row>
    <row r="200" spans="1:14" s="11" customFormat="1" ht="12.75" hidden="1">
      <c r="A200"/>
      <c r="B200" s="30" t="s">
        <v>436</v>
      </c>
      <c r="C200" s="303">
        <v>1000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4">
        <f t="shared" si="18"/>
        <v>1000</v>
      </c>
    </row>
    <row r="201" spans="1:14" s="11" customFormat="1" ht="12.75" hidden="1">
      <c r="A201"/>
      <c r="B201" s="30" t="s">
        <v>543</v>
      </c>
      <c r="C201" s="22">
        <v>6950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>
        <f t="shared" si="18"/>
        <v>6950</v>
      </c>
    </row>
    <row r="202" spans="1:14" s="11" customFormat="1" ht="12.75" hidden="1">
      <c r="A202"/>
      <c r="B202" s="184" t="s">
        <v>349</v>
      </c>
      <c r="C202" s="282">
        <f aca="true" t="shared" si="20" ref="C202:N202">SUM(C187+C194)</f>
        <v>21900</v>
      </c>
      <c r="D202" s="282">
        <f t="shared" si="20"/>
        <v>5270</v>
      </c>
      <c r="E202" s="282">
        <f t="shared" si="20"/>
        <v>0</v>
      </c>
      <c r="F202" s="282">
        <f t="shared" si="20"/>
        <v>0</v>
      </c>
      <c r="G202" s="282">
        <f t="shared" si="20"/>
        <v>15039</v>
      </c>
      <c r="H202" s="282">
        <f t="shared" si="20"/>
        <v>1085</v>
      </c>
      <c r="I202" s="282">
        <f t="shared" si="20"/>
        <v>0</v>
      </c>
      <c r="J202" s="282">
        <f t="shared" si="20"/>
        <v>0</v>
      </c>
      <c r="K202" s="282">
        <f t="shared" si="20"/>
        <v>0</v>
      </c>
      <c r="L202" s="282"/>
      <c r="M202" s="282">
        <f t="shared" si="20"/>
        <v>2850</v>
      </c>
      <c r="N202" s="282">
        <f t="shared" si="20"/>
        <v>46144</v>
      </c>
    </row>
    <row r="203" spans="1:14" s="11" customFormat="1" ht="12.75" hidden="1">
      <c r="A203"/>
      <c r="B203" s="30" t="s">
        <v>32</v>
      </c>
      <c r="C203" s="19">
        <v>6000</v>
      </c>
      <c r="D203" s="14">
        <f>SUM(D188+D191)*0.27</f>
        <v>1347.8400000000001</v>
      </c>
      <c r="E203" s="14"/>
      <c r="F203" s="14"/>
      <c r="G203" s="14">
        <f>SUM(G188+G199)*0.27</f>
        <v>3894.4800000000005</v>
      </c>
      <c r="H203" s="14">
        <f>SUM(H188*0.27)</f>
        <v>269.73</v>
      </c>
      <c r="I203" s="14"/>
      <c r="J203" s="14"/>
      <c r="K203" s="14"/>
      <c r="L203" s="14"/>
      <c r="M203" s="14">
        <f>SUM(M188*0.27)</f>
        <v>769.5</v>
      </c>
      <c r="N203" s="14">
        <f>SUM(C203:M203)</f>
        <v>12281.55</v>
      </c>
    </row>
    <row r="204" spans="1:14" s="11" customFormat="1" ht="12.75" hidden="1">
      <c r="A204"/>
      <c r="B204" s="30" t="s">
        <v>502</v>
      </c>
      <c r="C204" s="19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f>SUM(C204:M204)</f>
        <v>0</v>
      </c>
    </row>
    <row r="205" spans="1:14" s="11" customFormat="1" ht="12.75" hidden="1">
      <c r="A205"/>
      <c r="B205" s="30" t="s">
        <v>155</v>
      </c>
      <c r="C205" s="14">
        <v>560</v>
      </c>
      <c r="D205" s="14">
        <v>70</v>
      </c>
      <c r="E205" s="14"/>
      <c r="F205" s="14"/>
      <c r="G205" s="14">
        <v>200</v>
      </c>
      <c r="H205" s="14">
        <v>35</v>
      </c>
      <c r="I205" s="14"/>
      <c r="J205" s="14"/>
      <c r="K205" s="14"/>
      <c r="L205" s="14"/>
      <c r="M205" s="14"/>
      <c r="N205" s="14">
        <f>SUM(C205:M205)</f>
        <v>865</v>
      </c>
    </row>
    <row r="206" spans="1:14" s="11" customFormat="1" ht="12.75" hidden="1">
      <c r="A206"/>
      <c r="B206" s="184" t="s">
        <v>140</v>
      </c>
      <c r="C206" s="282">
        <f>SUM(C203:C205)</f>
        <v>6560</v>
      </c>
      <c r="D206" s="282">
        <f aca="true" t="shared" si="21" ref="D206:N206">SUM(D203:D205)</f>
        <v>1417.8400000000001</v>
      </c>
      <c r="E206" s="282">
        <f t="shared" si="21"/>
        <v>0</v>
      </c>
      <c r="F206" s="282">
        <f t="shared" si="21"/>
        <v>0</v>
      </c>
      <c r="G206" s="282">
        <f t="shared" si="21"/>
        <v>4094.4800000000005</v>
      </c>
      <c r="H206" s="282">
        <f t="shared" si="21"/>
        <v>304.73</v>
      </c>
      <c r="I206" s="282">
        <f t="shared" si="21"/>
        <v>0</v>
      </c>
      <c r="J206" s="282">
        <f t="shared" si="21"/>
        <v>0</v>
      </c>
      <c r="K206" s="282">
        <f t="shared" si="21"/>
        <v>0</v>
      </c>
      <c r="L206" s="282"/>
      <c r="M206" s="282">
        <f t="shared" si="21"/>
        <v>769.5</v>
      </c>
      <c r="N206" s="282">
        <f t="shared" si="21"/>
        <v>13146.55</v>
      </c>
    </row>
    <row r="207" spans="1:14" s="11" customFormat="1" ht="12.75" hidden="1">
      <c r="A207"/>
      <c r="B207" s="34" t="s">
        <v>337</v>
      </c>
      <c r="C207" s="115">
        <f>SUM(C208:C215)</f>
        <v>2330</v>
      </c>
      <c r="D207" s="115">
        <f aca="true" t="shared" si="22" ref="D207:N207">SUM(D208:D215)</f>
        <v>40</v>
      </c>
      <c r="E207" s="115">
        <f t="shared" si="22"/>
        <v>0</v>
      </c>
      <c r="F207" s="115">
        <f t="shared" si="22"/>
        <v>150</v>
      </c>
      <c r="G207" s="115">
        <f t="shared" si="22"/>
        <v>500</v>
      </c>
      <c r="H207" s="115">
        <f t="shared" si="22"/>
        <v>0</v>
      </c>
      <c r="I207" s="115">
        <f t="shared" si="22"/>
        <v>0</v>
      </c>
      <c r="J207" s="115">
        <f t="shared" si="22"/>
        <v>0</v>
      </c>
      <c r="K207" s="115">
        <f t="shared" si="22"/>
        <v>40</v>
      </c>
      <c r="L207" s="115"/>
      <c r="M207" s="115">
        <f t="shared" si="22"/>
        <v>0</v>
      </c>
      <c r="N207" s="115">
        <f t="shared" si="22"/>
        <v>3060</v>
      </c>
    </row>
    <row r="208" spans="1:14" s="11" customFormat="1" ht="12.75" hidden="1">
      <c r="A208"/>
      <c r="B208" s="30" t="s">
        <v>552</v>
      </c>
      <c r="C208" s="283">
        <v>200</v>
      </c>
      <c r="D208" s="283">
        <v>0</v>
      </c>
      <c r="E208" s="14"/>
      <c r="F208" s="14">
        <v>50</v>
      </c>
      <c r="G208" s="14"/>
      <c r="H208" s="14"/>
      <c r="I208" s="14"/>
      <c r="J208" s="14"/>
      <c r="K208" s="14"/>
      <c r="L208" s="14"/>
      <c r="M208" s="14"/>
      <c r="N208" s="14">
        <f>SUM(C208:M208)</f>
        <v>250</v>
      </c>
    </row>
    <row r="209" spans="1:14" s="11" customFormat="1" ht="12.75" hidden="1">
      <c r="A209"/>
      <c r="B209" s="30" t="s">
        <v>338</v>
      </c>
      <c r="C209" s="283"/>
      <c r="D209" s="283"/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f aca="true" t="shared" si="23" ref="N209:N215">SUM(C209:M209)</f>
        <v>0</v>
      </c>
    </row>
    <row r="210" spans="1:14" s="11" customFormat="1" ht="12.75" hidden="1">
      <c r="A210"/>
      <c r="B210" s="30" t="s">
        <v>574</v>
      </c>
      <c r="C210" s="283">
        <v>100</v>
      </c>
      <c r="D210" s="283">
        <v>10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>
        <f t="shared" si="23"/>
        <v>110</v>
      </c>
    </row>
    <row r="211" spans="1:14" s="11" customFormat="1" ht="12.75" hidden="1">
      <c r="A211"/>
      <c r="B211" s="30" t="s">
        <v>360</v>
      </c>
      <c r="C211" s="283">
        <v>100</v>
      </c>
      <c r="D211" s="283"/>
      <c r="E211" s="14"/>
      <c r="F211" s="14"/>
      <c r="G211" s="14">
        <v>100</v>
      </c>
      <c r="H211" s="14"/>
      <c r="I211" s="14"/>
      <c r="J211" s="14"/>
      <c r="K211" s="14"/>
      <c r="L211" s="14"/>
      <c r="M211" s="14"/>
      <c r="N211" s="14">
        <f t="shared" si="23"/>
        <v>200</v>
      </c>
    </row>
    <row r="212" spans="1:14" s="11" customFormat="1" ht="12.75" hidden="1">
      <c r="A212"/>
      <c r="B212" s="30" t="s">
        <v>339</v>
      </c>
      <c r="C212" s="283"/>
      <c r="D212" s="283"/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f t="shared" si="23"/>
        <v>0</v>
      </c>
    </row>
    <row r="213" spans="1:14" s="11" customFormat="1" ht="12.75" hidden="1">
      <c r="A213"/>
      <c r="B213" s="30" t="s">
        <v>361</v>
      </c>
      <c r="C213" s="283">
        <v>1200</v>
      </c>
      <c r="D213" s="283"/>
      <c r="E213" s="14"/>
      <c r="F213" s="14"/>
      <c r="G213" s="14"/>
      <c r="H213" s="14"/>
      <c r="I213" s="14"/>
      <c r="J213" s="14"/>
      <c r="K213" s="14"/>
      <c r="L213" s="14"/>
      <c r="M213" s="14"/>
      <c r="N213" s="14">
        <f t="shared" si="23"/>
        <v>1200</v>
      </c>
    </row>
    <row r="214" spans="1:14" s="11" customFormat="1" ht="12.75" hidden="1">
      <c r="A214"/>
      <c r="B214" s="30" t="s">
        <v>573</v>
      </c>
      <c r="C214" s="283">
        <v>700</v>
      </c>
      <c r="D214" s="283">
        <v>0</v>
      </c>
      <c r="E214" s="14"/>
      <c r="F214" s="14">
        <v>100</v>
      </c>
      <c r="G214" s="14">
        <v>400</v>
      </c>
      <c r="H214" s="14"/>
      <c r="I214" s="14"/>
      <c r="J214" s="14"/>
      <c r="K214" s="14">
        <v>40</v>
      </c>
      <c r="L214" s="14"/>
      <c r="M214" s="14"/>
      <c r="N214" s="14">
        <f t="shared" si="23"/>
        <v>1240</v>
      </c>
    </row>
    <row r="215" spans="1:14" s="11" customFormat="1" ht="12.75" hidden="1">
      <c r="A215"/>
      <c r="B215" s="30" t="s">
        <v>388</v>
      </c>
      <c r="C215" s="283">
        <v>30</v>
      </c>
      <c r="D215" s="283">
        <v>30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>
        <f t="shared" si="23"/>
        <v>60</v>
      </c>
    </row>
    <row r="216" spans="1:14" s="11" customFormat="1" ht="12.75" hidden="1">
      <c r="A216"/>
      <c r="B216" s="34" t="s">
        <v>340</v>
      </c>
      <c r="C216" s="115">
        <f>SUM(C217:C218)</f>
        <v>750</v>
      </c>
      <c r="D216" s="115">
        <f aca="true" t="shared" si="24" ref="D216:N216">SUM(D217:D218)</f>
        <v>0</v>
      </c>
      <c r="E216" s="115">
        <f t="shared" si="24"/>
        <v>0</v>
      </c>
      <c r="F216" s="115">
        <f t="shared" si="24"/>
        <v>15</v>
      </c>
      <c r="G216" s="115">
        <f t="shared" si="24"/>
        <v>250</v>
      </c>
      <c r="H216" s="115">
        <f t="shared" si="24"/>
        <v>0</v>
      </c>
      <c r="I216" s="115">
        <f t="shared" si="24"/>
        <v>0</v>
      </c>
      <c r="J216" s="115">
        <f t="shared" si="24"/>
        <v>0</v>
      </c>
      <c r="K216" s="115">
        <f t="shared" si="24"/>
        <v>75</v>
      </c>
      <c r="L216" s="115"/>
      <c r="M216" s="115">
        <f t="shared" si="24"/>
        <v>0</v>
      </c>
      <c r="N216" s="115">
        <f t="shared" si="24"/>
        <v>1090</v>
      </c>
    </row>
    <row r="217" spans="1:14" s="11" customFormat="1" ht="12.75" hidden="1">
      <c r="A217"/>
      <c r="B217" s="30" t="s">
        <v>392</v>
      </c>
      <c r="C217" s="283">
        <v>250</v>
      </c>
      <c r="D217" s="42"/>
      <c r="E217" s="14"/>
      <c r="F217" s="14"/>
      <c r="G217" s="14">
        <v>150</v>
      </c>
      <c r="H217" s="14"/>
      <c r="I217" s="14"/>
      <c r="J217" s="14"/>
      <c r="K217" s="14"/>
      <c r="L217" s="14"/>
      <c r="M217" s="14"/>
      <c r="N217" s="14">
        <f>SUM(C217:M217)</f>
        <v>400</v>
      </c>
    </row>
    <row r="218" spans="1:14" s="11" customFormat="1" ht="12.75" hidden="1">
      <c r="A218"/>
      <c r="B218" s="30" t="s">
        <v>363</v>
      </c>
      <c r="C218" s="283">
        <v>500</v>
      </c>
      <c r="D218" s="42"/>
      <c r="E218" s="14"/>
      <c r="F218" s="14">
        <v>15</v>
      </c>
      <c r="G218" s="14">
        <v>100</v>
      </c>
      <c r="H218" s="14"/>
      <c r="I218" s="14"/>
      <c r="J218" s="14"/>
      <c r="K218" s="14">
        <v>75</v>
      </c>
      <c r="L218" s="14"/>
      <c r="M218" s="14"/>
      <c r="N218" s="14">
        <f>SUM(C218:M218)</f>
        <v>690</v>
      </c>
    </row>
    <row r="219" spans="1:14" s="11" customFormat="1" ht="12.75" hidden="1">
      <c r="A219"/>
      <c r="B219" s="34" t="s">
        <v>342</v>
      </c>
      <c r="C219" s="115">
        <f aca="true" t="shared" si="25" ref="C219:N219">SUM(C220:C256)</f>
        <v>35905</v>
      </c>
      <c r="D219" s="115">
        <f t="shared" si="25"/>
        <v>0</v>
      </c>
      <c r="E219" s="115">
        <f t="shared" si="25"/>
        <v>11500</v>
      </c>
      <c r="F219" s="115">
        <f t="shared" si="25"/>
        <v>9750</v>
      </c>
      <c r="G219" s="115">
        <f t="shared" si="25"/>
        <v>5886</v>
      </c>
      <c r="H219" s="115">
        <f t="shared" si="25"/>
        <v>10000</v>
      </c>
      <c r="I219" s="115">
        <f t="shared" si="25"/>
        <v>0</v>
      </c>
      <c r="J219" s="115">
        <f t="shared" si="25"/>
        <v>2640</v>
      </c>
      <c r="K219" s="115">
        <f t="shared" si="25"/>
        <v>2000</v>
      </c>
      <c r="L219" s="115"/>
      <c r="M219" s="115">
        <f t="shared" si="25"/>
        <v>0</v>
      </c>
      <c r="N219" s="115">
        <f t="shared" si="25"/>
        <v>77681</v>
      </c>
    </row>
    <row r="220" spans="1:14" s="11" customFormat="1" ht="12.75" hidden="1">
      <c r="A220"/>
      <c r="B220" s="30" t="s">
        <v>359</v>
      </c>
      <c r="C220" s="283">
        <v>3000</v>
      </c>
      <c r="D220" s="42"/>
      <c r="E220" s="14">
        <v>11500</v>
      </c>
      <c r="F220" s="14">
        <v>400</v>
      </c>
      <c r="G220" s="14">
        <v>2100</v>
      </c>
      <c r="H220" s="14"/>
      <c r="I220" s="14"/>
      <c r="J220" s="14"/>
      <c r="K220" s="14">
        <v>2000</v>
      </c>
      <c r="L220" s="14"/>
      <c r="M220" s="14"/>
      <c r="N220" s="14">
        <f>SUM(C220:M220)</f>
        <v>19000</v>
      </c>
    </row>
    <row r="221" spans="1:14" s="11" customFormat="1" ht="12.75" hidden="1">
      <c r="A221"/>
      <c r="B221" s="30" t="s">
        <v>387</v>
      </c>
      <c r="C221" s="283"/>
      <c r="D221" s="42"/>
      <c r="E221" s="14"/>
      <c r="F221" s="14"/>
      <c r="G221" s="14"/>
      <c r="H221" s="14">
        <v>10000</v>
      </c>
      <c r="I221" s="14"/>
      <c r="J221" s="14"/>
      <c r="K221" s="14"/>
      <c r="L221" s="14"/>
      <c r="M221" s="14"/>
      <c r="N221" s="14">
        <f aca="true" t="shared" si="26" ref="N221:N259">SUM(C221:M221)</f>
        <v>10000</v>
      </c>
    </row>
    <row r="222" spans="1:14" s="11" customFormat="1" ht="12.75" hidden="1">
      <c r="A222"/>
      <c r="B222" s="30" t="s">
        <v>358</v>
      </c>
      <c r="C222" s="283">
        <v>200</v>
      </c>
      <c r="D222" s="42"/>
      <c r="E222" s="14"/>
      <c r="F222" s="14"/>
      <c r="G222" s="14">
        <v>600</v>
      </c>
      <c r="H222" s="14"/>
      <c r="I222" s="14"/>
      <c r="J222" s="14"/>
      <c r="K222" s="14"/>
      <c r="L222" s="14"/>
      <c r="M222" s="14"/>
      <c r="N222" s="14">
        <f t="shared" si="26"/>
        <v>800</v>
      </c>
    </row>
    <row r="223" spans="1:14" s="11" customFormat="1" ht="12.75" hidden="1">
      <c r="A223"/>
      <c r="B223" s="30" t="s">
        <v>357</v>
      </c>
      <c r="C223" s="283">
        <v>1000</v>
      </c>
      <c r="D223" s="42"/>
      <c r="E223" s="14"/>
      <c r="F223" s="14">
        <v>50</v>
      </c>
      <c r="G223" s="14">
        <v>700</v>
      </c>
      <c r="H223" s="14"/>
      <c r="I223" s="14"/>
      <c r="J223" s="14"/>
      <c r="K223" s="14"/>
      <c r="L223" s="14"/>
      <c r="M223" s="14"/>
      <c r="N223" s="14">
        <f t="shared" si="26"/>
        <v>1750</v>
      </c>
    </row>
    <row r="224" spans="1:14" s="11" customFormat="1" ht="12.75" hidden="1">
      <c r="A224"/>
      <c r="B224" s="30" t="s">
        <v>533</v>
      </c>
      <c r="C224" s="283"/>
      <c r="D224" s="42"/>
      <c r="E224" s="14"/>
      <c r="F224" s="14"/>
      <c r="G224" s="14">
        <v>796</v>
      </c>
      <c r="H224" s="14"/>
      <c r="I224" s="14"/>
      <c r="J224" s="14"/>
      <c r="K224" s="14"/>
      <c r="L224" s="14"/>
      <c r="M224" s="14"/>
      <c r="N224" s="14">
        <f t="shared" si="26"/>
        <v>796</v>
      </c>
    </row>
    <row r="225" spans="1:14" s="11" customFormat="1" ht="12.75" hidden="1">
      <c r="A225"/>
      <c r="B225" s="30" t="s">
        <v>356</v>
      </c>
      <c r="C225" s="283"/>
      <c r="D225" s="42"/>
      <c r="E225" s="14"/>
      <c r="F225" s="14"/>
      <c r="G225" s="14"/>
      <c r="H225" s="14"/>
      <c r="I225" s="14"/>
      <c r="J225" s="14"/>
      <c r="K225" s="14"/>
      <c r="L225" s="14"/>
      <c r="M225" s="14"/>
      <c r="N225" s="14">
        <f t="shared" si="26"/>
        <v>0</v>
      </c>
    </row>
    <row r="226" spans="1:14" s="11" customFormat="1" ht="12.75" hidden="1">
      <c r="A226"/>
      <c r="B226" s="30" t="s">
        <v>355</v>
      </c>
      <c r="C226" s="283"/>
      <c r="D226" s="42"/>
      <c r="E226" s="14"/>
      <c r="F226" s="14"/>
      <c r="G226" s="14"/>
      <c r="H226" s="14"/>
      <c r="I226" s="14"/>
      <c r="J226" s="14"/>
      <c r="K226" s="14"/>
      <c r="L226" s="14"/>
      <c r="M226" s="14"/>
      <c r="N226" s="14">
        <f t="shared" si="26"/>
        <v>0</v>
      </c>
    </row>
    <row r="227" spans="1:14" s="11" customFormat="1" ht="12.75" hidden="1">
      <c r="A227"/>
      <c r="B227" s="30" t="s">
        <v>368</v>
      </c>
      <c r="C227" s="283">
        <v>1230</v>
      </c>
      <c r="D227" s="42"/>
      <c r="E227" s="14"/>
      <c r="F227" s="14"/>
      <c r="G227" s="14"/>
      <c r="H227" s="14"/>
      <c r="I227" s="14"/>
      <c r="J227" s="14"/>
      <c r="K227" s="14"/>
      <c r="L227" s="14"/>
      <c r="M227" s="14"/>
      <c r="N227" s="14">
        <f t="shared" si="26"/>
        <v>1230</v>
      </c>
    </row>
    <row r="228" spans="1:14" s="11" customFormat="1" ht="12.75" hidden="1">
      <c r="A228"/>
      <c r="B228" s="30" t="s">
        <v>369</v>
      </c>
      <c r="C228" s="283">
        <v>720</v>
      </c>
      <c r="D228" s="42"/>
      <c r="E228" s="14"/>
      <c r="F228" s="14"/>
      <c r="G228" s="14"/>
      <c r="H228" s="14"/>
      <c r="I228" s="14"/>
      <c r="J228" s="14"/>
      <c r="K228" s="14"/>
      <c r="L228" s="14"/>
      <c r="M228" s="14"/>
      <c r="N228" s="14">
        <f t="shared" si="26"/>
        <v>720</v>
      </c>
    </row>
    <row r="229" spans="1:14" s="11" customFormat="1" ht="12.75" hidden="1">
      <c r="A229"/>
      <c r="B229" s="30" t="s">
        <v>400</v>
      </c>
      <c r="C229" s="283">
        <v>1000</v>
      </c>
      <c r="D229" s="42"/>
      <c r="E229" s="14"/>
      <c r="F229" s="14"/>
      <c r="G229" s="14"/>
      <c r="H229" s="14"/>
      <c r="I229" s="14"/>
      <c r="J229" s="14"/>
      <c r="K229" s="14"/>
      <c r="L229" s="14"/>
      <c r="M229" s="14"/>
      <c r="N229" s="14">
        <f t="shared" si="26"/>
        <v>1000</v>
      </c>
    </row>
    <row r="230" spans="1:14" s="11" customFormat="1" ht="12.75" hidden="1">
      <c r="A230"/>
      <c r="B230" s="30" t="s">
        <v>391</v>
      </c>
      <c r="C230" s="10"/>
      <c r="D230" s="42"/>
      <c r="E230" s="14"/>
      <c r="F230" s="283">
        <v>1200</v>
      </c>
      <c r="G230" s="14"/>
      <c r="H230" s="14"/>
      <c r="I230" s="14"/>
      <c r="J230" s="14"/>
      <c r="K230" s="14"/>
      <c r="L230" s="14"/>
      <c r="M230" s="14"/>
      <c r="N230" s="14">
        <f t="shared" si="26"/>
        <v>1200</v>
      </c>
    </row>
    <row r="231" spans="1:14" s="11" customFormat="1" ht="12.75" hidden="1">
      <c r="A231"/>
      <c r="B231" s="30" t="s">
        <v>114</v>
      </c>
      <c r="C231" s="10"/>
      <c r="D231" s="42"/>
      <c r="E231" s="14"/>
      <c r="F231" s="283">
        <v>900</v>
      </c>
      <c r="G231" s="14"/>
      <c r="H231" s="14"/>
      <c r="I231" s="14"/>
      <c r="J231" s="14"/>
      <c r="K231" s="14"/>
      <c r="L231" s="14"/>
      <c r="M231" s="14"/>
      <c r="N231" s="14">
        <f t="shared" si="26"/>
        <v>900</v>
      </c>
    </row>
    <row r="232" spans="1:14" s="11" customFormat="1" ht="12.75" hidden="1">
      <c r="A232"/>
      <c r="B232" s="30" t="s">
        <v>115</v>
      </c>
      <c r="C232" s="10"/>
      <c r="D232" s="42"/>
      <c r="E232" s="14"/>
      <c r="F232" s="283">
        <v>800</v>
      </c>
      <c r="G232" s="14"/>
      <c r="H232" s="14"/>
      <c r="I232" s="14"/>
      <c r="J232" s="14"/>
      <c r="K232" s="14"/>
      <c r="L232" s="14"/>
      <c r="M232" s="14"/>
      <c r="N232" s="14">
        <f t="shared" si="26"/>
        <v>800</v>
      </c>
    </row>
    <row r="233" spans="1:14" s="11" customFormat="1" ht="12.75" hidden="1">
      <c r="A233"/>
      <c r="B233" s="30" t="s">
        <v>116</v>
      </c>
      <c r="C233" s="10"/>
      <c r="D233" s="42"/>
      <c r="E233" s="14"/>
      <c r="F233" s="283">
        <v>1200</v>
      </c>
      <c r="G233" s="14"/>
      <c r="H233" s="14"/>
      <c r="I233" s="14"/>
      <c r="J233" s="14"/>
      <c r="K233" s="14"/>
      <c r="L233" s="14"/>
      <c r="M233" s="14"/>
      <c r="N233" s="14">
        <f t="shared" si="26"/>
        <v>1200</v>
      </c>
    </row>
    <row r="234" spans="1:14" s="11" customFormat="1" ht="12.75" hidden="1">
      <c r="A234"/>
      <c r="B234" s="30" t="s">
        <v>548</v>
      </c>
      <c r="C234" s="10"/>
      <c r="D234" s="42"/>
      <c r="E234" s="14"/>
      <c r="F234" s="283">
        <v>4700</v>
      </c>
      <c r="G234" s="14"/>
      <c r="H234" s="14"/>
      <c r="I234" s="14"/>
      <c r="J234" s="14"/>
      <c r="K234" s="14"/>
      <c r="L234" s="14"/>
      <c r="M234" s="14"/>
      <c r="N234" s="14">
        <f t="shared" si="26"/>
        <v>4700</v>
      </c>
    </row>
    <row r="235" spans="1:14" s="11" customFormat="1" ht="12.75" hidden="1">
      <c r="A235"/>
      <c r="B235" s="30" t="s">
        <v>394</v>
      </c>
      <c r="C235" s="10">
        <v>100</v>
      </c>
      <c r="D235" s="42"/>
      <c r="E235" s="14"/>
      <c r="F235" s="283"/>
      <c r="G235" s="14"/>
      <c r="H235" s="14"/>
      <c r="I235" s="14"/>
      <c r="J235" s="14"/>
      <c r="K235" s="14"/>
      <c r="L235" s="14"/>
      <c r="M235" s="14"/>
      <c r="N235" s="14">
        <f t="shared" si="26"/>
        <v>100</v>
      </c>
    </row>
    <row r="236" spans="1:14" s="11" customFormat="1" ht="12.75" hidden="1">
      <c r="A236"/>
      <c r="B236" s="30" t="s">
        <v>371</v>
      </c>
      <c r="C236" s="10"/>
      <c r="D236" s="42"/>
      <c r="E236" s="14"/>
      <c r="F236" s="283">
        <v>500</v>
      </c>
      <c r="G236" s="14"/>
      <c r="H236" s="14"/>
      <c r="I236" s="14"/>
      <c r="J236" s="14"/>
      <c r="K236" s="14"/>
      <c r="L236" s="14"/>
      <c r="M236" s="14"/>
      <c r="N236" s="14">
        <f t="shared" si="26"/>
        <v>500</v>
      </c>
    </row>
    <row r="237" spans="1:14" s="11" customFormat="1" ht="12.75" hidden="1">
      <c r="A237"/>
      <c r="B237" s="30" t="s">
        <v>544</v>
      </c>
      <c r="C237" s="22">
        <v>2000</v>
      </c>
      <c r="D237" s="42"/>
      <c r="E237" s="14"/>
      <c r="F237" s="283"/>
      <c r="G237" s="14"/>
      <c r="H237" s="14"/>
      <c r="I237" s="14"/>
      <c r="J237" s="14"/>
      <c r="K237" s="14"/>
      <c r="L237" s="14"/>
      <c r="M237" s="14"/>
      <c r="N237" s="14">
        <f t="shared" si="26"/>
        <v>2000</v>
      </c>
    </row>
    <row r="238" spans="1:14" s="11" customFormat="1" ht="12.75" hidden="1">
      <c r="A238"/>
      <c r="B238" s="30" t="s">
        <v>397</v>
      </c>
      <c r="C238" s="22"/>
      <c r="D238" s="42"/>
      <c r="E238" s="14"/>
      <c r="F238" s="283"/>
      <c r="G238" s="14"/>
      <c r="H238" s="14"/>
      <c r="I238" s="14"/>
      <c r="J238" s="14">
        <v>2640</v>
      </c>
      <c r="K238" s="14"/>
      <c r="L238" s="14"/>
      <c r="M238" s="14"/>
      <c r="N238" s="14">
        <f t="shared" si="26"/>
        <v>2640</v>
      </c>
    </row>
    <row r="239" spans="1:14" s="11" customFormat="1" ht="12.75" hidden="1">
      <c r="A239"/>
      <c r="B239" s="30" t="s">
        <v>377</v>
      </c>
      <c r="C239" s="10">
        <v>605</v>
      </c>
      <c r="D239" s="42"/>
      <c r="E239" s="14"/>
      <c r="F239" s="283"/>
      <c r="G239" s="14"/>
      <c r="H239" s="14"/>
      <c r="I239" s="14"/>
      <c r="J239" s="14"/>
      <c r="K239" s="14"/>
      <c r="L239" s="14"/>
      <c r="M239" s="14"/>
      <c r="N239" s="14">
        <f t="shared" si="26"/>
        <v>605</v>
      </c>
    </row>
    <row r="240" spans="1:14" s="11" customFormat="1" ht="12.75" hidden="1">
      <c r="A240"/>
      <c r="B240" s="30" t="s">
        <v>551</v>
      </c>
      <c r="C240" s="14">
        <v>2000</v>
      </c>
      <c r="D240" s="42"/>
      <c r="E240" s="14"/>
      <c r="F240" s="283"/>
      <c r="G240" s="14"/>
      <c r="H240" s="14"/>
      <c r="I240" s="14"/>
      <c r="J240" s="14"/>
      <c r="K240" s="14"/>
      <c r="L240" s="14"/>
      <c r="M240" s="14"/>
      <c r="N240" s="14">
        <f t="shared" si="26"/>
        <v>2000</v>
      </c>
    </row>
    <row r="241" spans="1:14" s="11" customFormat="1" ht="12.75" hidden="1">
      <c r="A241"/>
      <c r="B241" s="30" t="s">
        <v>540</v>
      </c>
      <c r="C241" s="22">
        <v>7000</v>
      </c>
      <c r="D241" s="42"/>
      <c r="E241" s="14"/>
      <c r="F241" s="283"/>
      <c r="G241" s="14"/>
      <c r="H241" s="14"/>
      <c r="I241" s="14"/>
      <c r="J241" s="14"/>
      <c r="K241" s="14"/>
      <c r="L241" s="14"/>
      <c r="M241" s="14"/>
      <c r="N241" s="14">
        <f t="shared" si="26"/>
        <v>7000</v>
      </c>
    </row>
    <row r="242" spans="1:14" s="11" customFormat="1" ht="12.75" hidden="1">
      <c r="A242"/>
      <c r="B242" s="30" t="s">
        <v>550</v>
      </c>
      <c r="C242" s="22">
        <v>2000</v>
      </c>
      <c r="D242" s="42"/>
      <c r="E242" s="14"/>
      <c r="F242" s="283"/>
      <c r="G242" s="14"/>
      <c r="H242" s="14"/>
      <c r="I242" s="14"/>
      <c r="J242" s="14"/>
      <c r="K242" s="14"/>
      <c r="L242" s="14"/>
      <c r="M242" s="14"/>
      <c r="N242" s="14">
        <f t="shared" si="26"/>
        <v>2000</v>
      </c>
    </row>
    <row r="243" spans="1:14" s="11" customFormat="1" ht="12.75" hidden="1">
      <c r="A243"/>
      <c r="B243" s="30" t="s">
        <v>537</v>
      </c>
      <c r="C243" s="22">
        <v>500</v>
      </c>
      <c r="D243" s="42"/>
      <c r="E243" s="14"/>
      <c r="F243" s="283"/>
      <c r="G243" s="14"/>
      <c r="H243" s="14"/>
      <c r="I243" s="14"/>
      <c r="J243" s="14"/>
      <c r="K243" s="14"/>
      <c r="L243" s="14"/>
      <c r="M243" s="14"/>
      <c r="N243" s="14">
        <f t="shared" si="26"/>
        <v>500</v>
      </c>
    </row>
    <row r="244" spans="1:14" s="11" customFormat="1" ht="12.75" hidden="1">
      <c r="A244"/>
      <c r="B244" s="30" t="s">
        <v>538</v>
      </c>
      <c r="C244" s="22">
        <v>3000</v>
      </c>
      <c r="D244" s="42"/>
      <c r="E244" s="14"/>
      <c r="F244" s="283"/>
      <c r="G244" s="14"/>
      <c r="H244" s="14"/>
      <c r="I244" s="14"/>
      <c r="J244" s="14"/>
      <c r="K244" s="14"/>
      <c r="L244" s="14"/>
      <c r="M244" s="14"/>
      <c r="N244" s="14">
        <f t="shared" si="26"/>
        <v>3000</v>
      </c>
    </row>
    <row r="245" spans="1:14" s="11" customFormat="1" ht="12.75" hidden="1">
      <c r="A245"/>
      <c r="B245" s="30" t="s">
        <v>539</v>
      </c>
      <c r="C245" s="22">
        <v>2000</v>
      </c>
      <c r="D245" s="42"/>
      <c r="E245" s="14"/>
      <c r="F245" s="283"/>
      <c r="G245" s="14"/>
      <c r="H245" s="14"/>
      <c r="I245" s="14"/>
      <c r="J245" s="14"/>
      <c r="K245" s="14"/>
      <c r="L245" s="14"/>
      <c r="M245" s="14"/>
      <c r="N245" s="14">
        <f t="shared" si="26"/>
        <v>2000</v>
      </c>
    </row>
    <row r="246" spans="1:14" s="11" customFormat="1" ht="25.5" hidden="1">
      <c r="A246"/>
      <c r="B246" s="389" t="s">
        <v>530</v>
      </c>
      <c r="C246" s="16">
        <f>SUM(D304)</f>
        <v>0</v>
      </c>
      <c r="D246" s="42"/>
      <c r="E246" s="14"/>
      <c r="F246" s="283"/>
      <c r="G246" s="14"/>
      <c r="H246" s="14"/>
      <c r="I246" s="14"/>
      <c r="J246" s="14"/>
      <c r="K246" s="14"/>
      <c r="L246" s="14"/>
      <c r="M246" s="14"/>
      <c r="N246" s="14">
        <f t="shared" si="26"/>
        <v>0</v>
      </c>
    </row>
    <row r="247" spans="1:14" s="11" customFormat="1" ht="12.75" hidden="1">
      <c r="A247"/>
      <c r="B247" s="30" t="s">
        <v>354</v>
      </c>
      <c r="C247" s="283"/>
      <c r="D247" s="42"/>
      <c r="E247" s="14"/>
      <c r="F247" s="14"/>
      <c r="G247" s="14">
        <v>1300</v>
      </c>
      <c r="H247" s="14"/>
      <c r="I247" s="14"/>
      <c r="J247" s="14"/>
      <c r="K247" s="14"/>
      <c r="L247" s="14"/>
      <c r="M247" s="14"/>
      <c r="N247" s="14">
        <f t="shared" si="26"/>
        <v>1300</v>
      </c>
    </row>
    <row r="248" spans="1:14" s="11" customFormat="1" ht="12.75" hidden="1">
      <c r="A248"/>
      <c r="B248" s="10" t="s">
        <v>437</v>
      </c>
      <c r="C248" s="14">
        <v>100</v>
      </c>
      <c r="D248" s="42"/>
      <c r="E248" s="14"/>
      <c r="F248" s="14"/>
      <c r="G248" s="14"/>
      <c r="H248" s="14"/>
      <c r="I248" s="14"/>
      <c r="J248" s="14"/>
      <c r="K248" s="14"/>
      <c r="L248" s="14"/>
      <c r="M248" s="14"/>
      <c r="N248" s="14">
        <f t="shared" si="26"/>
        <v>100</v>
      </c>
    </row>
    <row r="249" spans="1:14" s="11" customFormat="1" ht="12.75" hidden="1">
      <c r="A249"/>
      <c r="B249" s="30" t="s">
        <v>529</v>
      </c>
      <c r="C249" s="14">
        <v>4700</v>
      </c>
      <c r="D249" s="42"/>
      <c r="E249" s="14"/>
      <c r="F249" s="14"/>
      <c r="G249" s="14"/>
      <c r="H249" s="14"/>
      <c r="I249" s="14"/>
      <c r="J249" s="14"/>
      <c r="K249" s="14"/>
      <c r="L249" s="14"/>
      <c r="M249" s="14"/>
      <c r="N249" s="14">
        <f t="shared" si="26"/>
        <v>4700</v>
      </c>
    </row>
    <row r="250" spans="1:14" s="11" customFormat="1" ht="12.75" hidden="1">
      <c r="A250"/>
      <c r="B250" s="10" t="s">
        <v>378</v>
      </c>
      <c r="C250" s="14">
        <v>1500</v>
      </c>
      <c r="D250" s="42"/>
      <c r="E250" s="14"/>
      <c r="F250" s="14"/>
      <c r="G250" s="14"/>
      <c r="H250" s="14"/>
      <c r="I250" s="14"/>
      <c r="J250" s="14"/>
      <c r="K250" s="14"/>
      <c r="L250" s="14"/>
      <c r="M250" s="14"/>
      <c r="N250" s="14">
        <f t="shared" si="26"/>
        <v>1500</v>
      </c>
    </row>
    <row r="251" spans="1:14" s="11" customFormat="1" ht="12.75" hidden="1">
      <c r="A251"/>
      <c r="B251" s="10" t="s">
        <v>399</v>
      </c>
      <c r="C251" s="14">
        <v>30</v>
      </c>
      <c r="D251" s="42"/>
      <c r="E251" s="14"/>
      <c r="F251" s="14"/>
      <c r="G251" s="14"/>
      <c r="H251" s="14"/>
      <c r="I251" s="14"/>
      <c r="J251" s="14"/>
      <c r="K251" s="14"/>
      <c r="L251" s="14"/>
      <c r="M251" s="14"/>
      <c r="N251" s="14">
        <f t="shared" si="26"/>
        <v>30</v>
      </c>
    </row>
    <row r="252" spans="1:14" s="11" customFormat="1" ht="12.75" hidden="1">
      <c r="A252"/>
      <c r="B252" s="30" t="s">
        <v>366</v>
      </c>
      <c r="C252" s="283">
        <v>50</v>
      </c>
      <c r="D252" s="42"/>
      <c r="E252" s="14"/>
      <c r="F252" s="14"/>
      <c r="G252" s="14"/>
      <c r="H252" s="14"/>
      <c r="I252" s="14"/>
      <c r="J252" s="14"/>
      <c r="K252" s="14"/>
      <c r="L252" s="14"/>
      <c r="M252" s="14"/>
      <c r="N252" s="14">
        <f t="shared" si="26"/>
        <v>50</v>
      </c>
    </row>
    <row r="253" spans="1:14" s="11" customFormat="1" ht="12.75" hidden="1">
      <c r="A253"/>
      <c r="B253" s="30" t="s">
        <v>367</v>
      </c>
      <c r="C253" s="283">
        <v>350</v>
      </c>
      <c r="D253" s="42"/>
      <c r="E253" s="14"/>
      <c r="F253" s="14"/>
      <c r="G253" s="14"/>
      <c r="H253" s="14"/>
      <c r="I253" s="14"/>
      <c r="J253" s="14"/>
      <c r="K253" s="14"/>
      <c r="L253" s="14"/>
      <c r="M253" s="14"/>
      <c r="N253" s="14">
        <f t="shared" si="26"/>
        <v>350</v>
      </c>
    </row>
    <row r="254" spans="1:14" s="11" customFormat="1" ht="12.75" hidden="1">
      <c r="A254"/>
      <c r="B254" s="30" t="s">
        <v>393</v>
      </c>
      <c r="C254" s="283">
        <v>820</v>
      </c>
      <c r="D254" s="42"/>
      <c r="E254" s="14"/>
      <c r="F254" s="14"/>
      <c r="G254" s="14">
        <v>390</v>
      </c>
      <c r="H254" s="14"/>
      <c r="I254" s="14"/>
      <c r="J254" s="14"/>
      <c r="K254" s="14"/>
      <c r="L254" s="14"/>
      <c r="M254" s="14"/>
      <c r="N254" s="14">
        <f t="shared" si="26"/>
        <v>1210</v>
      </c>
    </row>
    <row r="255" spans="1:14" s="11" customFormat="1" ht="12.75" hidden="1">
      <c r="A255"/>
      <c r="B255" s="30" t="s">
        <v>426</v>
      </c>
      <c r="C255" s="283"/>
      <c r="D255" s="42"/>
      <c r="E255" s="14"/>
      <c r="F255" s="14"/>
      <c r="G255" s="14"/>
      <c r="H255" s="14"/>
      <c r="I255" s="14"/>
      <c r="J255" s="14"/>
      <c r="K255" s="14"/>
      <c r="L255" s="14"/>
      <c r="M255" s="14"/>
      <c r="N255" s="14">
        <f t="shared" si="26"/>
        <v>0</v>
      </c>
    </row>
    <row r="256" spans="1:14" s="11" customFormat="1" ht="12.75" hidden="1">
      <c r="A256"/>
      <c r="B256" s="30" t="s">
        <v>435</v>
      </c>
      <c r="C256" s="18">
        <v>2000</v>
      </c>
      <c r="D256" s="42"/>
      <c r="E256" s="14"/>
      <c r="F256" s="14"/>
      <c r="G256" s="14"/>
      <c r="H256" s="14"/>
      <c r="I256" s="14"/>
      <c r="J256" s="14"/>
      <c r="K256" s="14"/>
      <c r="L256" s="14"/>
      <c r="M256" s="14"/>
      <c r="N256" s="14">
        <f t="shared" si="26"/>
        <v>2000</v>
      </c>
    </row>
    <row r="257" spans="1:14" s="11" customFormat="1" ht="12.75" hidden="1">
      <c r="A257"/>
      <c r="B257" s="34" t="s">
        <v>313</v>
      </c>
      <c r="C257" s="115">
        <f>SUM(C258:C259)</f>
        <v>500</v>
      </c>
      <c r="D257" s="115">
        <f aca="true" t="shared" si="27" ref="D257:M257">SUM(D258:D259)</f>
        <v>30</v>
      </c>
      <c r="E257" s="115">
        <f t="shared" si="27"/>
        <v>0</v>
      </c>
      <c r="F257" s="115">
        <f t="shared" si="27"/>
        <v>0</v>
      </c>
      <c r="G257" s="115">
        <f t="shared" si="27"/>
        <v>100</v>
      </c>
      <c r="H257" s="115">
        <f t="shared" si="27"/>
        <v>0</v>
      </c>
      <c r="I257" s="115">
        <f t="shared" si="27"/>
        <v>0</v>
      </c>
      <c r="J257" s="115">
        <f t="shared" si="27"/>
        <v>0</v>
      </c>
      <c r="K257" s="115">
        <f t="shared" si="27"/>
        <v>0</v>
      </c>
      <c r="L257" s="115"/>
      <c r="M257" s="115">
        <f t="shared" si="27"/>
        <v>0</v>
      </c>
      <c r="N257" s="16">
        <f t="shared" si="26"/>
        <v>630</v>
      </c>
    </row>
    <row r="258" spans="1:14" s="11" customFormat="1" ht="12.75" hidden="1">
      <c r="A258"/>
      <c r="B258" s="30" t="s">
        <v>353</v>
      </c>
      <c r="C258" s="283"/>
      <c r="D258" s="283">
        <v>30</v>
      </c>
      <c r="E258" s="14"/>
      <c r="F258" s="14"/>
      <c r="G258" s="14">
        <v>100</v>
      </c>
      <c r="H258" s="14"/>
      <c r="I258" s="14"/>
      <c r="J258" s="14"/>
      <c r="K258" s="14"/>
      <c r="L258" s="14"/>
      <c r="M258" s="14"/>
      <c r="N258" s="14">
        <f t="shared" si="26"/>
        <v>130</v>
      </c>
    </row>
    <row r="259" spans="1:14" s="11" customFormat="1" ht="12.75" hidden="1">
      <c r="A259"/>
      <c r="B259" s="30" t="s">
        <v>370</v>
      </c>
      <c r="C259" s="283">
        <v>500</v>
      </c>
      <c r="D259" s="42"/>
      <c r="E259" s="14"/>
      <c r="F259" s="14"/>
      <c r="G259" s="14"/>
      <c r="H259" s="14"/>
      <c r="I259" s="14"/>
      <c r="J259" s="14"/>
      <c r="K259" s="14"/>
      <c r="L259" s="14"/>
      <c r="M259" s="14"/>
      <c r="N259" s="14">
        <f t="shared" si="26"/>
        <v>500</v>
      </c>
    </row>
    <row r="260" spans="1:14" s="11" customFormat="1" ht="12.75" hidden="1">
      <c r="A260"/>
      <c r="B260" s="34" t="s">
        <v>314</v>
      </c>
      <c r="C260" s="115">
        <f aca="true" t="shared" si="28" ref="C260:N260">SUM(C261:C268)</f>
        <v>19585</v>
      </c>
      <c r="D260" s="115">
        <f t="shared" si="28"/>
        <v>27</v>
      </c>
      <c r="E260" s="115">
        <f t="shared" si="28"/>
        <v>3105</v>
      </c>
      <c r="F260" s="115">
        <f t="shared" si="28"/>
        <v>150</v>
      </c>
      <c r="G260" s="115">
        <f t="shared" si="28"/>
        <v>3200</v>
      </c>
      <c r="H260" s="115">
        <f t="shared" si="28"/>
        <v>2700</v>
      </c>
      <c r="I260" s="115">
        <f t="shared" si="28"/>
        <v>0</v>
      </c>
      <c r="J260" s="115">
        <f t="shared" si="28"/>
        <v>0</v>
      </c>
      <c r="K260" s="115">
        <f t="shared" si="28"/>
        <v>600</v>
      </c>
      <c r="L260" s="115"/>
      <c r="M260" s="115">
        <f t="shared" si="28"/>
        <v>0</v>
      </c>
      <c r="N260" s="115">
        <f t="shared" si="28"/>
        <v>29367</v>
      </c>
    </row>
    <row r="261" spans="1:14" s="11" customFormat="1" ht="12.75" hidden="1">
      <c r="A261"/>
      <c r="B261" s="30" t="s">
        <v>343</v>
      </c>
      <c r="C261" s="283">
        <v>17000</v>
      </c>
      <c r="D261" s="283">
        <v>27</v>
      </c>
      <c r="E261" s="14">
        <v>3105</v>
      </c>
      <c r="F261" s="14">
        <v>150</v>
      </c>
      <c r="G261" s="14">
        <v>2200</v>
      </c>
      <c r="H261" s="14">
        <v>2700</v>
      </c>
      <c r="I261" s="14"/>
      <c r="J261" s="14"/>
      <c r="K261" s="14">
        <v>600</v>
      </c>
      <c r="L261" s="14"/>
      <c r="M261" s="14"/>
      <c r="N261" s="14">
        <f aca="true" t="shared" si="29" ref="N261:N268">SUM(C261:M261)</f>
        <v>25782</v>
      </c>
    </row>
    <row r="262" spans="1:14" s="11" customFormat="1" ht="12.75" hidden="1">
      <c r="A262"/>
      <c r="B262" s="30" t="s">
        <v>344</v>
      </c>
      <c r="C262" s="283"/>
      <c r="D262" s="42"/>
      <c r="E262" s="14"/>
      <c r="F262" s="14"/>
      <c r="G262" s="14"/>
      <c r="H262" s="14"/>
      <c r="I262" s="14"/>
      <c r="J262" s="14"/>
      <c r="K262" s="14"/>
      <c r="L262" s="14"/>
      <c r="M262" s="14"/>
      <c r="N262" s="14">
        <f t="shared" si="29"/>
        <v>0</v>
      </c>
    </row>
    <row r="263" spans="1:14" s="11" customFormat="1" ht="12.75" hidden="1">
      <c r="A263"/>
      <c r="B263" s="30" t="s">
        <v>345</v>
      </c>
      <c r="C263" s="283">
        <v>500</v>
      </c>
      <c r="D263" s="42"/>
      <c r="E263" s="14"/>
      <c r="F263" s="14"/>
      <c r="G263" s="14"/>
      <c r="H263" s="14"/>
      <c r="I263" s="14"/>
      <c r="J263" s="14"/>
      <c r="K263" s="14"/>
      <c r="L263" s="14"/>
      <c r="M263" s="14"/>
      <c r="N263" s="14">
        <f t="shared" si="29"/>
        <v>500</v>
      </c>
    </row>
    <row r="264" spans="1:14" s="11" customFormat="1" ht="12.75" hidden="1">
      <c r="A264"/>
      <c r="B264" s="30" t="s">
        <v>346</v>
      </c>
      <c r="C264" s="283">
        <f>4000-4000</f>
        <v>0</v>
      </c>
      <c r="D264" s="42"/>
      <c r="E264" s="14"/>
      <c r="F264" s="14"/>
      <c r="G264" s="14"/>
      <c r="H264" s="14"/>
      <c r="I264" s="14"/>
      <c r="J264" s="14"/>
      <c r="K264" s="14"/>
      <c r="L264" s="14"/>
      <c r="M264" s="14"/>
      <c r="N264" s="14">
        <f t="shared" si="29"/>
        <v>0</v>
      </c>
    </row>
    <row r="265" spans="1:14" s="11" customFormat="1" ht="12.75" hidden="1">
      <c r="A265"/>
      <c r="B265" s="30" t="s">
        <v>70</v>
      </c>
      <c r="C265" s="283"/>
      <c r="D265" s="14"/>
      <c r="E265" s="14"/>
      <c r="F265" s="14"/>
      <c r="G265" s="14">
        <v>1000</v>
      </c>
      <c r="H265" s="14"/>
      <c r="I265" s="14"/>
      <c r="J265" s="14"/>
      <c r="K265" s="14"/>
      <c r="L265" s="14"/>
      <c r="M265" s="14"/>
      <c r="N265" s="14">
        <f t="shared" si="29"/>
        <v>1000</v>
      </c>
    </row>
    <row r="266" spans="1:14" s="11" customFormat="1" ht="12.75" hidden="1">
      <c r="A266"/>
      <c r="B266" s="30" t="s">
        <v>364</v>
      </c>
      <c r="C266" s="283">
        <v>100</v>
      </c>
      <c r="D266" s="42"/>
      <c r="E266" s="14"/>
      <c r="F266" s="14"/>
      <c r="G266" s="14"/>
      <c r="H266" s="14"/>
      <c r="I266" s="14"/>
      <c r="J266" s="14"/>
      <c r="K266" s="14"/>
      <c r="L266" s="14"/>
      <c r="M266" s="14"/>
      <c r="N266" s="14">
        <f t="shared" si="29"/>
        <v>100</v>
      </c>
    </row>
    <row r="267" spans="1:14" s="11" customFormat="1" ht="12.75" hidden="1">
      <c r="A267"/>
      <c r="B267" s="30" t="s">
        <v>372</v>
      </c>
      <c r="C267" s="283">
        <v>985</v>
      </c>
      <c r="D267" s="42"/>
      <c r="E267" s="14"/>
      <c r="F267" s="14"/>
      <c r="G267" s="14"/>
      <c r="H267" s="14"/>
      <c r="I267" s="14"/>
      <c r="J267" s="14"/>
      <c r="K267" s="14"/>
      <c r="L267" s="14"/>
      <c r="M267" s="14"/>
      <c r="N267" s="14">
        <f t="shared" si="29"/>
        <v>985</v>
      </c>
    </row>
    <row r="268" spans="1:14" s="11" customFormat="1" ht="12.75" hidden="1">
      <c r="A268"/>
      <c r="B268" s="30" t="s">
        <v>379</v>
      </c>
      <c r="C268" s="18">
        <v>1000</v>
      </c>
      <c r="D268" s="42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f t="shared" si="29"/>
        <v>1000</v>
      </c>
    </row>
    <row r="269" spans="1:14" s="11" customFormat="1" ht="12.75" hidden="1">
      <c r="A269"/>
      <c r="B269" s="184" t="s">
        <v>33</v>
      </c>
      <c r="C269" s="282">
        <f aca="true" t="shared" si="30" ref="C269:N269">SUM(C207+C216+C219+C257+C260)</f>
        <v>59070</v>
      </c>
      <c r="D269" s="282">
        <f t="shared" si="30"/>
        <v>97</v>
      </c>
      <c r="E269" s="282">
        <f t="shared" si="30"/>
        <v>14605</v>
      </c>
      <c r="F269" s="282">
        <f t="shared" si="30"/>
        <v>10065</v>
      </c>
      <c r="G269" s="282">
        <f t="shared" si="30"/>
        <v>9936</v>
      </c>
      <c r="H269" s="282">
        <f t="shared" si="30"/>
        <v>12700</v>
      </c>
      <c r="I269" s="282">
        <f t="shared" si="30"/>
        <v>0</v>
      </c>
      <c r="J269" s="282">
        <f t="shared" si="30"/>
        <v>2640</v>
      </c>
      <c r="K269" s="282">
        <f t="shared" si="30"/>
        <v>2715</v>
      </c>
      <c r="L269" s="282"/>
      <c r="M269" s="282">
        <f t="shared" si="30"/>
        <v>0</v>
      </c>
      <c r="N269" s="282">
        <f t="shared" si="30"/>
        <v>111828</v>
      </c>
    </row>
    <row r="270" spans="1:14" s="11" customFormat="1" ht="12.75" hidden="1">
      <c r="A270"/>
      <c r="B270" s="184" t="s">
        <v>44</v>
      </c>
      <c r="C270" s="282">
        <v>350</v>
      </c>
      <c r="D270" s="293"/>
      <c r="E270" s="293"/>
      <c r="F270" s="293"/>
      <c r="G270" s="293"/>
      <c r="H270" s="293"/>
      <c r="I270" s="293">
        <v>9000</v>
      </c>
      <c r="J270" s="293"/>
      <c r="K270" s="293"/>
      <c r="L270" s="293"/>
      <c r="M270" s="293"/>
      <c r="N270" s="293">
        <f>SUM(C270:M270)</f>
        <v>9350</v>
      </c>
    </row>
    <row r="271" spans="1:14" s="11" customFormat="1" ht="13.5" hidden="1" thickBot="1">
      <c r="A271"/>
      <c r="B271" s="289" t="s">
        <v>554</v>
      </c>
      <c r="C271" s="185" t="e">
        <f>SUM('4. Átadott p.eszk.'!#REF!)</f>
        <v>#REF!</v>
      </c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 t="e">
        <f>SUM(C271:M271)</f>
        <v>#REF!</v>
      </c>
    </row>
    <row r="272" spans="1:14" s="11" customFormat="1" ht="16.5" hidden="1" thickBot="1">
      <c r="A272"/>
      <c r="B272" s="411" t="s">
        <v>11</v>
      </c>
      <c r="C272" s="297" t="e">
        <f>SUM(C202+C206+C269+C270+C271)</f>
        <v>#REF!</v>
      </c>
      <c r="D272" s="297">
        <f aca="true" t="shared" si="31" ref="D272:N272">SUM(D202+D206+D269+D270+D271)</f>
        <v>6784.84</v>
      </c>
      <c r="E272" s="297">
        <f t="shared" si="31"/>
        <v>14605</v>
      </c>
      <c r="F272" s="297">
        <f t="shared" si="31"/>
        <v>10065</v>
      </c>
      <c r="G272" s="297">
        <f t="shared" si="31"/>
        <v>29069.48</v>
      </c>
      <c r="H272" s="297">
        <f t="shared" si="31"/>
        <v>14089.73</v>
      </c>
      <c r="I272" s="297">
        <f t="shared" si="31"/>
        <v>9000</v>
      </c>
      <c r="J272" s="297">
        <f t="shared" si="31"/>
        <v>2640</v>
      </c>
      <c r="K272" s="297">
        <f t="shared" si="31"/>
        <v>2715</v>
      </c>
      <c r="L272" s="297"/>
      <c r="M272" s="297">
        <f t="shared" si="31"/>
        <v>3619.5</v>
      </c>
      <c r="N272" s="412" t="e">
        <f t="shared" si="31"/>
        <v>#REF!</v>
      </c>
    </row>
    <row r="273" spans="1:14" s="11" customFormat="1" ht="15.75" hidden="1" thickBot="1">
      <c r="A273"/>
      <c r="B273" s="407" t="s">
        <v>553</v>
      </c>
      <c r="C273" s="408" t="e">
        <f>SUM('3.felh'!#REF!+'3.felh'!#REF!+'3.felh'!#REF!)</f>
        <v>#REF!</v>
      </c>
      <c r="D273" s="409"/>
      <c r="E273" s="409"/>
      <c r="F273" s="409"/>
      <c r="G273" s="409"/>
      <c r="H273" s="409"/>
      <c r="I273" s="409"/>
      <c r="J273" s="409"/>
      <c r="K273" s="409"/>
      <c r="L273" s="409"/>
      <c r="M273" s="409"/>
      <c r="N273" s="410" t="e">
        <f>SUM(C273:M273)</f>
        <v>#REF!</v>
      </c>
    </row>
    <row r="274" spans="1:14" s="11" customFormat="1" ht="20.25" hidden="1" thickBot="1">
      <c r="A274"/>
      <c r="B274" s="396" t="s">
        <v>8</v>
      </c>
      <c r="C274" s="397" t="e">
        <f>SUM(C272+C273)</f>
        <v>#REF!</v>
      </c>
      <c r="D274" s="397">
        <f aca="true" t="shared" si="32" ref="D274:N274">SUM(D272+D273)</f>
        <v>6784.84</v>
      </c>
      <c r="E274" s="397">
        <f t="shared" si="32"/>
        <v>14605</v>
      </c>
      <c r="F274" s="397">
        <f t="shared" si="32"/>
        <v>10065</v>
      </c>
      <c r="G274" s="397">
        <f t="shared" si="32"/>
        <v>29069.48</v>
      </c>
      <c r="H274" s="397">
        <f t="shared" si="32"/>
        <v>14089.73</v>
      </c>
      <c r="I274" s="397">
        <f t="shared" si="32"/>
        <v>9000</v>
      </c>
      <c r="J274" s="397">
        <f t="shared" si="32"/>
        <v>2640</v>
      </c>
      <c r="K274" s="397">
        <f t="shared" si="32"/>
        <v>2715</v>
      </c>
      <c r="L274" s="397"/>
      <c r="M274" s="397">
        <f t="shared" si="32"/>
        <v>3619.5</v>
      </c>
      <c r="N274" s="397" t="e">
        <f t="shared" si="32"/>
        <v>#REF!</v>
      </c>
    </row>
    <row r="275" spans="1:14" s="11" customFormat="1" ht="13.5" hidden="1" thickBot="1">
      <c r="A275"/>
      <c r="B275" s="394" t="s">
        <v>71</v>
      </c>
      <c r="C275" s="400">
        <v>1</v>
      </c>
      <c r="D275" s="400">
        <v>2</v>
      </c>
      <c r="E275" s="400"/>
      <c r="F275" s="400"/>
      <c r="G275" s="400">
        <v>7</v>
      </c>
      <c r="H275" s="400">
        <v>1</v>
      </c>
      <c r="I275" s="400"/>
      <c r="J275" s="400"/>
      <c r="K275" s="400"/>
      <c r="L275" s="400"/>
      <c r="M275" s="400">
        <v>3</v>
      </c>
      <c r="N275" s="401">
        <f>SUM(C275:M275)</f>
        <v>14</v>
      </c>
    </row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</sheetData>
  <sheetProtection/>
  <mergeCells count="8">
    <mergeCell ref="B185:B186"/>
    <mergeCell ref="C185:N185"/>
    <mergeCell ref="A2:N2"/>
    <mergeCell ref="A3:N3"/>
    <mergeCell ref="A4:M4"/>
    <mergeCell ref="A6:A7"/>
    <mergeCell ref="B6:B7"/>
    <mergeCell ref="C6:N6"/>
  </mergeCells>
  <printOptions/>
  <pageMargins left="0.8267716535433072" right="0.15748031496062992" top="0.2362204724409449" bottom="0.15748031496062992" header="0.15748031496062992" footer="0.15748031496062992"/>
  <pageSetup horizontalDpi="300" verticalDpi="300" orientation="landscape" paperSize="9" scale="75" r:id="rId1"/>
  <rowBreaks count="3" manualBreakCount="3">
    <brk id="56" max="13" man="1"/>
    <brk id="105" max="13" man="1"/>
    <brk id="18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90" zoomScalePageLayoutView="0" workbookViewId="0" topLeftCell="A58">
      <selection activeCell="F88" sqref="F88:F91"/>
    </sheetView>
  </sheetViews>
  <sheetFormatPr defaultColWidth="9.00390625" defaultRowHeight="12.75"/>
  <cols>
    <col min="1" max="1" width="6.125" style="0" customWidth="1"/>
    <col min="2" max="2" width="64.125" style="0" customWidth="1"/>
    <col min="3" max="6" width="15.75390625" style="0" customWidth="1"/>
    <col min="7" max="9" width="0" style="11" hidden="1" customWidth="1"/>
    <col min="10" max="13" width="9.125" style="11" customWidth="1"/>
  </cols>
  <sheetData>
    <row r="1" spans="1:6" ht="12.75">
      <c r="A1" s="157"/>
      <c r="B1" s="1"/>
      <c r="C1" s="75"/>
      <c r="F1" s="71" t="s">
        <v>1100</v>
      </c>
    </row>
    <row r="2" spans="1:6" ht="15.75">
      <c r="A2" s="1036" t="s">
        <v>117</v>
      </c>
      <c r="B2" s="960"/>
      <c r="C2" s="960"/>
      <c r="D2" s="960"/>
      <c r="E2" s="960"/>
      <c r="F2" s="960"/>
    </row>
    <row r="3" spans="1:6" ht="15.75">
      <c r="A3" s="1036" t="s">
        <v>954</v>
      </c>
      <c r="B3" s="960"/>
      <c r="C3" s="960"/>
      <c r="D3" s="960"/>
      <c r="E3" s="960"/>
      <c r="F3" s="960"/>
    </row>
    <row r="4" spans="1:6" ht="15.75">
      <c r="A4" s="1036" t="s">
        <v>541</v>
      </c>
      <c r="B4" s="960"/>
      <c r="C4" s="960"/>
      <c r="D4" s="960"/>
      <c r="E4" s="960"/>
      <c r="F4" s="960"/>
    </row>
    <row r="5" ht="13.5" thickBot="1">
      <c r="F5" s="75" t="s">
        <v>0</v>
      </c>
    </row>
    <row r="6" spans="1:7" ht="45.75" customHeight="1">
      <c r="A6" s="1050" t="s">
        <v>162</v>
      </c>
      <c r="B6" s="1052" t="s">
        <v>31</v>
      </c>
      <c r="C6" s="841" t="s">
        <v>1025</v>
      </c>
      <c r="D6" s="841" t="s">
        <v>398</v>
      </c>
      <c r="E6" s="917" t="s">
        <v>1114</v>
      </c>
      <c r="F6" s="842" t="s">
        <v>56</v>
      </c>
      <c r="G6" s="12"/>
    </row>
    <row r="7" spans="1:6" ht="39.75" customHeight="1" thickBot="1">
      <c r="A7" s="1051"/>
      <c r="B7" s="1053"/>
      <c r="C7" s="922" t="s">
        <v>467</v>
      </c>
      <c r="D7" s="922" t="s">
        <v>467</v>
      </c>
      <c r="E7" s="922" t="s">
        <v>467</v>
      </c>
      <c r="F7" s="923" t="str">
        <f>C7</f>
        <v>2018. évi eredeti előirányzat</v>
      </c>
    </row>
    <row r="8" spans="1:7" ht="12.75">
      <c r="A8" s="299" t="s">
        <v>350</v>
      </c>
      <c r="B8" s="25" t="s">
        <v>351</v>
      </c>
      <c r="C8" s="55"/>
      <c r="D8" s="55"/>
      <c r="E8" s="55"/>
      <c r="F8" s="774"/>
      <c r="G8" s="43"/>
    </row>
    <row r="9" spans="1:13" ht="12.75">
      <c r="A9" s="79"/>
      <c r="B9" s="30" t="s">
        <v>1092</v>
      </c>
      <c r="C9" s="19">
        <f>(110550+547)</f>
        <v>111097</v>
      </c>
      <c r="D9" s="19">
        <v>10363</v>
      </c>
      <c r="E9" s="918">
        <v>2166</v>
      </c>
      <c r="F9" s="775">
        <f>SUM(C9:E9)</f>
        <v>123626</v>
      </c>
      <c r="G9" s="41"/>
      <c r="K9" s="11">
        <v>120511</v>
      </c>
      <c r="M9" s="11">
        <f>(C9*0.195)</f>
        <v>21663.915</v>
      </c>
    </row>
    <row r="10" spans="1:13" ht="12.75">
      <c r="A10" s="79"/>
      <c r="B10" s="30" t="s">
        <v>729</v>
      </c>
      <c r="C10" s="18">
        <v>4768</v>
      </c>
      <c r="D10" s="19">
        <v>447</v>
      </c>
      <c r="E10" s="918">
        <v>149</v>
      </c>
      <c r="F10" s="775">
        <f aca="true" t="shared" si="0" ref="F10:F16">SUM(C10:E10)</f>
        <v>5364</v>
      </c>
      <c r="G10" s="43"/>
      <c r="M10" s="11">
        <f>(D9+D16)*0.195</f>
        <v>3541.7850000000003</v>
      </c>
    </row>
    <row r="11" spans="1:7" ht="12.75">
      <c r="A11" s="79"/>
      <c r="B11" s="30" t="s">
        <v>688</v>
      </c>
      <c r="C11" s="19">
        <v>2000</v>
      </c>
      <c r="D11" s="19">
        <v>200</v>
      </c>
      <c r="E11" s="918"/>
      <c r="F11" s="775">
        <f t="shared" si="0"/>
        <v>2200</v>
      </c>
      <c r="G11" s="41"/>
    </row>
    <row r="12" spans="1:7" ht="12.75">
      <c r="A12" s="79"/>
      <c r="B12" s="30" t="s">
        <v>73</v>
      </c>
      <c r="C12" s="19">
        <v>500</v>
      </c>
      <c r="D12" s="19"/>
      <c r="E12" s="918"/>
      <c r="F12" s="775">
        <f t="shared" si="0"/>
        <v>500</v>
      </c>
      <c r="G12" s="41"/>
    </row>
    <row r="13" spans="1:7" ht="12.75">
      <c r="A13" s="79"/>
      <c r="B13" s="30" t="s">
        <v>847</v>
      </c>
      <c r="C13" s="19">
        <v>662</v>
      </c>
      <c r="D13" s="19"/>
      <c r="E13" s="918"/>
      <c r="F13" s="775">
        <f t="shared" si="0"/>
        <v>662</v>
      </c>
      <c r="G13" s="41"/>
    </row>
    <row r="14" spans="1:7" ht="12.75">
      <c r="A14" s="79"/>
      <c r="B14" s="30" t="s">
        <v>990</v>
      </c>
      <c r="C14" s="18">
        <v>1000</v>
      </c>
      <c r="D14" s="18">
        <v>200</v>
      </c>
      <c r="E14" s="919"/>
      <c r="F14" s="775">
        <f t="shared" si="0"/>
        <v>1200</v>
      </c>
      <c r="G14" s="41"/>
    </row>
    <row r="15" spans="1:7" ht="12.75">
      <c r="A15" s="79"/>
      <c r="B15" s="30" t="s">
        <v>1083</v>
      </c>
      <c r="C15" s="19">
        <v>361</v>
      </c>
      <c r="D15" s="64"/>
      <c r="E15" s="920"/>
      <c r="F15" s="775">
        <f t="shared" si="0"/>
        <v>361</v>
      </c>
      <c r="G15" s="41"/>
    </row>
    <row r="16" spans="1:7" ht="12.75">
      <c r="A16" s="79"/>
      <c r="B16" s="30" t="s">
        <v>727</v>
      </c>
      <c r="C16" s="19"/>
      <c r="D16" s="19">
        <v>7800</v>
      </c>
      <c r="E16" s="918"/>
      <c r="F16" s="775">
        <f t="shared" si="0"/>
        <v>7800</v>
      </c>
      <c r="G16" s="41"/>
    </row>
    <row r="17" spans="1:10" ht="12.75">
      <c r="A17" s="121" t="s">
        <v>263</v>
      </c>
      <c r="B17" s="184" t="s">
        <v>349</v>
      </c>
      <c r="C17" s="559">
        <f>SUM(C9:C16)</f>
        <v>120388</v>
      </c>
      <c r="D17" s="559">
        <f>SUM(D9:D16)</f>
        <v>19010</v>
      </c>
      <c r="E17" s="559">
        <f>SUM(E9:E16)</f>
        <v>2315</v>
      </c>
      <c r="F17" s="559">
        <f>SUM(F9:F16)</f>
        <v>141713</v>
      </c>
      <c r="G17" s="43" t="e">
        <f>SUM(#REF!)</f>
        <v>#REF!</v>
      </c>
      <c r="J17" s="51">
        <f>SUM(C17:E17)</f>
        <v>141713</v>
      </c>
    </row>
    <row r="18" spans="1:7" ht="12.75">
      <c r="A18" s="79"/>
      <c r="B18" s="30" t="s">
        <v>32</v>
      </c>
      <c r="C18" s="19">
        <f>(21881+63+106)</f>
        <v>22050</v>
      </c>
      <c r="D18" s="19">
        <v>3541</v>
      </c>
      <c r="E18" s="918">
        <v>422</v>
      </c>
      <c r="F18" s="775">
        <f>SUM(C18:E18)</f>
        <v>26013</v>
      </c>
      <c r="G18" s="41"/>
    </row>
    <row r="19" spans="1:7" ht="12.75">
      <c r="A19" s="79"/>
      <c r="B19" s="30" t="s">
        <v>155</v>
      </c>
      <c r="C19" s="19">
        <f>(1632+255)</f>
        <v>1887</v>
      </c>
      <c r="D19" s="19">
        <v>153</v>
      </c>
      <c r="E19" s="918">
        <v>51</v>
      </c>
      <c r="F19" s="775">
        <f>SUM(C19:E19)</f>
        <v>2091</v>
      </c>
      <c r="G19" s="41"/>
    </row>
    <row r="20" spans="1:10" ht="12.75">
      <c r="A20" s="121" t="s">
        <v>264</v>
      </c>
      <c r="B20" s="184" t="s">
        <v>140</v>
      </c>
      <c r="C20" s="559">
        <f>SUM(C18:C19)</f>
        <v>23937</v>
      </c>
      <c r="D20" s="559">
        <f>SUM(D18:D19)</f>
        <v>3694</v>
      </c>
      <c r="E20" s="562">
        <f>SUM(E18:E19)</f>
        <v>473</v>
      </c>
      <c r="F20" s="304">
        <f>(D20+C20+E20)</f>
        <v>28104</v>
      </c>
      <c r="G20" s="43" t="e">
        <f>SUM(#REF!)</f>
        <v>#REF!</v>
      </c>
      <c r="J20" s="51">
        <f>SUM(F18:F19)</f>
        <v>28104</v>
      </c>
    </row>
    <row r="21" spans="1:7" ht="12.75">
      <c r="A21" s="121" t="s">
        <v>315</v>
      </c>
      <c r="B21" s="34" t="s">
        <v>337</v>
      </c>
      <c r="C21" s="17">
        <f>SUM(C22:C28)</f>
        <v>4350</v>
      </c>
      <c r="D21" s="17">
        <f>SUM(D22:D28)</f>
        <v>200</v>
      </c>
      <c r="E21" s="17">
        <f>SUM(E22:E28)</f>
        <v>420</v>
      </c>
      <c r="F21" s="774">
        <f>(D21+C21+E21)</f>
        <v>4970</v>
      </c>
      <c r="G21" s="43" t="e">
        <f>SUM(#REF!)</f>
        <v>#REF!</v>
      </c>
    </row>
    <row r="22" spans="1:7" ht="12.75">
      <c r="A22" s="79" t="s">
        <v>316</v>
      </c>
      <c r="B22" s="30" t="s">
        <v>405</v>
      </c>
      <c r="C22" s="18">
        <v>450</v>
      </c>
      <c r="D22" s="19"/>
      <c r="E22" s="918"/>
      <c r="F22" s="775">
        <f aca="true" t="shared" si="1" ref="F22:F69">(D22+C22+E22)</f>
        <v>450</v>
      </c>
      <c r="G22" s="41"/>
    </row>
    <row r="23" spans="1:11" ht="12.75">
      <c r="A23" s="79" t="s">
        <v>317</v>
      </c>
      <c r="B23" s="30" t="s">
        <v>338</v>
      </c>
      <c r="C23" s="18"/>
      <c r="D23" s="19"/>
      <c r="E23" s="918"/>
      <c r="F23" s="775">
        <f t="shared" si="1"/>
        <v>0</v>
      </c>
      <c r="G23" s="41"/>
      <c r="K23" s="11" t="s">
        <v>991</v>
      </c>
    </row>
    <row r="24" spans="1:7" ht="12.75">
      <c r="A24" s="79"/>
      <c r="B24" s="30" t="s">
        <v>420</v>
      </c>
      <c r="C24" s="18">
        <v>1200</v>
      </c>
      <c r="D24" s="19">
        <v>200</v>
      </c>
      <c r="E24" s="918">
        <v>20</v>
      </c>
      <c r="F24" s="775">
        <f t="shared" si="1"/>
        <v>1420</v>
      </c>
      <c r="G24" s="41"/>
    </row>
    <row r="25" spans="1:7" ht="12.75">
      <c r="A25" s="79"/>
      <c r="B25" s="30" t="s">
        <v>699</v>
      </c>
      <c r="C25" s="18">
        <v>1800</v>
      </c>
      <c r="D25" s="19">
        <f>100-100</f>
        <v>0</v>
      </c>
      <c r="E25" s="918"/>
      <c r="F25" s="775">
        <f t="shared" si="1"/>
        <v>1800</v>
      </c>
      <c r="G25" s="41"/>
    </row>
    <row r="26" spans="1:7" ht="12.75">
      <c r="A26" s="79"/>
      <c r="B26" s="30" t="s">
        <v>361</v>
      </c>
      <c r="C26" s="18">
        <v>400</v>
      </c>
      <c r="D26" s="19"/>
      <c r="E26" s="918"/>
      <c r="F26" s="775">
        <f t="shared" si="1"/>
        <v>400</v>
      </c>
      <c r="G26" s="41"/>
    </row>
    <row r="27" spans="1:7" ht="12.75">
      <c r="A27" s="79"/>
      <c r="B27" s="30" t="s">
        <v>1093</v>
      </c>
      <c r="C27" s="18"/>
      <c r="D27" s="19"/>
      <c r="E27" s="918">
        <v>400</v>
      </c>
      <c r="F27" s="775">
        <f t="shared" si="1"/>
        <v>400</v>
      </c>
      <c r="G27" s="41"/>
    </row>
    <row r="28" spans="1:7" ht="12.75">
      <c r="A28" s="79"/>
      <c r="B28" s="30" t="s">
        <v>362</v>
      </c>
      <c r="C28" s="18">
        <v>500</v>
      </c>
      <c r="D28" s="19"/>
      <c r="E28" s="918"/>
      <c r="F28" s="775">
        <f t="shared" si="1"/>
        <v>500</v>
      </c>
      <c r="G28" s="41"/>
    </row>
    <row r="29" spans="1:7" ht="12.75">
      <c r="A29" s="121" t="s">
        <v>318</v>
      </c>
      <c r="B29" s="34" t="s">
        <v>340</v>
      </c>
      <c r="C29" s="17">
        <f>SUM(C30:C37)</f>
        <v>7145</v>
      </c>
      <c r="D29" s="17">
        <f>SUM(D30:D35)</f>
        <v>0</v>
      </c>
      <c r="E29" s="17">
        <f>SUM(E30:E35)</f>
        <v>30</v>
      </c>
      <c r="F29" s="774">
        <f t="shared" si="1"/>
        <v>7175</v>
      </c>
      <c r="G29" s="43" t="e">
        <f>SUM(#REF!)</f>
        <v>#REF!</v>
      </c>
    </row>
    <row r="30" spans="1:7" ht="12.75">
      <c r="A30" s="79" t="s">
        <v>319</v>
      </c>
      <c r="B30" s="30" t="s">
        <v>341</v>
      </c>
      <c r="C30" s="18"/>
      <c r="D30" s="19"/>
      <c r="E30" s="918"/>
      <c r="F30" s="775">
        <f t="shared" si="1"/>
        <v>0</v>
      </c>
      <c r="G30" s="41"/>
    </row>
    <row r="31" spans="1:7" ht="12.75">
      <c r="A31" s="79"/>
      <c r="B31" s="30" t="s">
        <v>421</v>
      </c>
      <c r="C31" s="18">
        <f>3840+560</f>
        <v>4400</v>
      </c>
      <c r="D31" s="19"/>
      <c r="E31" s="918"/>
      <c r="F31" s="775">
        <f t="shared" si="1"/>
        <v>4400</v>
      </c>
      <c r="G31" s="41"/>
    </row>
    <row r="32" spans="1:7" ht="12.75">
      <c r="A32" s="79"/>
      <c r="B32" s="30" t="s">
        <v>401</v>
      </c>
      <c r="C32" s="18">
        <v>200</v>
      </c>
      <c r="D32" s="19"/>
      <c r="E32" s="918"/>
      <c r="F32" s="775">
        <f t="shared" si="1"/>
        <v>200</v>
      </c>
      <c r="G32" s="41"/>
    </row>
    <row r="33" spans="1:7" ht="12.75">
      <c r="A33" s="79"/>
      <c r="B33" s="30" t="s">
        <v>556</v>
      </c>
      <c r="C33" s="18">
        <v>815</v>
      </c>
      <c r="D33" s="19"/>
      <c r="E33" s="918"/>
      <c r="F33" s="775">
        <f t="shared" si="1"/>
        <v>815</v>
      </c>
      <c r="G33" s="41"/>
    </row>
    <row r="34" spans="1:7" ht="12.75">
      <c r="A34" s="79"/>
      <c r="B34" s="30" t="s">
        <v>753</v>
      </c>
      <c r="C34" s="18">
        <v>630</v>
      </c>
      <c r="D34" s="19"/>
      <c r="E34" s="918"/>
      <c r="F34" s="775">
        <f t="shared" si="1"/>
        <v>630</v>
      </c>
      <c r="G34" s="41"/>
    </row>
    <row r="35" spans="1:7" ht="12.75">
      <c r="A35" s="79" t="s">
        <v>320</v>
      </c>
      <c r="B35" s="30" t="s">
        <v>731</v>
      </c>
      <c r="C35" s="133">
        <f>1000+100</f>
        <v>1100</v>
      </c>
      <c r="D35" s="19"/>
      <c r="E35" s="918">
        <v>30</v>
      </c>
      <c r="F35" s="775">
        <f t="shared" si="1"/>
        <v>1130</v>
      </c>
      <c r="G35" s="41"/>
    </row>
    <row r="36" spans="1:7" ht="12.75">
      <c r="A36" s="79"/>
      <c r="B36" s="30" t="s">
        <v>402</v>
      </c>
      <c r="C36" s="821"/>
      <c r="D36" s="19"/>
      <c r="E36" s="918"/>
      <c r="F36" s="775">
        <f t="shared" si="1"/>
        <v>0</v>
      </c>
      <c r="G36" s="41"/>
    </row>
    <row r="37" spans="1:7" ht="12.75">
      <c r="A37" s="79"/>
      <c r="B37" s="30" t="s">
        <v>403</v>
      </c>
      <c r="C37" s="821"/>
      <c r="D37" s="19"/>
      <c r="E37" s="918"/>
      <c r="F37" s="775">
        <f t="shared" si="1"/>
        <v>0</v>
      </c>
      <c r="G37" s="41"/>
    </row>
    <row r="38" spans="1:10" ht="12.75">
      <c r="A38" s="121" t="s">
        <v>321</v>
      </c>
      <c r="B38" s="34" t="s">
        <v>342</v>
      </c>
      <c r="C38" s="17">
        <f>SUM(C39:C56)</f>
        <v>12560</v>
      </c>
      <c r="D38" s="17">
        <f>SUM(D39:D56)</f>
        <v>930</v>
      </c>
      <c r="E38" s="17">
        <f>SUM(E39:E56)</f>
        <v>320</v>
      </c>
      <c r="F38" s="774">
        <f t="shared" si="1"/>
        <v>13810</v>
      </c>
      <c r="G38" s="43" t="e">
        <f>SUM(#REF!)</f>
        <v>#REF!</v>
      </c>
      <c r="J38" s="51">
        <f>SUM(F39:F56)</f>
        <v>13810</v>
      </c>
    </row>
    <row r="39" spans="1:7" ht="12.75">
      <c r="A39" s="79" t="s">
        <v>322</v>
      </c>
      <c r="B39" s="30" t="s">
        <v>359</v>
      </c>
      <c r="C39" s="18">
        <v>3000</v>
      </c>
      <c r="D39" s="19"/>
      <c r="E39" s="19"/>
      <c r="F39" s="775">
        <f t="shared" si="1"/>
        <v>3000</v>
      </c>
      <c r="G39" s="41"/>
    </row>
    <row r="40" spans="1:7" ht="12.75">
      <c r="A40" s="79" t="s">
        <v>386</v>
      </c>
      <c r="B40" s="30" t="s">
        <v>387</v>
      </c>
      <c r="C40" s="18"/>
      <c r="D40" s="19"/>
      <c r="E40" s="19"/>
      <c r="F40" s="775">
        <f t="shared" si="1"/>
        <v>0</v>
      </c>
      <c r="G40" s="41"/>
    </row>
    <row r="41" spans="1:7" ht="12.75">
      <c r="A41" s="79" t="s">
        <v>323</v>
      </c>
      <c r="B41" s="30" t="s">
        <v>422</v>
      </c>
      <c r="C41" s="283">
        <v>20</v>
      </c>
      <c r="D41" s="19"/>
      <c r="E41" s="19"/>
      <c r="F41" s="775">
        <f t="shared" si="1"/>
        <v>20</v>
      </c>
      <c r="G41" s="41"/>
    </row>
    <row r="42" spans="1:7" ht="12.75">
      <c r="A42" s="79" t="s">
        <v>324</v>
      </c>
      <c r="B42" s="30" t="s">
        <v>357</v>
      </c>
      <c r="C42" s="283"/>
      <c r="D42" s="19"/>
      <c r="E42" s="19"/>
      <c r="F42" s="775">
        <f t="shared" si="1"/>
        <v>0</v>
      </c>
      <c r="G42" s="41"/>
    </row>
    <row r="43" spans="1:7" ht="12.75">
      <c r="A43" s="79"/>
      <c r="B43" s="30" t="s">
        <v>732</v>
      </c>
      <c r="C43" s="283">
        <v>450</v>
      </c>
      <c r="D43" s="19"/>
      <c r="E43" s="19"/>
      <c r="F43" s="775">
        <f t="shared" si="1"/>
        <v>450</v>
      </c>
      <c r="G43" s="41"/>
    </row>
    <row r="44" spans="1:7" ht="12.75">
      <c r="A44" s="79"/>
      <c r="B44" s="30" t="s">
        <v>733</v>
      </c>
      <c r="C44" s="283">
        <v>700</v>
      </c>
      <c r="D44" s="19"/>
      <c r="E44" s="19"/>
      <c r="F44" s="775">
        <f t="shared" si="1"/>
        <v>700</v>
      </c>
      <c r="G44" s="41"/>
    </row>
    <row r="45" spans="1:7" ht="12.75">
      <c r="A45" s="79"/>
      <c r="B45" s="30" t="s">
        <v>734</v>
      </c>
      <c r="C45" s="283">
        <f>200+200</f>
        <v>400</v>
      </c>
      <c r="D45" s="19"/>
      <c r="E45" s="19"/>
      <c r="F45" s="775">
        <f t="shared" si="1"/>
        <v>400</v>
      </c>
      <c r="G45" s="41"/>
    </row>
    <row r="46" spans="1:7" ht="12.75">
      <c r="A46" s="79" t="s">
        <v>325</v>
      </c>
      <c r="B46" s="30" t="s">
        <v>356</v>
      </c>
      <c r="C46" s="283"/>
      <c r="D46" s="19"/>
      <c r="E46" s="19"/>
      <c r="F46" s="775">
        <f t="shared" si="1"/>
        <v>0</v>
      </c>
      <c r="G46" s="41"/>
    </row>
    <row r="47" spans="1:7" ht="12.75">
      <c r="A47" s="79" t="s">
        <v>326</v>
      </c>
      <c r="B47" s="30" t="s">
        <v>355</v>
      </c>
      <c r="C47" s="283"/>
      <c r="D47" s="19"/>
      <c r="E47" s="19"/>
      <c r="F47" s="775">
        <f t="shared" si="1"/>
        <v>0</v>
      </c>
      <c r="G47" s="41"/>
    </row>
    <row r="48" spans="1:7" ht="12.75">
      <c r="A48" s="79"/>
      <c r="B48" s="30" t="s">
        <v>394</v>
      </c>
      <c r="C48" s="367">
        <v>1300</v>
      </c>
      <c r="D48" s="19">
        <v>100</v>
      </c>
      <c r="E48" s="19">
        <v>290</v>
      </c>
      <c r="F48" s="775">
        <f t="shared" si="1"/>
        <v>1690</v>
      </c>
      <c r="G48" s="41"/>
    </row>
    <row r="49" spans="1:7" ht="12.75">
      <c r="A49" s="79"/>
      <c r="B49" s="30" t="s">
        <v>416</v>
      </c>
      <c r="C49" s="367">
        <v>1920</v>
      </c>
      <c r="D49" s="19"/>
      <c r="E49" s="19"/>
      <c r="F49" s="775">
        <f t="shared" si="1"/>
        <v>1920</v>
      </c>
      <c r="G49" s="41"/>
    </row>
    <row r="50" spans="1:7" ht="12.75">
      <c r="A50" s="79"/>
      <c r="B50" s="30" t="s">
        <v>743</v>
      </c>
      <c r="C50" s="367">
        <v>360</v>
      </c>
      <c r="D50" s="19">
        <v>30</v>
      </c>
      <c r="E50" s="19">
        <v>30</v>
      </c>
      <c r="F50" s="775">
        <f t="shared" si="1"/>
        <v>420</v>
      </c>
      <c r="G50" s="41"/>
    </row>
    <row r="51" spans="1:7" ht="12.75">
      <c r="A51" s="79"/>
      <c r="B51" s="30" t="s">
        <v>1023</v>
      </c>
      <c r="C51" s="367">
        <v>800</v>
      </c>
      <c r="D51" s="19"/>
      <c r="E51" s="19"/>
      <c r="F51" s="775">
        <f t="shared" si="1"/>
        <v>800</v>
      </c>
      <c r="G51" s="41"/>
    </row>
    <row r="52" spans="1:7" ht="12.75">
      <c r="A52" s="79"/>
      <c r="B52" s="30" t="s">
        <v>735</v>
      </c>
      <c r="C52" s="367">
        <v>300</v>
      </c>
      <c r="D52" s="18">
        <v>300</v>
      </c>
      <c r="E52" s="18"/>
      <c r="F52" s="775">
        <f t="shared" si="1"/>
        <v>600</v>
      </c>
      <c r="G52" s="41"/>
    </row>
    <row r="53" spans="1:7" ht="12.75">
      <c r="A53" s="79" t="s">
        <v>327</v>
      </c>
      <c r="B53" s="30" t="s">
        <v>354</v>
      </c>
      <c r="C53" s="283">
        <v>10</v>
      </c>
      <c r="D53" s="19"/>
      <c r="E53" s="19"/>
      <c r="F53" s="775">
        <f t="shared" si="1"/>
        <v>10</v>
      </c>
      <c r="G53" s="41"/>
    </row>
    <row r="54" spans="1:7" ht="12.75">
      <c r="A54" s="79"/>
      <c r="B54" s="10" t="s">
        <v>365</v>
      </c>
      <c r="C54" s="367">
        <v>2800</v>
      </c>
      <c r="D54" s="19">
        <v>500</v>
      </c>
      <c r="E54" s="19"/>
      <c r="F54" s="775">
        <f t="shared" si="1"/>
        <v>3300</v>
      </c>
      <c r="G54" s="41"/>
    </row>
    <row r="55" spans="1:7" ht="12.75">
      <c r="A55" s="79"/>
      <c r="B55" s="10" t="s">
        <v>725</v>
      </c>
      <c r="C55" s="367">
        <v>100</v>
      </c>
      <c r="D55" s="19"/>
      <c r="E55" s="19"/>
      <c r="F55" s="775">
        <f t="shared" si="1"/>
        <v>100</v>
      </c>
      <c r="G55" s="41"/>
    </row>
    <row r="56" spans="1:7" ht="12.75">
      <c r="A56" s="79"/>
      <c r="B56" s="30" t="s">
        <v>689</v>
      </c>
      <c r="C56" s="283">
        <v>400</v>
      </c>
      <c r="D56" s="19"/>
      <c r="E56" s="19"/>
      <c r="F56" s="775">
        <f t="shared" si="1"/>
        <v>400</v>
      </c>
      <c r="G56" s="41"/>
    </row>
    <row r="57" spans="1:10" ht="12.75">
      <c r="A57" s="121" t="s">
        <v>328</v>
      </c>
      <c r="B57" s="34" t="s">
        <v>313</v>
      </c>
      <c r="C57" s="115">
        <f>SUM(C58:C59)</f>
        <v>470</v>
      </c>
      <c r="D57" s="17">
        <f>SUM(D58:D59)</f>
        <v>50</v>
      </c>
      <c r="E57" s="17">
        <f>SUM(E58:E59)</f>
        <v>0</v>
      </c>
      <c r="F57" s="774">
        <f t="shared" si="1"/>
        <v>520</v>
      </c>
      <c r="G57" s="43"/>
      <c r="H57" s="51" t="e">
        <f>SUM(#REF!+#REF!+#REF!+#REF!+#REF!+#REF!+#REF!+#REF!+#REF!+#REF!+#REF!+#REF!+#REF!+#REF!+#REF!+#REF!+#REF!)</f>
        <v>#REF!</v>
      </c>
      <c r="I57" s="51" t="e">
        <f>SUM(#REF!+#REF!+#REF!)</f>
        <v>#REF!</v>
      </c>
      <c r="J57" s="51">
        <f>SUM(F58:F59)</f>
        <v>520</v>
      </c>
    </row>
    <row r="58" spans="1:7" ht="12.75">
      <c r="A58" s="79" t="s">
        <v>329</v>
      </c>
      <c r="B58" s="30" t="s">
        <v>353</v>
      </c>
      <c r="C58" s="18">
        <v>450</v>
      </c>
      <c r="D58" s="19">
        <v>50</v>
      </c>
      <c r="E58" s="918"/>
      <c r="F58" s="775">
        <f t="shared" si="1"/>
        <v>500</v>
      </c>
      <c r="G58" s="41"/>
    </row>
    <row r="59" spans="1:7" ht="12.75">
      <c r="A59" s="79" t="s">
        <v>330</v>
      </c>
      <c r="B59" s="30" t="s">
        <v>370</v>
      </c>
      <c r="C59" s="18">
        <v>20</v>
      </c>
      <c r="D59" s="19"/>
      <c r="E59" s="918"/>
      <c r="F59" s="775">
        <f t="shared" si="1"/>
        <v>20</v>
      </c>
      <c r="G59" s="41"/>
    </row>
    <row r="60" spans="1:10" ht="12.75">
      <c r="A60" s="121" t="s">
        <v>331</v>
      </c>
      <c r="B60" s="34" t="s">
        <v>314</v>
      </c>
      <c r="C60" s="17">
        <f>SUM(C61:C68)</f>
        <v>6534</v>
      </c>
      <c r="D60" s="17">
        <f>SUM(D61:D68)</f>
        <v>300</v>
      </c>
      <c r="E60" s="17">
        <f>SUM(E61:E68)</f>
        <v>300</v>
      </c>
      <c r="F60" s="774">
        <f t="shared" si="1"/>
        <v>7134</v>
      </c>
      <c r="G60" s="43" t="e">
        <f>SUM(#REF!)</f>
        <v>#REF!</v>
      </c>
      <c r="J60" s="51">
        <f>SUM(F61:F68)</f>
        <v>7134</v>
      </c>
    </row>
    <row r="61" spans="1:7" ht="12.75">
      <c r="A61" s="79" t="s">
        <v>332</v>
      </c>
      <c r="B61" s="30" t="s">
        <v>343</v>
      </c>
      <c r="C61" s="18">
        <v>5500</v>
      </c>
      <c r="D61" s="19">
        <v>300</v>
      </c>
      <c r="E61" s="918">
        <v>200</v>
      </c>
      <c r="F61" s="775">
        <f t="shared" si="1"/>
        <v>6000</v>
      </c>
      <c r="G61" s="41"/>
    </row>
    <row r="62" spans="1:7" ht="12.75">
      <c r="A62" s="79" t="s">
        <v>333</v>
      </c>
      <c r="B62" s="30" t="s">
        <v>344</v>
      </c>
      <c r="C62" s="18"/>
      <c r="D62" s="19"/>
      <c r="E62" s="918"/>
      <c r="F62" s="775">
        <f t="shared" si="1"/>
        <v>0</v>
      </c>
      <c r="G62" s="41"/>
    </row>
    <row r="63" spans="1:7" ht="12.75">
      <c r="A63" s="79" t="s">
        <v>334</v>
      </c>
      <c r="B63" s="30" t="s">
        <v>345</v>
      </c>
      <c r="C63" s="18"/>
      <c r="D63" s="19"/>
      <c r="E63" s="918"/>
      <c r="F63" s="775">
        <f t="shared" si="1"/>
        <v>0</v>
      </c>
      <c r="G63" s="41"/>
    </row>
    <row r="64" spans="1:11" ht="12.75">
      <c r="A64" s="79" t="s">
        <v>335</v>
      </c>
      <c r="B64" s="30" t="s">
        <v>346</v>
      </c>
      <c r="C64" s="18"/>
      <c r="D64" s="19"/>
      <c r="E64" s="918"/>
      <c r="F64" s="775">
        <f t="shared" si="1"/>
        <v>0</v>
      </c>
      <c r="G64" s="41"/>
      <c r="K64" s="11">
        <f>(C69*0.27)</f>
        <v>8385.93</v>
      </c>
    </row>
    <row r="65" spans="1:11" ht="12.75">
      <c r="A65" s="79" t="s">
        <v>336</v>
      </c>
      <c r="B65" s="30" t="s">
        <v>70</v>
      </c>
      <c r="C65" s="18"/>
      <c r="D65" s="19"/>
      <c r="E65" s="918"/>
      <c r="F65" s="775">
        <f t="shared" si="1"/>
        <v>0</v>
      </c>
      <c r="G65" s="41"/>
      <c r="K65" s="11">
        <f>(D69*0.27)</f>
        <v>399.6</v>
      </c>
    </row>
    <row r="66" spans="1:7" ht="12.75">
      <c r="A66" s="79"/>
      <c r="B66" s="30" t="s">
        <v>726</v>
      </c>
      <c r="C66" s="18">
        <v>34</v>
      </c>
      <c r="D66" s="19"/>
      <c r="E66" s="918"/>
      <c r="F66" s="775">
        <f t="shared" si="1"/>
        <v>34</v>
      </c>
      <c r="G66" s="41"/>
    </row>
    <row r="67" spans="1:7" ht="12.75">
      <c r="A67" s="79"/>
      <c r="B67" s="30" t="s">
        <v>379</v>
      </c>
      <c r="C67" s="18">
        <f>500-350+300+50+200</f>
        <v>700</v>
      </c>
      <c r="D67" s="19"/>
      <c r="E67" s="918"/>
      <c r="F67" s="775">
        <f t="shared" si="1"/>
        <v>700</v>
      </c>
      <c r="G67" s="41"/>
    </row>
    <row r="68" spans="1:7" ht="12.75">
      <c r="A68" s="79"/>
      <c r="B68" s="30" t="s">
        <v>730</v>
      </c>
      <c r="C68" s="18">
        <f>200+100-50+50</f>
        <v>300</v>
      </c>
      <c r="D68" s="19"/>
      <c r="E68" s="918">
        <v>100</v>
      </c>
      <c r="F68" s="775">
        <f t="shared" si="1"/>
        <v>400</v>
      </c>
      <c r="G68" s="41"/>
    </row>
    <row r="69" spans="1:10" ht="12.75">
      <c r="A69" s="121" t="s">
        <v>348</v>
      </c>
      <c r="B69" s="184" t="s">
        <v>33</v>
      </c>
      <c r="C69" s="559">
        <f>SUM(C21+C29+C38+C57+C60)</f>
        <v>31059</v>
      </c>
      <c r="D69" s="559">
        <f>SUM(D21+D29+D38+D57+D60)</f>
        <v>1480</v>
      </c>
      <c r="E69" s="559">
        <f>SUM(E21+E29+E38+E57+E60)</f>
        <v>1070</v>
      </c>
      <c r="F69" s="774">
        <f t="shared" si="1"/>
        <v>33609</v>
      </c>
      <c r="G69" s="43" t="e">
        <f>SUM(#REF!+#REF!+#REF!+#REF!+#REF!)</f>
        <v>#REF!</v>
      </c>
      <c r="J69" s="51">
        <f>SUM(F21+F29+F38+F57+F60)</f>
        <v>33609</v>
      </c>
    </row>
    <row r="70" spans="1:7" ht="12.75">
      <c r="A70" s="290" t="s">
        <v>347</v>
      </c>
      <c r="B70" s="184" t="s">
        <v>687</v>
      </c>
      <c r="C70" s="559"/>
      <c r="D70" s="559"/>
      <c r="E70" s="562"/>
      <c r="F70" s="775">
        <f>(D70+C70)</f>
        <v>0</v>
      </c>
      <c r="G70" s="41"/>
    </row>
    <row r="71" spans="1:7" ht="13.5" thickBot="1">
      <c r="A71" s="290" t="s">
        <v>389</v>
      </c>
      <c r="B71" s="289" t="s">
        <v>45</v>
      </c>
      <c r="C71" s="560"/>
      <c r="D71" s="560"/>
      <c r="E71" s="921"/>
      <c r="F71" s="925">
        <f>(D71+C71)</f>
        <v>0</v>
      </c>
      <c r="G71" s="41"/>
    </row>
    <row r="72" spans="1:10" ht="16.5" thickBot="1">
      <c r="A72" s="290"/>
      <c r="B72" s="404" t="s">
        <v>11</v>
      </c>
      <c r="C72" s="561">
        <f>SUM(C17+C20+C69+C70+C71)</f>
        <v>175384</v>
      </c>
      <c r="D72" s="561">
        <f>SUM(D17+D20+D69+D70+D71)</f>
        <v>24184</v>
      </c>
      <c r="E72" s="561">
        <f>SUM(E17+E20+E69+E70+E71)</f>
        <v>3858</v>
      </c>
      <c r="F72" s="926">
        <f>SUM(F17+F20+F69+F70+F71)</f>
        <v>203426</v>
      </c>
      <c r="G72" s="43">
        <f>SUM(C72:C72)</f>
        <v>175384</v>
      </c>
      <c r="J72" s="51">
        <f>SUM(C72:E72)</f>
        <v>203426</v>
      </c>
    </row>
    <row r="73" spans="1:7" ht="12.75">
      <c r="A73" s="290" t="s">
        <v>390</v>
      </c>
      <c r="B73" s="403" t="s">
        <v>992</v>
      </c>
      <c r="C73" s="562">
        <f>SUM(C74:C75)</f>
        <v>1800</v>
      </c>
      <c r="D73" s="562">
        <f>SUM(D74:D75)</f>
        <v>0</v>
      </c>
      <c r="E73" s="562">
        <f>SUM(E74:E75)</f>
        <v>300</v>
      </c>
      <c r="F73" s="774">
        <f>SUM(C73:E73)</f>
        <v>2100</v>
      </c>
      <c r="G73" s="41"/>
    </row>
    <row r="74" spans="1:7" ht="12.75">
      <c r="A74" s="290"/>
      <c r="B74" s="310" t="s">
        <v>1084</v>
      </c>
      <c r="C74" s="319">
        <v>1000</v>
      </c>
      <c r="D74" s="319"/>
      <c r="E74" s="319">
        <v>300</v>
      </c>
      <c r="F74" s="776">
        <f>SUM(C74:E74)</f>
        <v>1300</v>
      </c>
      <c r="G74" s="41"/>
    </row>
    <row r="75" spans="1:7" ht="13.5" thickBot="1">
      <c r="A75" s="290"/>
      <c r="B75" s="310" t="s">
        <v>993</v>
      </c>
      <c r="C75" s="319">
        <v>800</v>
      </c>
      <c r="D75" s="319"/>
      <c r="E75" s="319"/>
      <c r="F75" s="776">
        <f>SUM(C75:D75)</f>
        <v>800</v>
      </c>
      <c r="G75" s="41"/>
    </row>
    <row r="76" spans="1:10" ht="20.25" thickBot="1">
      <c r="A76" s="286"/>
      <c r="B76" s="298" t="s">
        <v>8</v>
      </c>
      <c r="C76" s="561">
        <f>SUM(C17+C20+C69+C70+C71+C73)</f>
        <v>177184</v>
      </c>
      <c r="D76" s="561">
        <f>SUM(D17+D20+D69+D70+D71+D73)</f>
        <v>24184</v>
      </c>
      <c r="E76" s="561">
        <f>SUM(E17+E20+E69+E70+E71+E73)</f>
        <v>4158</v>
      </c>
      <c r="F76" s="927">
        <f>SUM(F72+F73)</f>
        <v>205526</v>
      </c>
      <c r="G76" s="43">
        <f>SUM(C76:C76)</f>
        <v>177184</v>
      </c>
      <c r="J76" s="51">
        <f>SUM(C76:E76)</f>
        <v>205526</v>
      </c>
    </row>
    <row r="77" spans="1:7" ht="12.75">
      <c r="A77" s="79"/>
      <c r="B77" s="117" t="s">
        <v>71</v>
      </c>
      <c r="C77" s="292">
        <v>32</v>
      </c>
      <c r="D77" s="291">
        <v>3</v>
      </c>
      <c r="E77" s="291">
        <v>2</v>
      </c>
      <c r="F77" s="55">
        <f>(D77+C77+E77)</f>
        <v>37</v>
      </c>
      <c r="G77" s="41"/>
    </row>
    <row r="79" spans="2:6" ht="12.75">
      <c r="B79" s="11" t="s">
        <v>1024</v>
      </c>
      <c r="C79" s="11"/>
      <c r="D79" s="11"/>
      <c r="E79" s="11"/>
      <c r="F79" s="51">
        <f>SUM('2.működés'!E10)</f>
        <v>100898</v>
      </c>
    </row>
    <row r="80" spans="2:6" ht="12.75">
      <c r="B80" s="11" t="s">
        <v>562</v>
      </c>
      <c r="C80" s="11"/>
      <c r="D80" s="11"/>
      <c r="E80" s="11"/>
      <c r="F80" s="51">
        <v>19461</v>
      </c>
    </row>
    <row r="81" spans="2:6" ht="12.75">
      <c r="B81" s="11" t="s">
        <v>564</v>
      </c>
      <c r="C81" s="11"/>
      <c r="D81" s="11"/>
      <c r="E81" s="11"/>
      <c r="F81" s="51">
        <v>1000</v>
      </c>
    </row>
    <row r="82" spans="2:6" ht="12.75">
      <c r="B82" s="11" t="s">
        <v>989</v>
      </c>
      <c r="C82" s="11"/>
      <c r="D82" s="11"/>
      <c r="E82" s="51">
        <f>SUM(F81+F82+F83)</f>
        <v>20863</v>
      </c>
      <c r="F82" s="51">
        <f>SUM('2.működés'!E40+'2.működés'!E41+'2.működés'!E42)</f>
        <v>18985</v>
      </c>
    </row>
    <row r="83" spans="2:6" ht="12.75">
      <c r="B83" s="11" t="s">
        <v>988</v>
      </c>
      <c r="C83" s="11"/>
      <c r="D83" s="11"/>
      <c r="E83" s="11"/>
      <c r="F83" s="51">
        <f>SUM('2.működés'!E35)</f>
        <v>878</v>
      </c>
    </row>
    <row r="84" spans="2:6" ht="12.75">
      <c r="B84" s="822" t="s">
        <v>431</v>
      </c>
      <c r="C84" s="811"/>
      <c r="D84" s="811"/>
      <c r="E84" s="811"/>
      <c r="F84" s="390">
        <f>SUM(F79:F83)</f>
        <v>141222</v>
      </c>
    </row>
    <row r="85" spans="2:6" ht="12.75">
      <c r="B85" s="11" t="s">
        <v>430</v>
      </c>
      <c r="F85" s="51">
        <f>SUM(F76-F84)</f>
        <v>64304</v>
      </c>
    </row>
  </sheetData>
  <sheetProtection/>
  <mergeCells count="5">
    <mergeCell ref="A4:F4"/>
    <mergeCell ref="A2:F2"/>
    <mergeCell ref="A3:F3"/>
    <mergeCell ref="A6:A7"/>
    <mergeCell ref="B6:B7"/>
  </mergeCells>
  <printOptions/>
  <pageMargins left="0.31" right="0.15748031496062992" top="0.1968503937007874" bottom="0.15748031496062992" header="0.1968503937007874" footer="0.15748031496062992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1">
      <selection activeCell="F26" sqref="D26:G27"/>
    </sheetView>
  </sheetViews>
  <sheetFormatPr defaultColWidth="9.00390625" defaultRowHeight="12.75"/>
  <cols>
    <col min="1" max="1" width="43.25390625" style="0" customWidth="1"/>
    <col min="2" max="2" width="12.75390625" style="0" customWidth="1"/>
    <col min="3" max="3" width="12.75390625" style="163" customWidth="1"/>
    <col min="4" max="7" width="12.75390625" style="0" customWidth="1"/>
    <col min="8" max="8" width="12.75390625" style="0" hidden="1" customWidth="1"/>
    <col min="9" max="12" width="12.75390625" style="0" customWidth="1"/>
    <col min="13" max="13" width="10.25390625" style="0" customWidth="1"/>
  </cols>
  <sheetData>
    <row r="1" spans="1:27" ht="12.75">
      <c r="A1" s="5"/>
      <c r="B1" s="5"/>
      <c r="C1" s="5"/>
      <c r="D1" s="5"/>
      <c r="E1" s="5"/>
      <c r="F1" s="139" t="s">
        <v>643</v>
      </c>
      <c r="G1" s="139"/>
      <c r="H1" s="13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>
      <c r="A2" s="140"/>
      <c r="B2" s="5"/>
      <c r="C2" s="141"/>
      <c r="D2" s="5"/>
      <c r="E2" s="5"/>
      <c r="F2" s="142"/>
      <c r="G2" s="142"/>
      <c r="H2" s="142"/>
      <c r="I2" s="5"/>
      <c r="J2" s="5"/>
      <c r="K2" s="5"/>
      <c r="L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5">
      <c r="A3" s="144" t="s">
        <v>81</v>
      </c>
      <c r="B3" s="5"/>
      <c r="C3" s="141"/>
      <c r="D3" s="70"/>
      <c r="E3" s="70"/>
      <c r="F3" s="145"/>
      <c r="G3" s="146"/>
      <c r="H3" s="146"/>
      <c r="I3" s="70"/>
      <c r="J3" s="70"/>
      <c r="K3" s="70"/>
      <c r="L3" s="70"/>
      <c r="M3" s="5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6" s="4" customFormat="1" ht="15">
      <c r="A4" s="144" t="s">
        <v>82</v>
      </c>
      <c r="B4" s="5"/>
      <c r="C4" s="141"/>
      <c r="D4" s="70"/>
      <c r="E4" s="70"/>
      <c r="F4" s="145"/>
      <c r="G4" s="146"/>
      <c r="H4" s="146"/>
      <c r="I4" s="70"/>
      <c r="J4" s="70"/>
      <c r="K4" s="70"/>
      <c r="L4" s="5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s="4" customFormat="1" ht="13.5" thickBot="1">
      <c r="A5" s="5"/>
      <c r="B5" s="5"/>
      <c r="C5" s="141"/>
      <c r="F5" s="139" t="s">
        <v>30</v>
      </c>
      <c r="G5" s="147"/>
      <c r="H5" s="147"/>
      <c r="I5" s="70"/>
      <c r="J5" s="70"/>
      <c r="K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8" s="4" customFormat="1" ht="43.5" thickBot="1">
      <c r="A6" s="148" t="s">
        <v>479</v>
      </c>
      <c r="B6" s="149" t="s">
        <v>83</v>
      </c>
      <c r="C6" s="731" t="s">
        <v>1127</v>
      </c>
      <c r="D6" s="732">
        <v>2018</v>
      </c>
      <c r="E6" s="731">
        <v>2019</v>
      </c>
      <c r="F6" s="733">
        <v>2020</v>
      </c>
      <c r="G6" s="150"/>
      <c r="H6" s="150"/>
    </row>
    <row r="7" spans="1:8" s="4" customFormat="1" ht="12.75">
      <c r="A7" s="343" t="s">
        <v>84</v>
      </c>
      <c r="B7" s="344">
        <f>SUM(B8:B11)</f>
        <v>0</v>
      </c>
      <c r="C7" s="344">
        <f>SUM(C8:C11)</f>
        <v>54170</v>
      </c>
      <c r="D7" s="351">
        <f>SUM(D8:D11)</f>
        <v>804883</v>
      </c>
      <c r="E7" s="299"/>
      <c r="F7" s="299"/>
      <c r="G7" s="151"/>
      <c r="H7" s="151"/>
    </row>
    <row r="8" spans="1:8" s="4" customFormat="1" ht="17.25" customHeight="1">
      <c r="A8" s="934" t="s">
        <v>872</v>
      </c>
      <c r="B8" s="803"/>
      <c r="C8" s="804">
        <v>4020</v>
      </c>
      <c r="D8" s="805">
        <v>115188</v>
      </c>
      <c r="E8" s="299"/>
      <c r="F8" s="299"/>
      <c r="G8" s="151"/>
      <c r="H8" s="151"/>
    </row>
    <row r="9" spans="1:8" s="4" customFormat="1" ht="25.5" customHeight="1">
      <c r="A9" s="934" t="s">
        <v>873</v>
      </c>
      <c r="B9" s="803"/>
      <c r="C9" s="804">
        <v>5061</v>
      </c>
      <c r="D9" s="805">
        <v>139689</v>
      </c>
      <c r="E9" s="299"/>
      <c r="F9" s="299"/>
      <c r="G9" s="151"/>
      <c r="H9" s="151"/>
    </row>
    <row r="10" spans="1:8" s="4" customFormat="1" ht="17.25" customHeight="1">
      <c r="A10" s="934" t="s">
        <v>874</v>
      </c>
      <c r="B10" s="803"/>
      <c r="C10" s="804">
        <v>36294</v>
      </c>
      <c r="D10" s="805">
        <v>329506</v>
      </c>
      <c r="E10" s="299"/>
      <c r="F10" s="299"/>
      <c r="G10" s="151"/>
      <c r="H10" s="151"/>
    </row>
    <row r="11" spans="1:8" s="4" customFormat="1" ht="25.5">
      <c r="A11" s="934" t="s">
        <v>1122</v>
      </c>
      <c r="B11" s="803"/>
      <c r="C11" s="804">
        <v>8795</v>
      </c>
      <c r="D11" s="805">
        <v>220500</v>
      </c>
      <c r="E11" s="299"/>
      <c r="F11" s="299"/>
      <c r="G11" s="151"/>
      <c r="H11" s="151"/>
    </row>
    <row r="12" spans="1:8" s="4" customFormat="1" ht="12.75">
      <c r="A12" s="345" t="s">
        <v>85</v>
      </c>
      <c r="B12" s="346">
        <f>SUM(B13)</f>
        <v>0</v>
      </c>
      <c r="C12" s="346"/>
      <c r="D12" s="352">
        <f>SUM(D13)</f>
        <v>0</v>
      </c>
      <c r="E12" s="349"/>
      <c r="F12" s="349"/>
      <c r="G12" s="151"/>
      <c r="H12" s="151"/>
    </row>
    <row r="13" spans="1:8" s="4" customFormat="1" ht="12.75">
      <c r="A13" s="80" t="s">
        <v>86</v>
      </c>
      <c r="B13" s="342"/>
      <c r="C13" s="265"/>
      <c r="D13" s="208"/>
      <c r="E13" s="39" t="s">
        <v>86</v>
      </c>
      <c r="F13" s="39" t="s">
        <v>86</v>
      </c>
      <c r="G13" s="151"/>
      <c r="H13" s="151"/>
    </row>
    <row r="14" spans="1:8" s="4" customFormat="1" ht="12.75">
      <c r="A14" s="121" t="s">
        <v>87</v>
      </c>
      <c r="B14" s="349"/>
      <c r="C14" s="347"/>
      <c r="D14" s="348"/>
      <c r="E14" s="349"/>
      <c r="F14" s="349"/>
      <c r="G14" s="151"/>
      <c r="H14" s="151"/>
    </row>
    <row r="15" spans="1:8" s="4" customFormat="1" ht="13.5" thickBot="1">
      <c r="A15" s="152" t="s">
        <v>86</v>
      </c>
      <c r="B15" s="39"/>
      <c r="C15" s="265"/>
      <c r="D15" s="208"/>
      <c r="E15" s="39"/>
      <c r="F15" s="39"/>
      <c r="G15" s="40"/>
      <c r="H15" s="40"/>
    </row>
    <row r="16" spans="1:8" s="4" customFormat="1" ht="13.5" thickBot="1">
      <c r="A16" s="153" t="s">
        <v>56</v>
      </c>
      <c r="B16" s="154">
        <f>SUM(B7+B12)</f>
        <v>0</v>
      </c>
      <c r="C16" s="154">
        <f>SUM(C7+C12)</f>
        <v>54170</v>
      </c>
      <c r="D16" s="154">
        <f>SUM(D7+D12)</f>
        <v>804883</v>
      </c>
      <c r="E16" s="263" t="s">
        <v>86</v>
      </c>
      <c r="F16" s="155" t="s">
        <v>86</v>
      </c>
      <c r="G16" s="156"/>
      <c r="H16" s="156"/>
    </row>
    <row r="17" spans="1:12" s="4" customFormat="1" ht="12.75">
      <c r="A17" s="5"/>
      <c r="B17" s="5"/>
      <c r="C17" s="5"/>
      <c r="D17" s="350">
        <f>SUM(C16:D16)</f>
        <v>859053</v>
      </c>
      <c r="E17" s="70"/>
      <c r="F17" s="70"/>
      <c r="G17" s="70"/>
      <c r="H17" s="70"/>
      <c r="I17" s="70"/>
      <c r="J17" s="70"/>
      <c r="K17" s="70"/>
      <c r="L17" s="70"/>
    </row>
    <row r="18" spans="1:9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ht="16.5" customHeight="1">
      <c r="A19" s="144" t="s">
        <v>88</v>
      </c>
      <c r="B19" s="5"/>
      <c r="C19" s="141"/>
      <c r="D19" s="158"/>
      <c r="E19" s="158"/>
      <c r="F19" s="5"/>
      <c r="G19" s="5"/>
      <c r="H19" s="5"/>
      <c r="I19" s="139"/>
    </row>
    <row r="20" spans="1:9" ht="12.75" customHeight="1">
      <c r="A20" s="1063" t="s">
        <v>1095</v>
      </c>
      <c r="B20" s="1064"/>
      <c r="C20" s="1064"/>
      <c r="D20" s="1064"/>
      <c r="E20" s="1064"/>
      <c r="F20" s="1064"/>
      <c r="G20" s="1064"/>
      <c r="H20" s="1064"/>
      <c r="I20" s="1064"/>
    </row>
    <row r="21" spans="1:9" ht="12.75" customHeight="1">
      <c r="A21" s="5"/>
      <c r="B21" s="5"/>
      <c r="C21" s="159"/>
      <c r="D21" s="143"/>
      <c r="E21" s="143"/>
      <c r="F21" s="143"/>
      <c r="G21" s="143"/>
      <c r="H21" s="143"/>
      <c r="I21" s="139" t="s">
        <v>0</v>
      </c>
    </row>
    <row r="22" spans="1:9" ht="17.25" customHeight="1">
      <c r="A22" s="1065" t="s">
        <v>161</v>
      </c>
      <c r="B22" s="1065" t="s">
        <v>89</v>
      </c>
      <c r="C22" s="1065" t="s">
        <v>90</v>
      </c>
      <c r="D22" s="1067" t="s">
        <v>160</v>
      </c>
      <c r="E22" s="1067"/>
      <c r="F22" s="1067"/>
      <c r="G22" s="1067"/>
      <c r="H22" s="358"/>
      <c r="I22" s="1068" t="s">
        <v>56</v>
      </c>
    </row>
    <row r="23" spans="1:9" ht="30" customHeight="1">
      <c r="A23" s="1066"/>
      <c r="B23" s="1066"/>
      <c r="C23" s="1066"/>
      <c r="D23" s="207">
        <v>2018</v>
      </c>
      <c r="E23" s="264">
        <v>2019</v>
      </c>
      <c r="F23" s="160">
        <v>2020</v>
      </c>
      <c r="G23" s="360" t="s">
        <v>1096</v>
      </c>
      <c r="H23" s="160">
        <v>2019</v>
      </c>
      <c r="I23" s="1069"/>
    </row>
    <row r="24" spans="1:9" ht="24.75" customHeight="1">
      <c r="A24" s="949" t="s">
        <v>1128</v>
      </c>
      <c r="B24" s="38"/>
      <c r="C24" s="950">
        <v>78200</v>
      </c>
      <c r="D24" s="208"/>
      <c r="E24" s="265">
        <v>16600</v>
      </c>
      <c r="F24" s="265">
        <v>16600</v>
      </c>
      <c r="G24" s="265">
        <v>49800</v>
      </c>
      <c r="H24" s="39"/>
      <c r="I24" s="39">
        <f>SUM(E24:H24)</f>
        <v>83000</v>
      </c>
    </row>
    <row r="25" spans="1:9" ht="12.75" customHeight="1">
      <c r="A25" s="76" t="s">
        <v>1129</v>
      </c>
      <c r="B25" s="79"/>
      <c r="C25" s="950">
        <v>100000</v>
      </c>
      <c r="D25" s="194"/>
      <c r="E25" s="266">
        <v>21200</v>
      </c>
      <c r="F25" s="79">
        <v>21200</v>
      </c>
      <c r="G25" s="79">
        <v>63600</v>
      </c>
      <c r="H25" s="79"/>
      <c r="I25" s="39">
        <f>SUM(E25:H25)</f>
        <v>106000</v>
      </c>
    </row>
    <row r="26" spans="1:9" ht="12.75" customHeight="1">
      <c r="A26" s="161" t="s">
        <v>56</v>
      </c>
      <c r="B26" s="81"/>
      <c r="C26" s="346">
        <f>SUM(C24:C25)</f>
        <v>178200</v>
      </c>
      <c r="D26" s="209">
        <f>SUM(D24:D25)</f>
        <v>0</v>
      </c>
      <c r="E26" s="267">
        <f>SUM(E24:E25)</f>
        <v>37800</v>
      </c>
      <c r="F26" s="78">
        <f>SUM(F24:F25)</f>
        <v>37800</v>
      </c>
      <c r="G26" s="78">
        <f>SUM(G24:G25)</f>
        <v>113400</v>
      </c>
      <c r="H26" s="78"/>
      <c r="I26" s="951">
        <f>SUM(I24:I25)</f>
        <v>189000</v>
      </c>
    </row>
    <row r="27" spans="1:13" ht="22.5" customHeight="1">
      <c r="A27" s="1054" t="s">
        <v>459</v>
      </c>
      <c r="B27" s="1055"/>
      <c r="C27" s="1056"/>
      <c r="D27" s="1067" t="s">
        <v>478</v>
      </c>
      <c r="E27" s="1067"/>
      <c r="F27" s="1067"/>
      <c r="G27" s="1067"/>
      <c r="H27" s="358"/>
      <c r="I27" s="1068" t="s">
        <v>56</v>
      </c>
      <c r="J27" s="4"/>
      <c r="K27" s="4"/>
      <c r="L27" s="4"/>
      <c r="M27" s="4"/>
    </row>
    <row r="28" spans="1:13" ht="27" customHeight="1">
      <c r="A28" s="1057"/>
      <c r="B28" s="1058"/>
      <c r="C28" s="1059"/>
      <c r="D28" s="207">
        <v>2018</v>
      </c>
      <c r="E28" s="264">
        <v>2019</v>
      </c>
      <c r="F28" s="160">
        <v>2020</v>
      </c>
      <c r="G28" s="160">
        <v>2021</v>
      </c>
      <c r="H28" s="160"/>
      <c r="I28" s="1069"/>
      <c r="J28" s="4"/>
      <c r="K28" s="4"/>
      <c r="L28" s="4"/>
      <c r="M28" s="4"/>
    </row>
    <row r="29" spans="1:13" ht="12.75" customHeight="1">
      <c r="A29" s="1060"/>
      <c r="B29" s="1061"/>
      <c r="C29" s="1062"/>
      <c r="D29" s="208">
        <v>182000</v>
      </c>
      <c r="E29" s="265">
        <v>185000</v>
      </c>
      <c r="F29" s="39">
        <v>185000</v>
      </c>
      <c r="G29" s="39">
        <v>185000</v>
      </c>
      <c r="H29" s="39"/>
      <c r="I29" s="54" t="s">
        <v>86</v>
      </c>
      <c r="J29" s="4"/>
      <c r="K29" s="4"/>
      <c r="L29" s="4"/>
      <c r="M29" s="4"/>
    </row>
    <row r="30" spans="2:13" ht="12.75" customHeight="1">
      <c r="B30" s="105"/>
      <c r="C30" s="162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 customHeight="1">
      <c r="B31" s="105"/>
      <c r="C31" s="162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2.75" customHeight="1">
      <c r="B32" s="105"/>
      <c r="C32" s="162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 customHeight="1">
      <c r="B33" s="105"/>
      <c r="C33" s="162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2.75" customHeight="1">
      <c r="B34" s="105"/>
      <c r="C34" s="162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2.75" customHeight="1">
      <c r="B35" s="105"/>
      <c r="C35" s="162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2.75" customHeight="1">
      <c r="B36" s="105"/>
      <c r="C36" s="162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2.75" customHeight="1">
      <c r="B37" s="105"/>
      <c r="C37" s="162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2.75" customHeight="1">
      <c r="B38" s="105"/>
      <c r="C38" s="162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2.75" customHeight="1">
      <c r="B39" s="105"/>
      <c r="C39" s="162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2.75" customHeight="1">
      <c r="B40" s="105"/>
      <c r="C40" s="162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2.75" customHeight="1">
      <c r="B41" s="105"/>
      <c r="C41" s="162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 customHeight="1">
      <c r="B42" s="105"/>
      <c r="C42" s="162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 customHeight="1">
      <c r="B43" s="105"/>
      <c r="C43" s="162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 customHeight="1">
      <c r="B44" s="105"/>
      <c r="C44" s="162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 customHeight="1">
      <c r="B45" s="105"/>
      <c r="C45" s="162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 customHeight="1">
      <c r="B46" s="105"/>
      <c r="C46" s="162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 customHeight="1">
      <c r="B47" s="105"/>
      <c r="C47" s="162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2.75" customHeight="1">
      <c r="B48" s="105"/>
      <c r="C48" s="162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 customHeight="1">
      <c r="B49" s="105"/>
      <c r="C49" s="162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2.75" customHeight="1">
      <c r="B50" s="105"/>
      <c r="C50" s="162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2.75" customHeight="1">
      <c r="B51" s="105"/>
      <c r="C51" s="162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2.75" customHeight="1">
      <c r="B52" s="105"/>
      <c r="C52" s="162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2.75" customHeight="1">
      <c r="B53" s="105"/>
      <c r="C53" s="162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 customHeight="1">
      <c r="B54" s="105"/>
      <c r="C54" s="162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 customHeight="1">
      <c r="B55" s="105"/>
      <c r="C55" s="162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 customHeight="1">
      <c r="B56" s="105"/>
      <c r="C56" s="162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 customHeight="1">
      <c r="B57" s="105"/>
      <c r="C57" s="162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3" ht="12.75" customHeight="1">
      <c r="B58" s="105"/>
      <c r="C58" s="162"/>
    </row>
    <row r="59" spans="2:3" ht="12.75" customHeight="1">
      <c r="B59" s="105"/>
      <c r="C59" s="162"/>
    </row>
    <row r="60" spans="2:3" ht="12.75" customHeight="1">
      <c r="B60" s="105"/>
      <c r="C60" s="162"/>
    </row>
    <row r="61" spans="2:3" ht="12.75" customHeight="1">
      <c r="B61" s="105"/>
      <c r="C61" s="162"/>
    </row>
    <row r="62" spans="2:3" ht="12.75" customHeight="1">
      <c r="B62" s="105"/>
      <c r="C62" s="162"/>
    </row>
    <row r="63" spans="2:3" ht="12.75" customHeight="1">
      <c r="B63" s="105"/>
      <c r="C63" s="162"/>
    </row>
    <row r="64" spans="2:3" ht="12.75" customHeight="1">
      <c r="B64" s="105"/>
      <c r="C64" s="162"/>
    </row>
    <row r="65" spans="2:3" ht="12.75" customHeight="1">
      <c r="B65" s="105"/>
      <c r="C65" s="162"/>
    </row>
    <row r="66" spans="2:3" ht="12.75" customHeight="1">
      <c r="B66" s="105"/>
      <c r="C66" s="162"/>
    </row>
    <row r="67" spans="2:3" ht="12.75">
      <c r="B67" s="105"/>
      <c r="C67" s="162"/>
    </row>
    <row r="68" spans="2:3" ht="12.75">
      <c r="B68" s="105"/>
      <c r="C68" s="162"/>
    </row>
    <row r="69" spans="2:3" ht="12.75">
      <c r="B69" s="105"/>
      <c r="C69" s="162"/>
    </row>
    <row r="70" spans="2:3" ht="12.75">
      <c r="B70" s="105"/>
      <c r="C70" s="162"/>
    </row>
    <row r="71" spans="2:3" ht="12.75">
      <c r="B71" s="105"/>
      <c r="C71" s="162"/>
    </row>
    <row r="72" spans="2:3" ht="12.75">
      <c r="B72" s="105"/>
      <c r="C72" s="162"/>
    </row>
    <row r="73" spans="2:3" ht="12.75">
      <c r="B73" s="105"/>
      <c r="C73" s="162"/>
    </row>
    <row r="74" spans="2:3" ht="12.75">
      <c r="B74" s="105"/>
      <c r="C74" s="162"/>
    </row>
    <row r="75" spans="2:3" ht="12.75">
      <c r="B75" s="105"/>
      <c r="C75" s="162"/>
    </row>
    <row r="76" spans="2:3" ht="12.75">
      <c r="B76" s="105"/>
      <c r="C76" s="162"/>
    </row>
    <row r="77" spans="2:3" ht="12.75">
      <c r="B77" s="105"/>
      <c r="C77" s="162"/>
    </row>
    <row r="78" spans="2:3" ht="12.75">
      <c r="B78" s="105"/>
      <c r="C78" s="162"/>
    </row>
    <row r="79" spans="2:3" ht="12.75">
      <c r="B79" s="105"/>
      <c r="C79" s="162"/>
    </row>
    <row r="80" spans="2:3" ht="12.75">
      <c r="B80" s="105"/>
      <c r="C80" s="162"/>
    </row>
    <row r="81" spans="2:3" ht="12.75">
      <c r="B81" s="105"/>
      <c r="C81" s="162"/>
    </row>
    <row r="82" spans="2:3" ht="12.75">
      <c r="B82" s="105"/>
      <c r="C82" s="162"/>
    </row>
    <row r="83" spans="2:3" ht="12.75">
      <c r="B83" s="105"/>
      <c r="C83" s="162"/>
    </row>
    <row r="84" spans="2:3" ht="12.75">
      <c r="B84" s="105"/>
      <c r="C84" s="162"/>
    </row>
  </sheetData>
  <sheetProtection/>
  <mergeCells count="9">
    <mergeCell ref="A27:C29"/>
    <mergeCell ref="A20:I20"/>
    <mergeCell ref="A22:A23"/>
    <mergeCell ref="B22:B23"/>
    <mergeCell ref="C22:C23"/>
    <mergeCell ref="D22:G22"/>
    <mergeCell ref="I22:I23"/>
    <mergeCell ref="D27:G27"/>
    <mergeCell ref="I27:I28"/>
  </mergeCells>
  <printOptions/>
  <pageMargins left="0.43" right="0.17" top="0.31" bottom="0.56" header="0.1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7"/>
  <sheetViews>
    <sheetView zoomScalePageLayoutView="0" workbookViewId="0" topLeftCell="A1">
      <selection activeCell="B71" sqref="B71"/>
    </sheetView>
  </sheetViews>
  <sheetFormatPr defaultColWidth="9.00390625" defaultRowHeight="12.75"/>
  <cols>
    <col min="1" max="1" width="6.25390625" style="2" customWidth="1"/>
    <col min="2" max="2" width="72.375" style="0" customWidth="1"/>
    <col min="3" max="4" width="15.75390625" style="51" hidden="1" customWidth="1"/>
    <col min="5" max="5" width="17.375" style="51" bestFit="1" customWidth="1"/>
    <col min="6" max="6" width="5.625" style="0" hidden="1" customWidth="1"/>
    <col min="7" max="7" width="4.125" style="0" hidden="1" customWidth="1"/>
  </cols>
  <sheetData>
    <row r="1" spans="1:41" ht="15" customHeight="1">
      <c r="A1" s="72"/>
      <c r="B1" s="336"/>
      <c r="E1" s="338" t="s">
        <v>163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5">
      <c r="A2" s="955" t="s">
        <v>29</v>
      </c>
      <c r="B2" s="955"/>
      <c r="C2" s="960"/>
      <c r="D2" s="960"/>
      <c r="E2" s="9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>
      <c r="A3" s="955" t="s">
        <v>946</v>
      </c>
      <c r="B3" s="955"/>
      <c r="C3" s="960"/>
      <c r="D3" s="960"/>
      <c r="E3" s="96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3.5" thickBot="1">
      <c r="A4" s="72"/>
      <c r="B4" s="72"/>
      <c r="E4" s="338" t="s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53.25" customHeight="1" thickBot="1">
      <c r="A5" s="424" t="s">
        <v>162</v>
      </c>
      <c r="B5" s="60" t="s">
        <v>482</v>
      </c>
      <c r="C5" s="60" t="s">
        <v>848</v>
      </c>
      <c r="D5" s="60" t="s">
        <v>852</v>
      </c>
      <c r="E5" s="61" t="s">
        <v>467</v>
      </c>
      <c r="F5" s="7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2.5" customHeight="1">
      <c r="A6" s="275" t="s">
        <v>453</v>
      </c>
      <c r="B6" s="533" t="s">
        <v>438</v>
      </c>
      <c r="C6" s="323" t="e">
        <f>SUM(C7:C48)</f>
        <v>#REF!</v>
      </c>
      <c r="D6" s="323" t="e">
        <f>SUM(D7:D48)</f>
        <v>#REF!</v>
      </c>
      <c r="E6" s="323">
        <f>SUM(E7:E48)</f>
        <v>969856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8" customHeight="1">
      <c r="A7" s="20" t="s">
        <v>165</v>
      </c>
      <c r="B7" s="35" t="s">
        <v>268</v>
      </c>
      <c r="C7" s="52">
        <f>SUM('2.működés'!C7)</f>
        <v>408981</v>
      </c>
      <c r="D7" s="52">
        <f>SUM('2.működés'!D7)</f>
        <v>443681</v>
      </c>
      <c r="E7" s="52">
        <f>SUM('2.működés'!E7)</f>
        <v>405326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3.5" customHeight="1" hidden="1">
      <c r="A8" s="10" t="s">
        <v>166</v>
      </c>
      <c r="B8" s="10" t="s">
        <v>174</v>
      </c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3.5" customHeight="1" hidden="1">
      <c r="A9" s="10" t="s">
        <v>215</v>
      </c>
      <c r="B9" s="10" t="s">
        <v>216</v>
      </c>
      <c r="C9" s="7"/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3.5" customHeight="1" hidden="1">
      <c r="A10" s="10" t="s">
        <v>167</v>
      </c>
      <c r="B10" s="10" t="s">
        <v>171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 customHeight="1" hidden="1">
      <c r="A11" s="10" t="s">
        <v>168</v>
      </c>
      <c r="B11" s="10" t="s">
        <v>172</v>
      </c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 customHeight="1" hidden="1">
      <c r="A12" s="10" t="s">
        <v>169</v>
      </c>
      <c r="B12" s="10" t="s">
        <v>173</v>
      </c>
      <c r="C12" s="19"/>
      <c r="D12" s="19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 customHeight="1" hidden="1">
      <c r="A13" s="10" t="s">
        <v>170</v>
      </c>
      <c r="B13" s="10" t="s">
        <v>175</v>
      </c>
      <c r="C13" s="19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8" customHeight="1">
      <c r="A14" s="20" t="s">
        <v>176</v>
      </c>
      <c r="B14" s="35" t="s">
        <v>269</v>
      </c>
      <c r="C14" s="57" t="e">
        <f>SUM('3.felh'!#REF!)</f>
        <v>#REF!</v>
      </c>
      <c r="D14" s="57" t="e">
        <f>SUM('3.felh'!#REF!)</f>
        <v>#REF!</v>
      </c>
      <c r="E14" s="57">
        <f>SUM('3.felh'!C11)</f>
        <v>199095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2.75" customHeight="1" hidden="1">
      <c r="A15" s="10" t="s">
        <v>177</v>
      </c>
      <c r="B15" s="10" t="s">
        <v>184</v>
      </c>
      <c r="C15" s="7"/>
      <c r="D15" s="7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2.75" customHeight="1" hidden="1">
      <c r="A16" s="10" t="s">
        <v>217</v>
      </c>
      <c r="B16" s="10" t="s">
        <v>218</v>
      </c>
      <c r="C16" s="19"/>
      <c r="D16" s="19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.75" customHeight="1" hidden="1">
      <c r="A17" s="10" t="s">
        <v>178</v>
      </c>
      <c r="B17" s="10" t="s">
        <v>181</v>
      </c>
      <c r="C17" s="19"/>
      <c r="D17" s="19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.75" customHeight="1" hidden="1">
      <c r="A18" s="10" t="s">
        <v>179</v>
      </c>
      <c r="B18" s="10" t="s">
        <v>182</v>
      </c>
      <c r="C18" s="19"/>
      <c r="D18" s="19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2.75" customHeight="1" hidden="1">
      <c r="A19" s="10" t="s">
        <v>180</v>
      </c>
      <c r="B19" s="10" t="s">
        <v>183</v>
      </c>
      <c r="C19" s="19"/>
      <c r="D19" s="19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" customHeight="1">
      <c r="A20" s="20" t="s">
        <v>185</v>
      </c>
      <c r="B20" s="35" t="s">
        <v>141</v>
      </c>
      <c r="C20" s="57">
        <f>SUM('2.működés'!C47)</f>
        <v>294000</v>
      </c>
      <c r="D20" s="57">
        <f>SUM('2.működés'!D47)</f>
        <v>294000</v>
      </c>
      <c r="E20" s="57">
        <f>SUM('2.működés'!E47)</f>
        <v>298200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2.75" customHeight="1" hidden="1">
      <c r="A21" s="10" t="s">
        <v>186</v>
      </c>
      <c r="B21" s="10" t="s">
        <v>192</v>
      </c>
      <c r="C21" s="19"/>
      <c r="D21" s="19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2.75" customHeight="1" hidden="1">
      <c r="A22" s="10" t="s">
        <v>187</v>
      </c>
      <c r="B22" s="10" t="s">
        <v>193</v>
      </c>
      <c r="C22" s="19"/>
      <c r="D22" s="19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2.75" customHeight="1" hidden="1">
      <c r="A23" s="10" t="s">
        <v>188</v>
      </c>
      <c r="B23" s="31" t="s">
        <v>194</v>
      </c>
      <c r="C23" s="64"/>
      <c r="D23" s="64"/>
      <c r="E23" s="6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2.75" customHeight="1" hidden="1">
      <c r="A24" s="10" t="s">
        <v>189</v>
      </c>
      <c r="B24" s="10" t="s">
        <v>221</v>
      </c>
      <c r="C24" s="53"/>
      <c r="D24" s="53"/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66" customFormat="1" ht="12.75" customHeight="1" hidden="1">
      <c r="A25" s="10" t="s">
        <v>190</v>
      </c>
      <c r="B25" s="10" t="s">
        <v>222</v>
      </c>
      <c r="C25" s="19"/>
      <c r="D25" s="19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66" customFormat="1" ht="12.75" customHeight="1" hidden="1">
      <c r="A26" s="10" t="s">
        <v>191</v>
      </c>
      <c r="B26" s="10" t="s">
        <v>195</v>
      </c>
      <c r="C26" s="19"/>
      <c r="D26" s="19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66" customFormat="1" ht="18" customHeight="1">
      <c r="A27" s="20" t="s">
        <v>196</v>
      </c>
      <c r="B27" s="35" t="s">
        <v>270</v>
      </c>
      <c r="C27" s="57">
        <f>SUM('2.működés'!C60)</f>
        <v>30496</v>
      </c>
      <c r="D27" s="57">
        <f>SUM('2.működés'!D60)</f>
        <v>37686</v>
      </c>
      <c r="E27" s="57">
        <f>SUM('2.működés'!E60)</f>
        <v>34220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3.5" customHeight="1" hidden="1">
      <c r="A28" s="10" t="s">
        <v>199</v>
      </c>
      <c r="B28" s="10" t="s">
        <v>197</v>
      </c>
      <c r="C28" s="19"/>
      <c r="D28" s="19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66" customFormat="1" ht="13.5" customHeight="1" hidden="1">
      <c r="A29" s="10" t="s">
        <v>200</v>
      </c>
      <c r="B29" s="10" t="s">
        <v>198</v>
      </c>
      <c r="C29" s="19"/>
      <c r="D29" s="19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66" customFormat="1" ht="13.5" customHeight="1" hidden="1">
      <c r="A30" s="10" t="s">
        <v>201</v>
      </c>
      <c r="B30" s="10" t="s">
        <v>204</v>
      </c>
      <c r="C30" s="14"/>
      <c r="D30" s="14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3.5" customHeight="1" hidden="1">
      <c r="A31" s="10" t="s">
        <v>202</v>
      </c>
      <c r="B31" s="31" t="s">
        <v>205</v>
      </c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.75" customHeight="1" hidden="1">
      <c r="A32" s="10" t="s">
        <v>203</v>
      </c>
      <c r="B32" s="31" t="s">
        <v>206</v>
      </c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 hidden="1">
      <c r="A33" s="10" t="s">
        <v>207</v>
      </c>
      <c r="B33" s="31" t="s">
        <v>208</v>
      </c>
      <c r="C33" s="10"/>
      <c r="D33" s="10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 hidden="1">
      <c r="A34" s="10" t="s">
        <v>209</v>
      </c>
      <c r="B34" s="31" t="s">
        <v>210</v>
      </c>
      <c r="C34" s="10"/>
      <c r="D34" s="10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 hidden="1">
      <c r="A35" s="10" t="s">
        <v>211</v>
      </c>
      <c r="B35" s="31" t="s">
        <v>212</v>
      </c>
      <c r="C35" s="10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 hidden="1">
      <c r="A36" s="10" t="s">
        <v>213</v>
      </c>
      <c r="B36" s="31" t="s">
        <v>214</v>
      </c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 hidden="1">
      <c r="A37" s="10" t="s">
        <v>219</v>
      </c>
      <c r="B37" s="31" t="s">
        <v>220</v>
      </c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7.25" customHeight="1">
      <c r="A38" s="20" t="s">
        <v>223</v>
      </c>
      <c r="B38" s="35" t="s">
        <v>271</v>
      </c>
      <c r="C38" s="57" t="e">
        <f>SUM('3.felh'!#REF!)</f>
        <v>#REF!</v>
      </c>
      <c r="D38" s="57" t="e">
        <f>SUM('3.felh'!#REF!)</f>
        <v>#REF!</v>
      </c>
      <c r="E38" s="57">
        <f>SUM('3.felh'!C28)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 hidden="1">
      <c r="A39" s="10" t="s">
        <v>224</v>
      </c>
      <c r="B39" s="31" t="s">
        <v>229</v>
      </c>
      <c r="C39" s="10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 hidden="1">
      <c r="A40" s="10" t="s">
        <v>225</v>
      </c>
      <c r="B40" s="31" t="s">
        <v>230</v>
      </c>
      <c r="C40" s="10"/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 hidden="1">
      <c r="A41" s="10" t="s">
        <v>226</v>
      </c>
      <c r="B41" s="31" t="s">
        <v>231</v>
      </c>
      <c r="C41" s="10"/>
      <c r="D41" s="10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 hidden="1">
      <c r="A42" s="10" t="s">
        <v>227</v>
      </c>
      <c r="B42" s="31" t="s">
        <v>232</v>
      </c>
      <c r="C42" s="10"/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hidden="1">
      <c r="A43" s="10" t="s">
        <v>228</v>
      </c>
      <c r="B43" s="31" t="s">
        <v>233</v>
      </c>
      <c r="C43" s="10"/>
      <c r="D43" s="10"/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" customHeight="1">
      <c r="A44" s="20" t="s">
        <v>234</v>
      </c>
      <c r="B44" s="35" t="s">
        <v>272</v>
      </c>
      <c r="C44" s="57">
        <f>SUM('2.működés'!C72)</f>
        <v>6500</v>
      </c>
      <c r="D44" s="57">
        <f>SUM('2.működés'!D72)</f>
        <v>6500</v>
      </c>
      <c r="E44" s="57">
        <f>SUM('2.működés'!E72)</f>
        <v>25000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 hidden="1">
      <c r="A45" s="10" t="s">
        <v>240</v>
      </c>
      <c r="B45" s="31" t="s">
        <v>237</v>
      </c>
      <c r="C45" s="10"/>
      <c r="D45" s="10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 hidden="1">
      <c r="A46" s="10" t="s">
        <v>241</v>
      </c>
      <c r="B46" s="31" t="s">
        <v>238</v>
      </c>
      <c r="C46" s="10"/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 hidden="1">
      <c r="A47" s="10" t="s">
        <v>242</v>
      </c>
      <c r="B47" s="31" t="s">
        <v>239</v>
      </c>
      <c r="C47" s="10"/>
      <c r="D47" s="10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" customHeight="1">
      <c r="A48" s="20" t="s">
        <v>235</v>
      </c>
      <c r="B48" s="35" t="s">
        <v>273</v>
      </c>
      <c r="C48" s="57" t="e">
        <f>SUM('3.felh'!#REF!)</f>
        <v>#REF!</v>
      </c>
      <c r="D48" s="57" t="e">
        <f>SUM('3.felh'!#REF!)</f>
        <v>#REF!</v>
      </c>
      <c r="E48" s="57">
        <f>SUM('3.felh'!C34)</f>
        <v>8015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3.5" customHeight="1" hidden="1">
      <c r="A49" s="10" t="s">
        <v>243</v>
      </c>
      <c r="B49" s="31" t="s">
        <v>246</v>
      </c>
      <c r="C49" s="57"/>
      <c r="D49" s="57"/>
      <c r="E49" s="5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3.5" customHeight="1" hidden="1">
      <c r="A50" s="10" t="s">
        <v>244</v>
      </c>
      <c r="B50" s="31" t="s">
        <v>247</v>
      </c>
      <c r="C50" s="57"/>
      <c r="D50" s="57"/>
      <c r="E50" s="5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3.5" customHeight="1" hidden="1" thickBot="1">
      <c r="A51" s="10" t="s">
        <v>245</v>
      </c>
      <c r="B51" s="31" t="s">
        <v>248</v>
      </c>
      <c r="C51" s="57"/>
      <c r="D51" s="57"/>
      <c r="E51" s="5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2.5" customHeight="1">
      <c r="A52" s="37" t="s">
        <v>236</v>
      </c>
      <c r="B52" s="322" t="s">
        <v>450</v>
      </c>
      <c r="C52" s="377" t="e">
        <f>SUM(C53+C57)</f>
        <v>#REF!</v>
      </c>
      <c r="D52" s="377" t="e">
        <f>SUM(D53+D57)</f>
        <v>#REF!</v>
      </c>
      <c r="E52" s="377">
        <f>SUM(E53+E57)</f>
        <v>1519824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3.5" customHeight="1">
      <c r="A53" s="37"/>
      <c r="B53" s="35" t="s">
        <v>641</v>
      </c>
      <c r="C53" s="57">
        <f>SUM(C54)</f>
        <v>151289</v>
      </c>
      <c r="D53" s="57">
        <f>SUM(D54)</f>
        <v>150914</v>
      </c>
      <c r="E53" s="57">
        <f>SUM(E54)</f>
        <v>1341624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3.5" customHeight="1">
      <c r="A54" s="10"/>
      <c r="B54" s="45" t="s">
        <v>642</v>
      </c>
      <c r="C54" s="17">
        <f>SUM(C55:C56)</f>
        <v>151289</v>
      </c>
      <c r="D54" s="17">
        <f>SUM(D55:D56)</f>
        <v>150914</v>
      </c>
      <c r="E54" s="17">
        <f>SUM(E55:E56)</f>
        <v>1341624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3.5" customHeight="1">
      <c r="A55" s="10"/>
      <c r="B55" s="45" t="s">
        <v>625</v>
      </c>
      <c r="C55" s="18">
        <f>SUM('2.működés'!C79)</f>
        <v>151289</v>
      </c>
      <c r="D55" s="18">
        <f>SUM('2.működés'!D79)</f>
        <v>150914</v>
      </c>
      <c r="E55" s="18">
        <f>SUM('2.működés'!E79)</f>
        <v>246027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3.5" customHeight="1">
      <c r="A56" s="10"/>
      <c r="B56" s="45" t="s">
        <v>626</v>
      </c>
      <c r="C56" s="18"/>
      <c r="D56" s="18"/>
      <c r="E56" s="18">
        <f>SUM('3.felh'!C39)</f>
        <v>1095597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3.5" customHeight="1">
      <c r="A57" s="10"/>
      <c r="B57" s="35" t="s">
        <v>635</v>
      </c>
      <c r="C57" s="57" t="e">
        <f>SUM(C58:C59)</f>
        <v>#REF!</v>
      </c>
      <c r="D57" s="57" t="e">
        <f>SUM(D58:D59)</f>
        <v>#REF!</v>
      </c>
      <c r="E57" s="57">
        <f>SUM(E58:E59)</f>
        <v>178200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3.5" customHeight="1">
      <c r="A58" s="10"/>
      <c r="B58" s="10" t="s">
        <v>298</v>
      </c>
      <c r="C58" s="19"/>
      <c r="D58" s="19"/>
      <c r="E58" s="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3.5" customHeight="1" thickBot="1">
      <c r="A59" s="15"/>
      <c r="B59" s="310" t="s">
        <v>299</v>
      </c>
      <c r="C59" s="319" t="e">
        <f>SUM('3.felh'!#REF!)</f>
        <v>#REF!</v>
      </c>
      <c r="D59" s="319" t="e">
        <f>SUM('3.felh'!#REF!)</f>
        <v>#REF!</v>
      </c>
      <c r="E59" s="319">
        <f>SUM('3.felh'!C41)</f>
        <v>178200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23.25" customHeight="1" thickBot="1">
      <c r="A60" s="422"/>
      <c r="B60" s="423" t="s">
        <v>481</v>
      </c>
      <c r="C60" s="335" t="e">
        <f>SUM(C6+C52)</f>
        <v>#REF!</v>
      </c>
      <c r="D60" s="335" t="e">
        <f>SUM(D6+D52)</f>
        <v>#REF!</v>
      </c>
      <c r="E60" s="63">
        <f>SUM(E6+E52)</f>
        <v>2489680</v>
      </c>
      <c r="F60" s="9" t="e">
        <f>E60-D60</f>
        <v>#REF!</v>
      </c>
      <c r="G60" s="9">
        <f>E60-E79</f>
        <v>-0.2705118111334741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20.25" customHeight="1">
      <c r="A61" s="275" t="s">
        <v>452</v>
      </c>
      <c r="B61" s="539" t="s">
        <v>440</v>
      </c>
      <c r="C61" s="356" t="e">
        <f>SUM(C62+C67)</f>
        <v>#REF!</v>
      </c>
      <c r="D61" s="356" t="e">
        <f>SUM(D62+D67)</f>
        <v>#REF!</v>
      </c>
      <c r="E61" s="356">
        <f>SUM(E62+E67)</f>
        <v>2475576.270511811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" customHeight="1">
      <c r="A62" s="20" t="s">
        <v>249</v>
      </c>
      <c r="B62" s="362" t="s">
        <v>9</v>
      </c>
      <c r="C62" s="357" t="e">
        <f>SUM(C63:C65)</f>
        <v>#REF!</v>
      </c>
      <c r="D62" s="357" t="e">
        <f>SUM(D63:D65)</f>
        <v>#REF!</v>
      </c>
      <c r="E62" s="357">
        <f>SUM(E63:E65)</f>
        <v>943097.270511811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>
      <c r="A63" s="10"/>
      <c r="B63" s="34" t="s">
        <v>10</v>
      </c>
      <c r="C63" s="133" t="e">
        <f>SUM('8.Önk.'!#REF!)</f>
        <v>#REF!</v>
      </c>
      <c r="D63" s="133" t="e">
        <f>SUM('8.Önk.'!#REF!)</f>
        <v>#REF!</v>
      </c>
      <c r="E63" s="133">
        <f>SUM('8.Önk.'!AE109)</f>
        <v>695210.270511811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3.5" customHeight="1" thickBot="1">
      <c r="A64" s="10"/>
      <c r="B64" s="30" t="s">
        <v>980</v>
      </c>
      <c r="C64" s="224" t="e">
        <f>SUM('9.hivatal'!#REF!)</f>
        <v>#REF!</v>
      </c>
      <c r="D64" s="224" t="e">
        <f>SUM('9.hivatal'!#REF!)</f>
        <v>#REF!</v>
      </c>
      <c r="E64" s="224">
        <f>SUM('9.hivatal'!F72)</f>
        <v>203426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16" customFormat="1" ht="13.5" customHeight="1" thickBot="1">
      <c r="A65" s="30"/>
      <c r="B65" s="405" t="s">
        <v>252</v>
      </c>
      <c r="C65" s="741">
        <f>SUM('2.működés'!C96)</f>
        <v>36282</v>
      </c>
      <c r="D65" s="741">
        <f>SUM('2.működés'!D96)</f>
        <v>41875</v>
      </c>
      <c r="E65" s="740">
        <f>SUM('2.működés'!E96)</f>
        <v>44461</v>
      </c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</row>
    <row r="66" spans="1:41" s="116" customFormat="1" ht="12.75" customHeight="1" hidden="1">
      <c r="A66" s="30"/>
      <c r="B66" s="30" t="s">
        <v>639</v>
      </c>
      <c r="C66" s="606"/>
      <c r="D66" s="606"/>
      <c r="E66" s="606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</row>
    <row r="67" spans="1:41" s="116" customFormat="1" ht="18" customHeight="1">
      <c r="A67" s="34" t="s">
        <v>250</v>
      </c>
      <c r="B67" s="362" t="s">
        <v>274</v>
      </c>
      <c r="C67" s="50" t="e">
        <f>SUM(C68:C70)</f>
        <v>#REF!</v>
      </c>
      <c r="D67" s="50" t="e">
        <f>SUM(D68:D70)</f>
        <v>#REF!</v>
      </c>
      <c r="E67" s="50">
        <f>SUM(E68:E70)</f>
        <v>1532479</v>
      </c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</row>
    <row r="68" spans="1:41" s="365" customFormat="1" ht="13.5" customHeight="1">
      <c r="A68" s="30"/>
      <c r="B68" s="30" t="s">
        <v>432</v>
      </c>
      <c r="C68" s="18" t="e">
        <f>SUM('3.felh'!#REF!)</f>
        <v>#REF!</v>
      </c>
      <c r="D68" s="18" t="e">
        <f>SUM('3.felh'!#REF!)</f>
        <v>#REF!</v>
      </c>
      <c r="E68" s="18">
        <f>SUM('3.felh'!C46)</f>
        <v>117800</v>
      </c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</row>
    <row r="69" spans="1:41" s="365" customFormat="1" ht="13.5" customHeight="1">
      <c r="A69" s="30"/>
      <c r="B69" s="30" t="s">
        <v>433</v>
      </c>
      <c r="C69" s="18" t="e">
        <f>SUM('3.felh'!#REF!)</f>
        <v>#REF!</v>
      </c>
      <c r="D69" s="18" t="e">
        <f>SUM('3.felh'!#REF!)</f>
        <v>#REF!</v>
      </c>
      <c r="E69" s="18">
        <f>SUM('3.felh'!C58)</f>
        <v>755479</v>
      </c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</row>
    <row r="70" spans="1:41" s="365" customFormat="1" ht="13.5" customHeight="1">
      <c r="A70" s="30"/>
      <c r="B70" s="30" t="s">
        <v>434</v>
      </c>
      <c r="C70" s="18" t="e">
        <f>SUM(C71:C72)</f>
        <v>#REF!</v>
      </c>
      <c r="D70" s="18" t="e">
        <f>SUM(D71:D72)</f>
        <v>#REF!</v>
      </c>
      <c r="E70" s="18">
        <f>SUM(E71:E72)</f>
        <v>659200</v>
      </c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</row>
    <row r="71" spans="1:41" s="365" customFormat="1" ht="13.5" customHeight="1" thickBot="1">
      <c r="A71" s="30"/>
      <c r="B71" s="30" t="s">
        <v>446</v>
      </c>
      <c r="C71" s="319" t="e">
        <f>SUM('3.felh'!#REF!)</f>
        <v>#REF!</v>
      </c>
      <c r="D71" s="319" t="e">
        <f>SUM('3.felh'!#REF!)</f>
        <v>#REF!</v>
      </c>
      <c r="E71" s="319">
        <f>SUM('3.felh'!C71)</f>
        <v>110000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</row>
    <row r="72" spans="1:41" s="365" customFormat="1" ht="13.5" customHeight="1" thickBot="1">
      <c r="A72" s="30"/>
      <c r="B72" s="30" t="s">
        <v>447</v>
      </c>
      <c r="C72" s="741" t="e">
        <f>SUM('3.felh'!#REF!)</f>
        <v>#REF!</v>
      </c>
      <c r="D72" s="741" t="e">
        <f>SUM('3.felh'!#REF!)</f>
        <v>#REF!</v>
      </c>
      <c r="E72" s="740">
        <f>SUM('3.felh'!C75)</f>
        <v>549200</v>
      </c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</row>
    <row r="73" spans="1:41" s="66" customFormat="1" ht="22.5" customHeight="1">
      <c r="A73" s="20" t="s">
        <v>251</v>
      </c>
      <c r="B73" s="322" t="s">
        <v>451</v>
      </c>
      <c r="C73" s="359">
        <f>SUM(C74+C77+C78)</f>
        <v>13582</v>
      </c>
      <c r="D73" s="359">
        <f>SUM(D74+D77+D78)</f>
        <v>13582</v>
      </c>
      <c r="E73" s="359">
        <f>SUM(E74+E77+E78)</f>
        <v>14104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66" customFormat="1" ht="15" customHeight="1">
      <c r="A74" s="20"/>
      <c r="B74" s="355" t="s">
        <v>486</v>
      </c>
      <c r="C74" s="302">
        <f>SUM(C75)</f>
        <v>13582</v>
      </c>
      <c r="D74" s="302">
        <f>SUM(D75)</f>
        <v>13582</v>
      </c>
      <c r="E74" s="302">
        <f>SUM(E75:E76)</f>
        <v>14104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66" customFormat="1" ht="12.75">
      <c r="A75" s="20" t="s">
        <v>494</v>
      </c>
      <c r="B75" s="10" t="s">
        <v>555</v>
      </c>
      <c r="C75" s="18">
        <f>SUM('2.működés'!C100)</f>
        <v>13582</v>
      </c>
      <c r="D75" s="18">
        <f>SUM('2.működés'!D100)</f>
        <v>13582</v>
      </c>
      <c r="E75" s="18">
        <f>SUM('2.működés'!E100)</f>
        <v>14104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66" customFormat="1" ht="15.75" hidden="1">
      <c r="A76" s="20"/>
      <c r="B76" s="531" t="s">
        <v>487</v>
      </c>
      <c r="C76" s="58"/>
      <c r="D76" s="58"/>
      <c r="E76" s="5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66" customFormat="1" ht="15" customHeight="1">
      <c r="A77" s="20"/>
      <c r="B77" s="355" t="s">
        <v>488</v>
      </c>
      <c r="C77" s="58"/>
      <c r="D77" s="58"/>
      <c r="E77" s="5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66" customFormat="1" ht="15" customHeight="1" thickBot="1">
      <c r="A78" s="33"/>
      <c r="B78" s="353" t="s">
        <v>489</v>
      </c>
      <c r="C78" s="320"/>
      <c r="D78" s="320"/>
      <c r="E78" s="32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21.75" customHeight="1" thickBot="1">
      <c r="A79" s="603"/>
      <c r="B79" s="423" t="s">
        <v>65</v>
      </c>
      <c r="C79" s="335" t="e">
        <f>SUM(C61+C73)</f>
        <v>#REF!</v>
      </c>
      <c r="D79" s="335" t="e">
        <f>SUM(D61+D73)</f>
        <v>#REF!</v>
      </c>
      <c r="E79" s="63">
        <f>SUM(E61+E73)</f>
        <v>2489680.270511811</v>
      </c>
      <c r="F79" s="9" t="e">
        <f>E79-D79</f>
        <v>#REF!</v>
      </c>
      <c r="G79" s="9">
        <f>E79-E60</f>
        <v>0.2705118111334741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3:41" ht="14.25" customHeight="1" hidden="1">
      <c r="C80" s="9" t="e">
        <f>SUM(C60-C79)</f>
        <v>#REF!</v>
      </c>
      <c r="D80" s="9"/>
      <c r="E80" s="9">
        <f>SUM(E60-E79)</f>
        <v>-0.2705118111334741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5.75" customHeight="1" hidden="1">
      <c r="B81" s="2" t="s">
        <v>752</v>
      </c>
      <c r="C81" s="9" t="e">
        <f>SUM(C65+C72)</f>
        <v>#REF!</v>
      </c>
      <c r="D81" s="9"/>
      <c r="E81" s="9">
        <f>SUM(E65+E72)</f>
        <v>593661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3:41" ht="15.75" customHeight="1">
      <c r="C82" s="9"/>
      <c r="D82" s="9"/>
      <c r="E82" s="9">
        <f>SUM(E60-E79)</f>
        <v>-0.2705118111334741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3:4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3:41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3:41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ht="15.75" customHeight="1">
      <c r="B165" s="2"/>
      <c r="C165" s="43"/>
      <c r="D165" s="43"/>
      <c r="E165" s="4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ht="15.75" customHeight="1">
      <c r="B166" s="2"/>
      <c r="C166" s="43"/>
      <c r="D166" s="43"/>
      <c r="E166" s="4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ht="15.75" customHeight="1">
      <c r="B167" s="2"/>
      <c r="C167" s="43"/>
      <c r="D167" s="43"/>
      <c r="E167" s="4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ht="15.75" customHeight="1">
      <c r="B168" s="2"/>
      <c r="C168" s="43"/>
      <c r="D168" s="43"/>
      <c r="E168" s="4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ht="15.75" customHeight="1">
      <c r="B169" s="2"/>
      <c r="C169" s="43"/>
      <c r="D169" s="43"/>
      <c r="E169" s="4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ht="15.75" customHeight="1">
      <c r="B170" s="2"/>
      <c r="C170" s="43"/>
      <c r="D170" s="43"/>
      <c r="E170" s="4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ht="15.75" customHeight="1">
      <c r="B171" s="2"/>
      <c r="C171" s="43"/>
      <c r="D171" s="43"/>
      <c r="E171" s="4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ht="15.75" customHeight="1">
      <c r="B172" s="2"/>
      <c r="C172" s="43"/>
      <c r="D172" s="43"/>
      <c r="E172" s="4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ht="15.75" customHeight="1">
      <c r="B173" s="2"/>
      <c r="C173" s="43"/>
      <c r="D173" s="43"/>
      <c r="E173" s="4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ht="15.75" customHeight="1">
      <c r="B174" s="2"/>
      <c r="C174" s="43"/>
      <c r="D174" s="43"/>
      <c r="E174" s="4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ht="15.75" customHeight="1">
      <c r="B175" s="2"/>
      <c r="C175" s="43"/>
      <c r="D175" s="43"/>
      <c r="E175" s="4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ht="15.75" customHeight="1">
      <c r="B176" s="2"/>
      <c r="C176" s="43"/>
      <c r="D176" s="43"/>
      <c r="E176" s="4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ht="15.75" customHeight="1">
      <c r="B177" s="2"/>
      <c r="C177" s="43"/>
      <c r="D177" s="43"/>
      <c r="E177" s="4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ht="15.75" customHeight="1">
      <c r="B178" s="2"/>
      <c r="C178" s="43"/>
      <c r="D178" s="43"/>
      <c r="E178" s="4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ht="15.75" customHeight="1">
      <c r="B179" s="2"/>
      <c r="C179" s="43"/>
      <c r="D179" s="43"/>
      <c r="E179" s="4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ht="15.75" customHeight="1">
      <c r="B180" s="2"/>
      <c r="C180" s="43"/>
      <c r="D180" s="43"/>
      <c r="E180" s="4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ht="15.75" customHeight="1">
      <c r="B181" s="2"/>
      <c r="C181" s="43"/>
      <c r="D181" s="43"/>
      <c r="E181" s="4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ht="15.75" customHeight="1">
      <c r="B182" s="2"/>
      <c r="C182" s="43"/>
      <c r="D182" s="43"/>
      <c r="E182" s="4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ht="15.75" customHeight="1">
      <c r="B183" s="2"/>
      <c r="C183" s="43"/>
      <c r="D183" s="43"/>
      <c r="E183" s="4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ht="15.75" customHeight="1">
      <c r="B184" s="2"/>
      <c r="C184" s="43"/>
      <c r="D184" s="43"/>
      <c r="E184" s="4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ht="15.75" customHeight="1">
      <c r="B185" s="2"/>
      <c r="C185" s="43"/>
      <c r="D185" s="43"/>
      <c r="E185" s="4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ht="15.75" customHeight="1">
      <c r="B186" s="2"/>
      <c r="C186" s="43"/>
      <c r="D186" s="43"/>
      <c r="E186" s="4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ht="15.75" customHeight="1">
      <c r="B187" s="2"/>
      <c r="C187" s="43"/>
      <c r="D187" s="43"/>
      <c r="E187" s="4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ht="15.75" customHeight="1">
      <c r="B188" s="2"/>
      <c r="C188" s="43"/>
      <c r="D188" s="43"/>
      <c r="E188" s="4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ht="15.75" customHeight="1">
      <c r="B189" s="2"/>
      <c r="C189" s="43"/>
      <c r="D189" s="43"/>
      <c r="E189" s="4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ht="15.75" customHeight="1">
      <c r="B190" s="2"/>
      <c r="C190" s="43"/>
      <c r="D190" s="43"/>
      <c r="E190" s="4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ht="15.75" customHeight="1">
      <c r="B191" s="2"/>
      <c r="C191" s="43"/>
      <c r="D191" s="43"/>
      <c r="E191" s="4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ht="15.75" customHeight="1">
      <c r="B192" s="2"/>
      <c r="C192" s="43"/>
      <c r="D192" s="43"/>
      <c r="E192" s="4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ht="15.75" customHeight="1">
      <c r="B193" s="2"/>
      <c r="C193" s="43"/>
      <c r="D193" s="43"/>
      <c r="E193" s="4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ht="15.75" customHeight="1">
      <c r="B194" s="2"/>
      <c r="C194" s="43"/>
      <c r="D194" s="43"/>
      <c r="E194" s="4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ht="15.75" customHeight="1">
      <c r="B195" s="2"/>
      <c r="C195" s="43"/>
      <c r="D195" s="43"/>
      <c r="E195" s="4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ht="15.75" customHeight="1">
      <c r="B196" s="2"/>
      <c r="C196" s="43"/>
      <c r="D196" s="43"/>
      <c r="E196" s="4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ht="15.75" customHeight="1">
      <c r="B197" s="2"/>
      <c r="C197" s="43"/>
      <c r="D197" s="43"/>
      <c r="E197" s="4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ht="15.75" customHeight="1">
      <c r="B198" s="2"/>
      <c r="C198" s="43"/>
      <c r="D198" s="43"/>
      <c r="E198" s="4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ht="15.75" customHeight="1">
      <c r="B199" s="2"/>
      <c r="C199" s="43"/>
      <c r="D199" s="43"/>
      <c r="E199" s="4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ht="15.75" customHeight="1">
      <c r="B200" s="2"/>
      <c r="C200" s="43"/>
      <c r="D200" s="43"/>
      <c r="E200" s="4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ht="15.75" customHeight="1">
      <c r="B201" s="2"/>
      <c r="C201" s="43"/>
      <c r="D201" s="43"/>
      <c r="E201" s="4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ht="15.75" customHeight="1">
      <c r="B202" s="2"/>
      <c r="C202" s="43"/>
      <c r="D202" s="43"/>
      <c r="E202" s="4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ht="15.75" customHeight="1">
      <c r="B203" s="2"/>
      <c r="C203" s="43"/>
      <c r="D203" s="43"/>
      <c r="E203" s="4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ht="15.75" customHeight="1">
      <c r="B204" s="2"/>
      <c r="C204" s="43"/>
      <c r="D204" s="43"/>
      <c r="E204" s="4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ht="15.75" customHeight="1">
      <c r="B205" s="2"/>
      <c r="C205" s="43"/>
      <c r="D205" s="43"/>
      <c r="E205" s="4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ht="15.75" customHeight="1">
      <c r="B206" s="2"/>
      <c r="C206" s="43"/>
      <c r="D206" s="43"/>
      <c r="E206" s="4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ht="15.75" customHeight="1">
      <c r="B207" s="2"/>
      <c r="C207" s="43"/>
      <c r="D207" s="43"/>
      <c r="E207" s="4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ht="15.75" customHeight="1">
      <c r="B208" s="2"/>
      <c r="C208" s="43"/>
      <c r="D208" s="43"/>
      <c r="E208" s="4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ht="15.75" customHeight="1">
      <c r="B209" s="2"/>
      <c r="C209" s="43"/>
      <c r="D209" s="43"/>
      <c r="E209" s="4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ht="15.75" customHeight="1">
      <c r="B210" s="2"/>
      <c r="C210" s="43"/>
      <c r="D210" s="43"/>
      <c r="E210" s="4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ht="15.75" customHeight="1">
      <c r="B211" s="2"/>
      <c r="C211" s="43"/>
      <c r="D211" s="43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ht="15.75" customHeight="1">
      <c r="B212" s="2"/>
      <c r="C212" s="43"/>
      <c r="D212" s="43"/>
      <c r="E212" s="4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ht="15.75" customHeight="1">
      <c r="B213" s="2"/>
      <c r="C213" s="43"/>
      <c r="D213" s="43"/>
      <c r="E213" s="4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ht="15.75" customHeight="1">
      <c r="B214" s="2"/>
      <c r="C214" s="43"/>
      <c r="D214" s="43"/>
      <c r="E214" s="4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ht="15.75" customHeight="1">
      <c r="B215" s="2"/>
      <c r="C215" s="43"/>
      <c r="D215" s="43"/>
      <c r="E215" s="4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ht="15.75" customHeight="1">
      <c r="B216" s="2"/>
      <c r="C216" s="43"/>
      <c r="D216" s="43"/>
      <c r="E216" s="4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ht="15.75" customHeight="1">
      <c r="B217" s="2"/>
      <c r="C217" s="43"/>
      <c r="D217" s="43"/>
      <c r="E217" s="4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ht="15.75" customHeight="1">
      <c r="B218" s="2"/>
      <c r="C218" s="43"/>
      <c r="D218" s="43"/>
      <c r="E218" s="4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ht="15.75" customHeight="1">
      <c r="B219" s="2"/>
      <c r="C219" s="43"/>
      <c r="D219" s="43"/>
      <c r="E219" s="4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ht="15.75" customHeight="1">
      <c r="B220" s="2"/>
      <c r="C220" s="43"/>
      <c r="D220" s="43"/>
      <c r="E220" s="4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ht="15.75" customHeight="1">
      <c r="B221" s="2"/>
      <c r="C221" s="43"/>
      <c r="D221" s="43"/>
      <c r="E221" s="4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ht="15.75" customHeight="1">
      <c r="B222" s="2"/>
      <c r="C222" s="43"/>
      <c r="D222" s="43"/>
      <c r="E222" s="4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ht="15.75" customHeight="1">
      <c r="B223" s="2"/>
      <c r="C223" s="43"/>
      <c r="D223" s="43"/>
      <c r="E223" s="4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ht="15.75" customHeight="1">
      <c r="B224" s="2"/>
      <c r="C224" s="43"/>
      <c r="D224" s="43"/>
      <c r="E224" s="4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ht="15.75" customHeight="1">
      <c r="B225" s="2"/>
      <c r="C225" s="43"/>
      <c r="D225" s="43"/>
      <c r="E225" s="4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ht="15.75" customHeight="1">
      <c r="B226" s="2"/>
      <c r="C226" s="43"/>
      <c r="D226" s="43"/>
      <c r="E226" s="4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ht="15.75" customHeight="1">
      <c r="B227" s="2"/>
      <c r="C227" s="43"/>
      <c r="D227" s="43"/>
      <c r="E227" s="4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ht="15.75" customHeight="1">
      <c r="B228" s="2"/>
      <c r="C228" s="43"/>
      <c r="D228" s="43"/>
      <c r="E228" s="4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ht="15.75" customHeight="1">
      <c r="B229" s="2"/>
      <c r="C229" s="43"/>
      <c r="D229" s="43"/>
      <c r="E229" s="4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ht="15.75" customHeight="1">
      <c r="B230" s="2"/>
      <c r="C230" s="43"/>
      <c r="D230" s="43"/>
      <c r="E230" s="4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ht="15.75" customHeight="1">
      <c r="B231" s="2"/>
      <c r="C231" s="43"/>
      <c r="D231" s="43"/>
      <c r="E231" s="4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ht="15.75" customHeight="1">
      <c r="B232" s="2"/>
      <c r="C232" s="43"/>
      <c r="D232" s="43"/>
      <c r="E232" s="4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ht="15.75" customHeight="1">
      <c r="B233" s="2"/>
      <c r="C233" s="43"/>
      <c r="D233" s="43"/>
      <c r="E233" s="4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ht="15.75" customHeight="1">
      <c r="B234" s="2"/>
      <c r="C234" s="43"/>
      <c r="D234" s="43"/>
      <c r="E234" s="4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ht="15.75" customHeight="1">
      <c r="B235" s="2"/>
      <c r="C235" s="43"/>
      <c r="D235" s="43"/>
      <c r="E235" s="4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ht="15.75" customHeight="1">
      <c r="B236" s="2"/>
      <c r="C236" s="43"/>
      <c r="D236" s="43"/>
      <c r="E236" s="4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ht="15.75" customHeight="1">
      <c r="B237" s="2"/>
      <c r="C237" s="43"/>
      <c r="D237" s="43"/>
      <c r="E237" s="4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ht="15.75" customHeight="1">
      <c r="B238" s="2"/>
      <c r="C238" s="43"/>
      <c r="D238" s="43"/>
      <c r="E238" s="4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ht="15.75" customHeight="1">
      <c r="B239" s="2"/>
      <c r="C239" s="43"/>
      <c r="D239" s="43"/>
      <c r="E239" s="4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ht="15.75" customHeight="1">
      <c r="B240" s="2"/>
      <c r="C240" s="43"/>
      <c r="D240" s="43"/>
      <c r="E240" s="4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ht="15.75" customHeight="1">
      <c r="B241" s="2"/>
      <c r="C241" s="43"/>
      <c r="D241" s="43"/>
      <c r="E241" s="4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ht="15.75" customHeight="1">
      <c r="B242" s="2"/>
      <c r="C242" s="43"/>
      <c r="D242" s="43"/>
      <c r="E242" s="4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ht="15.75" customHeight="1">
      <c r="B243" s="2"/>
      <c r="C243" s="43"/>
      <c r="D243" s="43"/>
      <c r="E243" s="4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ht="15.75" customHeight="1">
      <c r="B244" s="2"/>
      <c r="C244" s="43"/>
      <c r="D244" s="43"/>
      <c r="E244" s="4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ht="15.75" customHeight="1">
      <c r="B245" s="2"/>
      <c r="C245" s="43"/>
      <c r="D245" s="43"/>
      <c r="E245" s="4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ht="15.75" customHeight="1">
      <c r="B246" s="2"/>
      <c r="C246" s="43"/>
      <c r="D246" s="43"/>
      <c r="E246" s="4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ht="15.75" customHeight="1">
      <c r="B247" s="2"/>
      <c r="C247" s="43"/>
      <c r="D247" s="43"/>
      <c r="E247" s="4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ht="15.75" customHeight="1">
      <c r="B248" s="2"/>
      <c r="C248" s="43"/>
      <c r="D248" s="43"/>
      <c r="E248" s="4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ht="15.75" customHeight="1">
      <c r="B249" s="2"/>
      <c r="C249" s="43"/>
      <c r="D249" s="43"/>
      <c r="E249" s="4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ht="15.75" customHeight="1">
      <c r="B250" s="2"/>
      <c r="C250" s="43"/>
      <c r="D250" s="43"/>
      <c r="E250" s="4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ht="15.75" customHeight="1">
      <c r="B251" s="2"/>
      <c r="C251" s="43"/>
      <c r="D251" s="43"/>
      <c r="E251" s="4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ht="15.75" customHeight="1">
      <c r="B252" s="2"/>
      <c r="C252" s="43"/>
      <c r="D252" s="43"/>
      <c r="E252" s="4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ht="15.75" customHeight="1">
      <c r="B253" s="2"/>
      <c r="C253" s="43"/>
      <c r="D253" s="43"/>
      <c r="E253" s="4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ht="15.75" customHeight="1">
      <c r="B254" s="2"/>
      <c r="C254" s="43"/>
      <c r="D254" s="43"/>
      <c r="E254" s="4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ht="15.75" customHeight="1">
      <c r="B255" s="2"/>
      <c r="C255" s="43"/>
      <c r="D255" s="43"/>
      <c r="E255" s="4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ht="15.75" customHeight="1">
      <c r="B256" s="2"/>
      <c r="C256" s="43"/>
      <c r="D256" s="43"/>
      <c r="E256" s="4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ht="15.75" customHeight="1">
      <c r="B257" s="2"/>
      <c r="C257" s="43"/>
      <c r="D257" s="43"/>
      <c r="E257" s="4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ht="15.75" customHeight="1">
      <c r="B258" s="2"/>
      <c r="C258" s="43"/>
      <c r="D258" s="43"/>
      <c r="E258" s="4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ht="15.75" customHeight="1">
      <c r="B259" s="2"/>
      <c r="C259" s="43"/>
      <c r="D259" s="43"/>
      <c r="E259" s="4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ht="15.75" customHeight="1">
      <c r="B260" s="2"/>
      <c r="C260" s="43"/>
      <c r="D260" s="43"/>
      <c r="E260" s="4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ht="15.75" customHeight="1">
      <c r="B261" s="2"/>
      <c r="C261" s="43"/>
      <c r="D261" s="43"/>
      <c r="E261" s="4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ht="15.75" customHeight="1">
      <c r="B262" s="2"/>
      <c r="C262" s="43"/>
      <c r="D262" s="43"/>
      <c r="E262" s="4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ht="15.75" customHeight="1">
      <c r="B263" s="2"/>
      <c r="C263" s="43"/>
      <c r="D263" s="43"/>
      <c r="E263" s="4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ht="15.75" customHeight="1">
      <c r="B264" s="2"/>
      <c r="C264" s="43"/>
      <c r="D264" s="43"/>
      <c r="E264" s="4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ht="15.75" customHeight="1">
      <c r="B265" s="2"/>
      <c r="C265" s="43"/>
      <c r="D265" s="43"/>
      <c r="E265" s="4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ht="15.75" customHeight="1">
      <c r="B266" s="2"/>
      <c r="C266" s="43"/>
      <c r="D266" s="43"/>
      <c r="E266" s="4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ht="15.75" customHeight="1">
      <c r="B267" s="2"/>
      <c r="C267" s="43"/>
      <c r="D267" s="43"/>
      <c r="E267" s="4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ht="15.75" customHeight="1">
      <c r="B268" s="2"/>
      <c r="C268" s="43"/>
      <c r="D268" s="43"/>
      <c r="E268" s="4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ht="15.75" customHeight="1">
      <c r="B269" s="2"/>
      <c r="C269" s="43"/>
      <c r="D269" s="43"/>
      <c r="E269" s="4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ht="15.75" customHeight="1">
      <c r="B270" s="2"/>
      <c r="C270" s="43"/>
      <c r="D270" s="43"/>
      <c r="E270" s="4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ht="15.75" customHeight="1">
      <c r="B271" s="2"/>
      <c r="C271" s="43"/>
      <c r="D271" s="43"/>
      <c r="E271" s="4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ht="15.75" customHeight="1">
      <c r="B272" s="2"/>
      <c r="C272" s="43"/>
      <c r="D272" s="43"/>
      <c r="E272" s="4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ht="15.75" customHeight="1">
      <c r="B273" s="2"/>
      <c r="C273" s="43"/>
      <c r="D273" s="43"/>
      <c r="E273" s="4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ht="15.75" customHeight="1">
      <c r="B274" s="2"/>
      <c r="C274" s="43"/>
      <c r="D274" s="43"/>
      <c r="E274" s="4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ht="15.75" customHeight="1">
      <c r="B275" s="2"/>
      <c r="C275" s="43"/>
      <c r="D275" s="43"/>
      <c r="E275" s="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ht="15.75" customHeight="1">
      <c r="B276" s="2"/>
      <c r="C276" s="43"/>
      <c r="D276" s="43"/>
      <c r="E276" s="4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ht="15.75" customHeight="1">
      <c r="B277" s="2"/>
      <c r="C277" s="43"/>
      <c r="D277" s="43"/>
      <c r="E277" s="4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ht="15.75" customHeight="1">
      <c r="B278" s="2"/>
      <c r="C278" s="43"/>
      <c r="D278" s="43"/>
      <c r="E278" s="4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ht="15.75" customHeight="1">
      <c r="B279" s="2"/>
      <c r="C279" s="43"/>
      <c r="D279" s="43"/>
      <c r="E279" s="4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 ht="15.75" customHeight="1">
      <c r="B280" s="2"/>
      <c r="C280" s="43"/>
      <c r="D280" s="43"/>
      <c r="E280" s="4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2:41" ht="15.75" customHeight="1">
      <c r="B281" s="2"/>
      <c r="C281" s="43"/>
      <c r="D281" s="43"/>
      <c r="E281" s="4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2:41" ht="15.75" customHeight="1">
      <c r="B282" s="2"/>
      <c r="C282" s="43"/>
      <c r="D282" s="43"/>
      <c r="E282" s="4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2:41" ht="15.75" customHeight="1">
      <c r="B283" s="2"/>
      <c r="C283" s="43"/>
      <c r="D283" s="43"/>
      <c r="E283" s="4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2:41" ht="15.75" customHeight="1">
      <c r="B284" s="2"/>
      <c r="C284" s="43"/>
      <c r="D284" s="43"/>
      <c r="E284" s="4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2:41" ht="15.75" customHeight="1">
      <c r="B285" s="2"/>
      <c r="C285" s="43"/>
      <c r="D285" s="43"/>
      <c r="E285" s="4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2:41" ht="15.75" customHeight="1">
      <c r="B286" s="2"/>
      <c r="C286" s="43"/>
      <c r="D286" s="43"/>
      <c r="E286" s="4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2:41" ht="15.75" customHeight="1">
      <c r="B287" s="2"/>
      <c r="C287" s="43"/>
      <c r="D287" s="43"/>
      <c r="E287" s="4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2:41" ht="15.75" customHeight="1">
      <c r="B288" s="2"/>
      <c r="C288" s="43"/>
      <c r="D288" s="43"/>
      <c r="E288" s="4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2:41" ht="15.75" customHeight="1">
      <c r="B289" s="2"/>
      <c r="C289" s="43"/>
      <c r="D289" s="43"/>
      <c r="E289" s="4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2:41" ht="15.75" customHeight="1">
      <c r="B290" s="2"/>
      <c r="C290" s="43"/>
      <c r="D290" s="43"/>
      <c r="E290" s="4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2:41" ht="15.75" customHeight="1">
      <c r="B291" s="2"/>
      <c r="C291" s="43"/>
      <c r="D291" s="43"/>
      <c r="E291" s="4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2:41" ht="15.75" customHeight="1">
      <c r="B292" s="2"/>
      <c r="C292" s="43"/>
      <c r="D292" s="43"/>
      <c r="E292" s="4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2:41" ht="15.75" customHeight="1">
      <c r="B293" s="2"/>
      <c r="C293" s="43"/>
      <c r="D293" s="43"/>
      <c r="E293" s="4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2:41" ht="15.75" customHeight="1">
      <c r="B294" s="2"/>
      <c r="C294" s="43"/>
      <c r="D294" s="43"/>
      <c r="E294" s="4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2:41" ht="15.75" customHeight="1">
      <c r="B295" s="2"/>
      <c r="C295" s="43"/>
      <c r="D295" s="43"/>
      <c r="E295" s="4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2:41" ht="15.75" customHeight="1">
      <c r="B296" s="2"/>
      <c r="C296" s="43"/>
      <c r="D296" s="43"/>
      <c r="E296" s="4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2:41" ht="15.75" customHeight="1">
      <c r="B297" s="2"/>
      <c r="C297" s="43"/>
      <c r="D297" s="43"/>
      <c r="E297" s="4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2:41" ht="15.75" customHeight="1">
      <c r="B298" s="2"/>
      <c r="C298" s="43"/>
      <c r="D298" s="43"/>
      <c r="E298" s="4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2:41" ht="15.75" customHeight="1">
      <c r="B299" s="2"/>
      <c r="C299" s="43"/>
      <c r="D299" s="43"/>
      <c r="E299" s="4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2:41" ht="15.75" customHeight="1">
      <c r="B300" s="2"/>
      <c r="C300" s="43"/>
      <c r="D300" s="43"/>
      <c r="E300" s="4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2:41" ht="15.75" customHeight="1">
      <c r="B301" s="2"/>
      <c r="C301" s="43"/>
      <c r="D301" s="43"/>
      <c r="E301" s="4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2:41" ht="15.75" customHeight="1">
      <c r="B302" s="2"/>
      <c r="C302" s="43"/>
      <c r="D302" s="43"/>
      <c r="E302" s="4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2:41" ht="15.75" customHeight="1">
      <c r="B303" s="2"/>
      <c r="C303" s="43"/>
      <c r="D303" s="43"/>
      <c r="E303" s="4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2:41" ht="15.75" customHeight="1">
      <c r="B304" s="2"/>
      <c r="C304" s="43"/>
      <c r="D304" s="43"/>
      <c r="E304" s="4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2:41" ht="15.75" customHeight="1">
      <c r="B305" s="2"/>
      <c r="C305" s="43"/>
      <c r="D305" s="43"/>
      <c r="E305" s="4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2:41" ht="15.75" customHeight="1">
      <c r="B306" s="2"/>
      <c r="C306" s="43"/>
      <c r="D306" s="43"/>
      <c r="E306" s="4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2:41" ht="15.75" customHeight="1">
      <c r="B307" s="2"/>
      <c r="C307" s="43"/>
      <c r="D307" s="43"/>
      <c r="E307" s="4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2:41" ht="15.75" customHeight="1">
      <c r="B308" s="2"/>
      <c r="C308" s="43"/>
      <c r="D308" s="43"/>
      <c r="E308" s="4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2:41" ht="15.75" customHeight="1">
      <c r="B309" s="2"/>
      <c r="C309" s="43"/>
      <c r="D309" s="43"/>
      <c r="E309" s="4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2:41" ht="15.75" customHeight="1">
      <c r="B310" s="2"/>
      <c r="C310" s="43"/>
      <c r="D310" s="43"/>
      <c r="E310" s="4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2:41" ht="15.75" customHeight="1">
      <c r="B311" s="2"/>
      <c r="C311" s="43"/>
      <c r="D311" s="43"/>
      <c r="E311" s="4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2:41" ht="15.75" customHeight="1">
      <c r="B312" s="2"/>
      <c r="C312" s="43"/>
      <c r="D312" s="43"/>
      <c r="E312" s="4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2:41" ht="15.75" customHeight="1">
      <c r="B313" s="2"/>
      <c r="C313" s="43"/>
      <c r="D313" s="43"/>
      <c r="E313" s="4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2:41" ht="15.75" customHeight="1">
      <c r="B314" s="2"/>
      <c r="C314" s="43"/>
      <c r="D314" s="43"/>
      <c r="E314" s="4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2:41" ht="15.75" customHeight="1">
      <c r="B315" s="2"/>
      <c r="C315" s="43"/>
      <c r="D315" s="43"/>
      <c r="E315" s="4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2:41" ht="15.75" customHeight="1">
      <c r="B316" s="2"/>
      <c r="C316" s="43"/>
      <c r="D316" s="43"/>
      <c r="E316" s="4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2:41" ht="15.75" customHeight="1">
      <c r="B317" s="2"/>
      <c r="C317" s="43"/>
      <c r="D317" s="43"/>
      <c r="E317" s="4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2:41" ht="15.75" customHeight="1">
      <c r="B318" s="2"/>
      <c r="C318" s="43"/>
      <c r="D318" s="43"/>
      <c r="E318" s="4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2:41" ht="15.75" customHeight="1">
      <c r="B319" s="2"/>
      <c r="C319" s="43"/>
      <c r="D319" s="43"/>
      <c r="E319" s="4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2:41" ht="15.75" customHeight="1">
      <c r="B320" s="2"/>
      <c r="C320" s="43"/>
      <c r="D320" s="43"/>
      <c r="E320" s="4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2:41" ht="15.75" customHeight="1">
      <c r="B321" s="2"/>
      <c r="C321" s="43"/>
      <c r="D321" s="43"/>
      <c r="E321" s="4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2:41" ht="15.75" customHeight="1">
      <c r="B322" s="2"/>
      <c r="C322" s="43"/>
      <c r="D322" s="43"/>
      <c r="E322" s="4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2:41" ht="15.75" customHeight="1">
      <c r="B323" s="2"/>
      <c r="C323" s="43"/>
      <c r="D323" s="43"/>
      <c r="E323" s="4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2:41" ht="15.75" customHeight="1">
      <c r="B324" s="2"/>
      <c r="C324" s="43"/>
      <c r="D324" s="43"/>
      <c r="E324" s="4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2:41" ht="15.75" customHeight="1">
      <c r="B325" s="2"/>
      <c r="C325" s="43"/>
      <c r="D325" s="43"/>
      <c r="E325" s="4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2:41" ht="15.75" customHeight="1">
      <c r="B326" s="2"/>
      <c r="C326" s="43"/>
      <c r="D326" s="43"/>
      <c r="E326" s="4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2:41" ht="15.75" customHeight="1">
      <c r="B327" s="2"/>
      <c r="C327" s="43"/>
      <c r="D327" s="43"/>
      <c r="E327" s="4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2:41" ht="15.75" customHeight="1">
      <c r="B328" s="2"/>
      <c r="C328" s="43"/>
      <c r="D328" s="43"/>
      <c r="E328" s="4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2:41" ht="15.75" customHeight="1">
      <c r="B329" s="2"/>
      <c r="C329" s="43"/>
      <c r="D329" s="43"/>
      <c r="E329" s="4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2:41" ht="15.75" customHeight="1">
      <c r="B330" s="2"/>
      <c r="C330" s="43"/>
      <c r="D330" s="43"/>
      <c r="E330" s="4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2:41" ht="15.75" customHeight="1">
      <c r="B331" s="2"/>
      <c r="C331" s="43"/>
      <c r="D331" s="43"/>
      <c r="E331" s="4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2:41" ht="15.75" customHeight="1">
      <c r="B332" s="2"/>
      <c r="C332" s="43"/>
      <c r="D332" s="43"/>
      <c r="E332" s="4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2:41" ht="15.75" customHeight="1">
      <c r="B333" s="2"/>
      <c r="C333" s="43"/>
      <c r="D333" s="43"/>
      <c r="E333" s="4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2:41" ht="15.75" customHeight="1">
      <c r="B334" s="2"/>
      <c r="C334" s="43"/>
      <c r="D334" s="43"/>
      <c r="E334" s="4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2:41" ht="15.75" customHeight="1">
      <c r="B335" s="2"/>
      <c r="C335" s="43"/>
      <c r="D335" s="43"/>
      <c r="E335" s="4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2:41" ht="15.75" customHeight="1">
      <c r="B336" s="2"/>
      <c r="C336" s="43"/>
      <c r="D336" s="43"/>
      <c r="E336" s="4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2:41" ht="15.75" customHeight="1">
      <c r="B337" s="2"/>
      <c r="C337" s="43"/>
      <c r="D337" s="43"/>
      <c r="E337" s="4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2:41" ht="15.75" customHeight="1">
      <c r="B338" s="2"/>
      <c r="C338" s="43"/>
      <c r="D338" s="43"/>
      <c r="E338" s="4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2:41" ht="15.75" customHeight="1">
      <c r="B339" s="2"/>
      <c r="C339" s="43"/>
      <c r="D339" s="43"/>
      <c r="E339" s="4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2:41" ht="15.75" customHeight="1">
      <c r="B340" s="2"/>
      <c r="C340" s="43"/>
      <c r="D340" s="43"/>
      <c r="E340" s="4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2:41" ht="15.75" customHeight="1">
      <c r="B341" s="2"/>
      <c r="C341" s="43"/>
      <c r="D341" s="43"/>
      <c r="E341" s="4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2:41" ht="15.75" customHeight="1">
      <c r="B342" s="2"/>
      <c r="C342" s="43"/>
      <c r="D342" s="43"/>
      <c r="E342" s="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2:41" ht="15.75" customHeight="1">
      <c r="B343" s="2"/>
      <c r="C343" s="43"/>
      <c r="D343" s="43"/>
      <c r="E343" s="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2:41" ht="15.75" customHeight="1">
      <c r="B344" s="2"/>
      <c r="C344" s="43"/>
      <c r="D344" s="43"/>
      <c r="E344" s="4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2:41" ht="15.75" customHeight="1">
      <c r="B345" s="2"/>
      <c r="C345" s="43"/>
      <c r="D345" s="43"/>
      <c r="E345" s="4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2:41" ht="15.75" customHeight="1">
      <c r="B346" s="2"/>
      <c r="C346" s="43"/>
      <c r="D346" s="43"/>
      <c r="E346" s="4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2:41" ht="15.75" customHeight="1">
      <c r="B347" s="2"/>
      <c r="C347" s="43"/>
      <c r="D347" s="43"/>
      <c r="E347" s="4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2:41" ht="15.75" customHeight="1">
      <c r="B348" s="2"/>
      <c r="C348" s="43"/>
      <c r="D348" s="43"/>
      <c r="E348" s="4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2:41" ht="15.75" customHeight="1">
      <c r="B349" s="2"/>
      <c r="C349" s="43"/>
      <c r="D349" s="43"/>
      <c r="E349" s="4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2:41" ht="15.75" customHeight="1">
      <c r="B350" s="2"/>
      <c r="C350" s="43"/>
      <c r="D350" s="43"/>
      <c r="E350" s="4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2:41" ht="15.75" customHeight="1">
      <c r="B351" s="2"/>
      <c r="C351" s="43"/>
      <c r="D351" s="43"/>
      <c r="E351" s="4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2:41" ht="15.75" customHeight="1">
      <c r="B352" s="2"/>
      <c r="C352" s="43"/>
      <c r="D352" s="43"/>
      <c r="E352" s="4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2:41" ht="15.75" customHeight="1">
      <c r="B353" s="2"/>
      <c r="C353" s="43"/>
      <c r="D353" s="43"/>
      <c r="E353" s="4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2:41" ht="15.75" customHeight="1">
      <c r="B354" s="2"/>
      <c r="C354" s="43"/>
      <c r="D354" s="43"/>
      <c r="E354" s="4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2:41" ht="15.75" customHeight="1">
      <c r="B355" s="2"/>
      <c r="C355" s="43"/>
      <c r="D355" s="43"/>
      <c r="E355" s="4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2:41" ht="15.75" customHeight="1">
      <c r="B356" s="2"/>
      <c r="C356" s="43"/>
      <c r="D356" s="43"/>
      <c r="E356" s="4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2:41" ht="15.75" customHeight="1">
      <c r="B357" s="2"/>
      <c r="C357" s="43"/>
      <c r="D357" s="43"/>
      <c r="E357" s="4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2:41" ht="15.75" customHeight="1">
      <c r="B358" s="2"/>
      <c r="C358" s="43"/>
      <c r="D358" s="43"/>
      <c r="E358" s="4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2:41" ht="15.75" customHeight="1">
      <c r="B359" s="2"/>
      <c r="C359" s="43"/>
      <c r="D359" s="43"/>
      <c r="E359" s="4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2:41" ht="15.75" customHeight="1">
      <c r="B360" s="2"/>
      <c r="C360" s="43"/>
      <c r="D360" s="43"/>
      <c r="E360" s="4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2:41" ht="15.75" customHeight="1">
      <c r="B361" s="2"/>
      <c r="C361" s="43"/>
      <c r="D361" s="43"/>
      <c r="E361" s="4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2:41" ht="15.75" customHeight="1">
      <c r="B362" s="2"/>
      <c r="C362" s="43"/>
      <c r="D362" s="43"/>
      <c r="E362" s="4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2:41" ht="15.75" customHeight="1">
      <c r="B363" s="2"/>
      <c r="C363" s="43"/>
      <c r="D363" s="43"/>
      <c r="E363" s="4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2:41" ht="15.75" customHeight="1">
      <c r="B364" s="2"/>
      <c r="C364" s="43"/>
      <c r="D364" s="43"/>
      <c r="E364" s="4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2:41" ht="15.75" customHeight="1">
      <c r="B365" s="2"/>
      <c r="C365" s="43"/>
      <c r="D365" s="43"/>
      <c r="E365" s="4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2:41" ht="15.75" customHeight="1">
      <c r="B366" s="2"/>
      <c r="C366" s="43"/>
      <c r="D366" s="43"/>
      <c r="E366" s="4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2:41" ht="15.75" customHeight="1">
      <c r="B367" s="2"/>
      <c r="C367" s="43"/>
      <c r="D367" s="43"/>
      <c r="E367" s="4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2:41" ht="15.75" customHeight="1">
      <c r="B368" s="2"/>
      <c r="C368" s="43"/>
      <c r="D368" s="43"/>
      <c r="E368" s="4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2:41" ht="15.75" customHeight="1">
      <c r="B369" s="2"/>
      <c r="C369" s="43"/>
      <c r="D369" s="43"/>
      <c r="E369" s="4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2:41" ht="15.75" customHeight="1">
      <c r="B370" s="2"/>
      <c r="C370" s="43"/>
      <c r="D370" s="43"/>
      <c r="E370" s="4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2:41" ht="15.75" customHeight="1">
      <c r="B371" s="2"/>
      <c r="C371" s="43"/>
      <c r="D371" s="43"/>
      <c r="E371" s="4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2:41" ht="15.75" customHeight="1">
      <c r="B372" s="2"/>
      <c r="C372" s="43"/>
      <c r="D372" s="43"/>
      <c r="E372" s="4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2:41" ht="15.75" customHeight="1">
      <c r="B373" s="2"/>
      <c r="C373" s="43"/>
      <c r="D373" s="43"/>
      <c r="E373" s="4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2:41" ht="15.75" customHeight="1">
      <c r="B374" s="2"/>
      <c r="C374" s="43"/>
      <c r="D374" s="43"/>
      <c r="E374" s="4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2:41" ht="15.75" customHeight="1">
      <c r="B375" s="2"/>
      <c r="C375" s="43"/>
      <c r="D375" s="43"/>
      <c r="E375" s="4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2:41" ht="15.75" customHeight="1">
      <c r="B376" s="2"/>
      <c r="C376" s="43"/>
      <c r="D376" s="43"/>
      <c r="E376" s="4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2:41" ht="15.75" customHeight="1">
      <c r="B377" s="2"/>
      <c r="C377" s="43"/>
      <c r="D377" s="43"/>
      <c r="E377" s="4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2:41" ht="15.75" customHeight="1">
      <c r="B378" s="2"/>
      <c r="C378" s="43"/>
      <c r="D378" s="43"/>
      <c r="E378" s="4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2:41" ht="15.75" customHeight="1">
      <c r="B379" s="2"/>
      <c r="C379" s="43"/>
      <c r="D379" s="43"/>
      <c r="E379" s="4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2:41" ht="15.75" customHeight="1">
      <c r="B380" s="2"/>
      <c r="C380" s="43"/>
      <c r="D380" s="43"/>
      <c r="E380" s="4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2:41" ht="15.75" customHeight="1">
      <c r="B381" s="2"/>
      <c r="C381" s="43"/>
      <c r="D381" s="43"/>
      <c r="E381" s="4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2:41" ht="15.75" customHeight="1">
      <c r="B382" s="2"/>
      <c r="C382" s="43"/>
      <c r="D382" s="43"/>
      <c r="E382" s="4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2:41" ht="15.75" customHeight="1">
      <c r="B383" s="2"/>
      <c r="C383" s="43"/>
      <c r="D383" s="43"/>
      <c r="E383" s="4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2:41" ht="15.75" customHeight="1">
      <c r="B384" s="2"/>
      <c r="C384" s="43"/>
      <c r="D384" s="43"/>
      <c r="E384" s="4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2:41" ht="15.75" customHeight="1">
      <c r="B385" s="2"/>
      <c r="C385" s="43"/>
      <c r="D385" s="43"/>
      <c r="E385" s="4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2:41" ht="15.75" customHeight="1">
      <c r="B386" s="2"/>
      <c r="C386" s="43"/>
      <c r="D386" s="43"/>
      <c r="E386" s="4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2:41" ht="15.75" customHeight="1">
      <c r="B387" s="2"/>
      <c r="C387" s="43"/>
      <c r="D387" s="43"/>
      <c r="E387" s="4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2:41" ht="15.75" customHeight="1">
      <c r="B388" s="2"/>
      <c r="C388" s="43"/>
      <c r="D388" s="43"/>
      <c r="E388" s="4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2:41" ht="15.75" customHeight="1">
      <c r="B389" s="2"/>
      <c r="C389" s="43"/>
      <c r="D389" s="43"/>
      <c r="E389" s="4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2:41" ht="15.75" customHeight="1">
      <c r="B390" s="2"/>
      <c r="C390" s="43"/>
      <c r="D390" s="43"/>
      <c r="E390" s="4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2:41" ht="15.75" customHeight="1">
      <c r="B391" s="2"/>
      <c r="C391" s="43"/>
      <c r="D391" s="43"/>
      <c r="E391" s="4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2:41" ht="15.75" customHeight="1">
      <c r="B392" s="2"/>
      <c r="C392" s="43"/>
      <c r="D392" s="43"/>
      <c r="E392" s="4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2:41" ht="15.75" customHeight="1">
      <c r="B393" s="2"/>
      <c r="C393" s="43"/>
      <c r="D393" s="43"/>
      <c r="E393" s="4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2:41" ht="15.75" customHeight="1">
      <c r="B394" s="2"/>
      <c r="C394" s="43"/>
      <c r="D394" s="43"/>
      <c r="E394" s="4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2:41" ht="15.75" customHeight="1">
      <c r="B395" s="2"/>
      <c r="C395" s="43"/>
      <c r="D395" s="43"/>
      <c r="E395" s="4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2:41" ht="15.75" customHeight="1">
      <c r="B396" s="2"/>
      <c r="C396" s="43"/>
      <c r="D396" s="43"/>
      <c r="E396" s="4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2:41" ht="15.75" customHeight="1">
      <c r="B397" s="2"/>
      <c r="C397" s="43"/>
      <c r="D397" s="43"/>
      <c r="E397" s="4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2:41" ht="15.75" customHeight="1">
      <c r="B398" s="2"/>
      <c r="C398" s="43"/>
      <c r="D398" s="43"/>
      <c r="E398" s="4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2:41" ht="15.75" customHeight="1">
      <c r="B399" s="2"/>
      <c r="C399" s="43"/>
      <c r="D399" s="43"/>
      <c r="E399" s="4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2:41" ht="15.75" customHeight="1">
      <c r="B400" s="2"/>
      <c r="C400" s="43"/>
      <c r="D400" s="43"/>
      <c r="E400" s="4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2:41" ht="15.75" customHeight="1">
      <c r="B401" s="2"/>
      <c r="C401" s="43"/>
      <c r="D401" s="43"/>
      <c r="E401" s="4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2:41" ht="15.75" customHeight="1">
      <c r="B402" s="2"/>
      <c r="C402" s="43"/>
      <c r="D402" s="43"/>
      <c r="E402" s="4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2:41" ht="15.75" customHeight="1">
      <c r="B403" s="2"/>
      <c r="C403" s="43"/>
      <c r="D403" s="43"/>
      <c r="E403" s="4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2:41" ht="15.75" customHeight="1">
      <c r="B404" s="2"/>
      <c r="C404" s="43"/>
      <c r="D404" s="43"/>
      <c r="E404" s="4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2:41" ht="15.75" customHeight="1">
      <c r="B405" s="2"/>
      <c r="C405" s="43"/>
      <c r="D405" s="43"/>
      <c r="E405" s="4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2:41" ht="15.75" customHeight="1">
      <c r="B406" s="2"/>
      <c r="C406" s="43"/>
      <c r="D406" s="43"/>
      <c r="E406" s="4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2:41" ht="15.75" customHeight="1">
      <c r="B407" s="2"/>
      <c r="C407" s="43"/>
      <c r="D407" s="43"/>
      <c r="E407" s="4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2:41" ht="15.75" customHeight="1">
      <c r="B408" s="2"/>
      <c r="C408" s="43"/>
      <c r="D408" s="43"/>
      <c r="E408" s="4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2:41" ht="15.75" customHeight="1">
      <c r="B409" s="2"/>
      <c r="C409" s="43"/>
      <c r="D409" s="43"/>
      <c r="E409" s="4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2:41" ht="15.75" customHeight="1">
      <c r="B410" s="2"/>
      <c r="C410" s="43"/>
      <c r="D410" s="43"/>
      <c r="E410" s="4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2:41" ht="15.75" customHeight="1">
      <c r="B411" s="2"/>
      <c r="C411" s="43"/>
      <c r="D411" s="43"/>
      <c r="E411" s="4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2:41" ht="15.75" customHeight="1">
      <c r="B412" s="2"/>
      <c r="C412" s="43"/>
      <c r="D412" s="43"/>
      <c r="E412" s="4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2:41" ht="15.75" customHeight="1">
      <c r="B413" s="2"/>
      <c r="C413" s="43"/>
      <c r="D413" s="43"/>
      <c r="E413" s="4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2:41" ht="15.75" customHeight="1">
      <c r="B414" s="2"/>
      <c r="C414" s="43"/>
      <c r="D414" s="43"/>
      <c r="E414" s="4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2:41" ht="15.75" customHeight="1">
      <c r="B415" s="2"/>
      <c r="C415" s="43"/>
      <c r="D415" s="43"/>
      <c r="E415" s="4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2:41" ht="15.75" customHeight="1">
      <c r="B416" s="2"/>
      <c r="C416" s="43"/>
      <c r="D416" s="43"/>
      <c r="E416" s="4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2:41" ht="15.75" customHeight="1">
      <c r="B417" s="2"/>
      <c r="C417" s="43"/>
      <c r="D417" s="43"/>
      <c r="E417" s="4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2:41" ht="15.75" customHeight="1">
      <c r="B418" s="2"/>
      <c r="C418" s="43"/>
      <c r="D418" s="43"/>
      <c r="E418" s="4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2:41" ht="15.75" customHeight="1">
      <c r="B419" s="2"/>
      <c r="C419" s="43"/>
      <c r="D419" s="43"/>
      <c r="E419" s="4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2:41" ht="15.75" customHeight="1">
      <c r="B420" s="2"/>
      <c r="C420" s="43"/>
      <c r="D420" s="43"/>
      <c r="E420" s="4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2:41" ht="15.75" customHeight="1">
      <c r="B421" s="2"/>
      <c r="C421" s="43"/>
      <c r="D421" s="43"/>
      <c r="E421" s="4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2:41" ht="15.75" customHeight="1">
      <c r="B422" s="2"/>
      <c r="C422" s="43"/>
      <c r="D422" s="43"/>
      <c r="E422" s="4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2:41" ht="15.75" customHeight="1">
      <c r="B423" s="2"/>
      <c r="C423" s="43"/>
      <c r="D423" s="43"/>
      <c r="E423" s="4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2:41" ht="15.75" customHeight="1">
      <c r="B424" s="2"/>
      <c r="C424" s="43"/>
      <c r="D424" s="43"/>
      <c r="E424" s="4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2:41" ht="15.75" customHeight="1">
      <c r="B425" s="2"/>
      <c r="C425" s="43"/>
      <c r="D425" s="43"/>
      <c r="E425" s="4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2:41" ht="15.75" customHeight="1">
      <c r="B426" s="2"/>
      <c r="C426" s="43"/>
      <c r="D426" s="43"/>
      <c r="E426" s="4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2:41" ht="15.75" customHeight="1">
      <c r="B427" s="2"/>
      <c r="C427" s="43"/>
      <c r="D427" s="43"/>
      <c r="E427" s="4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2:41" ht="15.75" customHeight="1">
      <c r="B428" s="2"/>
      <c r="C428" s="43"/>
      <c r="D428" s="43"/>
      <c r="E428" s="4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2:41" ht="15.75" customHeight="1">
      <c r="B429" s="2"/>
      <c r="C429" s="43"/>
      <c r="D429" s="43"/>
      <c r="E429" s="4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2:41" ht="15.75" customHeight="1">
      <c r="B430" s="2"/>
      <c r="C430" s="43"/>
      <c r="D430" s="43"/>
      <c r="E430" s="4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2:41" ht="15.75" customHeight="1">
      <c r="B431" s="2"/>
      <c r="C431" s="43"/>
      <c r="D431" s="43"/>
      <c r="E431" s="4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2:41" ht="15.75" customHeight="1">
      <c r="B432" s="2"/>
      <c r="C432" s="43"/>
      <c r="D432" s="43"/>
      <c r="E432" s="4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2:41" ht="15.75" customHeight="1">
      <c r="B433" s="2"/>
      <c r="C433" s="43"/>
      <c r="D433" s="43"/>
      <c r="E433" s="4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2:41" ht="15.75" customHeight="1">
      <c r="B434" s="2"/>
      <c r="C434" s="43"/>
      <c r="D434" s="43"/>
      <c r="E434" s="4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2:41" ht="15.75" customHeight="1">
      <c r="B435" s="2"/>
      <c r="C435" s="43"/>
      <c r="D435" s="43"/>
      <c r="E435" s="4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2:41" ht="15.75" customHeight="1">
      <c r="B436" s="2"/>
      <c r="C436" s="43"/>
      <c r="D436" s="43"/>
      <c r="E436" s="4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2:41" ht="15.75" customHeight="1">
      <c r="B437" s="2"/>
      <c r="C437" s="43"/>
      <c r="D437" s="43"/>
      <c r="E437" s="4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2:41" ht="15.75" customHeight="1">
      <c r="B438" s="2"/>
      <c r="C438" s="43"/>
      <c r="D438" s="43"/>
      <c r="E438" s="4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2:41" ht="15.75" customHeight="1">
      <c r="B439" s="2"/>
      <c r="C439" s="43"/>
      <c r="D439" s="43"/>
      <c r="E439" s="4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2:41" ht="15.75" customHeight="1">
      <c r="B440" s="2"/>
      <c r="C440" s="43"/>
      <c r="D440" s="43"/>
      <c r="E440" s="4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2:41" ht="15.75" customHeight="1">
      <c r="B441" s="2"/>
      <c r="C441" s="43"/>
      <c r="D441" s="43"/>
      <c r="E441" s="4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2:41" ht="15.75" customHeight="1">
      <c r="B442" s="2"/>
      <c r="C442" s="43"/>
      <c r="D442" s="43"/>
      <c r="E442" s="4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2:41" ht="15.75" customHeight="1">
      <c r="B443" s="2"/>
      <c r="C443" s="43"/>
      <c r="D443" s="43"/>
      <c r="E443" s="4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2:41" ht="15.75" customHeight="1">
      <c r="B444" s="2"/>
      <c r="C444" s="43"/>
      <c r="D444" s="43"/>
      <c r="E444" s="4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2:41" ht="15.75" customHeight="1">
      <c r="B445" s="2"/>
      <c r="C445" s="43"/>
      <c r="D445" s="43"/>
      <c r="E445" s="4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2:41" ht="15.75" customHeight="1">
      <c r="B446" s="2"/>
      <c r="C446" s="43"/>
      <c r="D446" s="43"/>
      <c r="E446" s="4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2:41" ht="15.75" customHeight="1">
      <c r="B447" s="2"/>
      <c r="C447" s="43"/>
      <c r="D447" s="43"/>
      <c r="E447" s="4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2:41" ht="15.75" customHeight="1">
      <c r="B448" s="2"/>
      <c r="C448" s="43"/>
      <c r="D448" s="43"/>
      <c r="E448" s="4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2:41" ht="15.75" customHeight="1">
      <c r="B449" s="2"/>
      <c r="C449" s="43"/>
      <c r="D449" s="43"/>
      <c r="E449" s="4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2:41" ht="15.75" customHeight="1">
      <c r="B450" s="2"/>
      <c r="C450" s="43"/>
      <c r="D450" s="43"/>
      <c r="E450" s="4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2:41" ht="15.75" customHeight="1">
      <c r="B451" s="2"/>
      <c r="C451" s="43"/>
      <c r="D451" s="43"/>
      <c r="E451" s="4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2:41" ht="15.75" customHeight="1">
      <c r="B452" s="2"/>
      <c r="C452" s="43"/>
      <c r="D452" s="43"/>
      <c r="E452" s="4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2:41" ht="15.75" customHeight="1">
      <c r="B453" s="2"/>
      <c r="C453" s="43"/>
      <c r="D453" s="43"/>
      <c r="E453" s="4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2:41" ht="15.75" customHeight="1">
      <c r="B454" s="2"/>
      <c r="C454" s="43"/>
      <c r="D454" s="43"/>
      <c r="E454" s="4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2:41" ht="15.75" customHeight="1">
      <c r="B455" s="2"/>
      <c r="C455" s="43"/>
      <c r="D455" s="43"/>
      <c r="E455" s="4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2:41" ht="15.75" customHeight="1">
      <c r="B456" s="2"/>
      <c r="C456" s="43"/>
      <c r="D456" s="43"/>
      <c r="E456" s="4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2:41" ht="15.75" customHeight="1">
      <c r="B457" s="2"/>
      <c r="C457" s="43"/>
      <c r="D457" s="43"/>
      <c r="E457" s="4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2:41" ht="15.75" customHeight="1">
      <c r="B458" s="2"/>
      <c r="C458" s="43"/>
      <c r="D458" s="43"/>
      <c r="E458" s="4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2:41" ht="15.75" customHeight="1">
      <c r="B459" s="2"/>
      <c r="C459" s="43"/>
      <c r="D459" s="43"/>
      <c r="E459" s="4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2:41" ht="15.75" customHeight="1">
      <c r="B460" s="2"/>
      <c r="C460" s="43"/>
      <c r="D460" s="43"/>
      <c r="E460" s="4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2:41" ht="15.75" customHeight="1">
      <c r="B461" s="2"/>
      <c r="C461" s="43"/>
      <c r="D461" s="43"/>
      <c r="E461" s="4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41" ht="15.75" customHeight="1">
      <c r="B462" s="2"/>
      <c r="C462" s="43"/>
      <c r="D462" s="43"/>
      <c r="E462" s="4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2:41" ht="15.75" customHeight="1">
      <c r="B463" s="2"/>
      <c r="C463" s="43"/>
      <c r="D463" s="43"/>
      <c r="E463" s="4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2:41" ht="15.75" customHeight="1">
      <c r="B464" s="2"/>
      <c r="C464" s="43"/>
      <c r="D464" s="43"/>
      <c r="E464" s="4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2:41" ht="15.75" customHeight="1">
      <c r="B465" s="2"/>
      <c r="C465" s="43"/>
      <c r="D465" s="43"/>
      <c r="E465" s="4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2:41" ht="15.75" customHeight="1">
      <c r="B466" s="2"/>
      <c r="C466" s="43"/>
      <c r="D466" s="43"/>
      <c r="E466" s="4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2:41" ht="15.75" customHeight="1">
      <c r="B467" s="2"/>
      <c r="C467" s="43"/>
      <c r="D467" s="43"/>
      <c r="E467" s="4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2:41" ht="15.75" customHeight="1">
      <c r="B468" s="2"/>
      <c r="C468" s="43"/>
      <c r="D468" s="43"/>
      <c r="E468" s="4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2:41" ht="15.75" customHeight="1">
      <c r="B469" s="2"/>
      <c r="C469" s="43"/>
      <c r="D469" s="43"/>
      <c r="E469" s="4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2:41" ht="15.75" customHeight="1">
      <c r="B470" s="2"/>
      <c r="C470" s="43"/>
      <c r="D470" s="43"/>
      <c r="E470" s="4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2:41" ht="15.75" customHeight="1">
      <c r="B471" s="2"/>
      <c r="C471" s="43"/>
      <c r="D471" s="43"/>
      <c r="E471" s="4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2:41" ht="15.75" customHeight="1">
      <c r="B472" s="2"/>
      <c r="C472" s="43"/>
      <c r="D472" s="43"/>
      <c r="E472" s="4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2:41" ht="15.75" customHeight="1">
      <c r="B473" s="2"/>
      <c r="C473" s="43"/>
      <c r="D473" s="43"/>
      <c r="E473" s="4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2:41" ht="15.75" customHeight="1">
      <c r="B474" s="2"/>
      <c r="C474" s="43"/>
      <c r="D474" s="43"/>
      <c r="E474" s="4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2:41" ht="15.75" customHeight="1">
      <c r="B475" s="2"/>
      <c r="C475" s="43"/>
      <c r="D475" s="43"/>
      <c r="E475" s="4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2:41" ht="15.75" customHeight="1">
      <c r="B476" s="2"/>
      <c r="C476" s="43"/>
      <c r="D476" s="43"/>
      <c r="E476" s="4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2:41" ht="15.75" customHeight="1">
      <c r="B477" s="2"/>
      <c r="C477" s="43"/>
      <c r="D477" s="43"/>
      <c r="E477" s="4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2:41" ht="15.75" customHeight="1">
      <c r="B478" s="2"/>
      <c r="C478" s="43"/>
      <c r="D478" s="43"/>
      <c r="E478" s="4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2:41" ht="15.75" customHeight="1">
      <c r="B479" s="2"/>
      <c r="C479" s="43"/>
      <c r="D479" s="43"/>
      <c r="E479" s="4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2:41" ht="15.75" customHeight="1">
      <c r="B480" s="2"/>
      <c r="C480" s="43"/>
      <c r="D480" s="43"/>
      <c r="E480" s="4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2:41" ht="15.75" customHeight="1">
      <c r="B481" s="2"/>
      <c r="C481" s="43"/>
      <c r="D481" s="43"/>
      <c r="E481" s="4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2:41" ht="15.75" customHeight="1">
      <c r="B482" s="2"/>
      <c r="C482" s="43"/>
      <c r="D482" s="43"/>
      <c r="E482" s="4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2:41" ht="15.75" customHeight="1">
      <c r="B483" s="2"/>
      <c r="C483" s="43"/>
      <c r="D483" s="43"/>
      <c r="E483" s="4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2:41" ht="15.75" customHeight="1">
      <c r="B484" s="2"/>
      <c r="C484" s="43"/>
      <c r="D484" s="43"/>
      <c r="E484" s="4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2:41" ht="15.75" customHeight="1">
      <c r="B485" s="2"/>
      <c r="C485" s="43"/>
      <c r="D485" s="43"/>
      <c r="E485" s="4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2:41" ht="15.75" customHeight="1">
      <c r="B486" s="2"/>
      <c r="C486" s="43"/>
      <c r="D486" s="43"/>
      <c r="E486" s="4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2:41" ht="15.75" customHeight="1">
      <c r="B487" s="2"/>
      <c r="C487" s="43"/>
      <c r="D487" s="43"/>
      <c r="E487" s="4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2:41" ht="15.75" customHeight="1">
      <c r="B488" s="2"/>
      <c r="C488" s="43"/>
      <c r="D488" s="43"/>
      <c r="E488" s="4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2:41" ht="15.75" customHeight="1">
      <c r="B489" s="2"/>
      <c r="C489" s="43"/>
      <c r="D489" s="43"/>
      <c r="E489" s="4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2:41" ht="15.75" customHeight="1">
      <c r="B490" s="2"/>
      <c r="C490" s="43"/>
      <c r="D490" s="43"/>
      <c r="E490" s="4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2:41" ht="15.75" customHeight="1">
      <c r="B491" s="2"/>
      <c r="C491" s="43"/>
      <c r="D491" s="43"/>
      <c r="E491" s="4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2:41" ht="15.75" customHeight="1">
      <c r="B492" s="2"/>
      <c r="C492" s="43"/>
      <c r="D492" s="43"/>
      <c r="E492" s="4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2:41" ht="15.75" customHeight="1">
      <c r="B493" s="2"/>
      <c r="C493" s="43"/>
      <c r="D493" s="43"/>
      <c r="E493" s="4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2:41" ht="15.75" customHeight="1">
      <c r="B494" s="2"/>
      <c r="C494" s="43"/>
      <c r="D494" s="43"/>
      <c r="E494" s="4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2:41" ht="15.75" customHeight="1">
      <c r="B495" s="2"/>
      <c r="C495" s="43"/>
      <c r="D495" s="43"/>
      <c r="E495" s="4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2:41" ht="15.75" customHeight="1">
      <c r="B496" s="2"/>
      <c r="C496" s="43"/>
      <c r="D496" s="43"/>
      <c r="E496" s="4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2:41" ht="15.75" customHeight="1">
      <c r="B497" s="2"/>
      <c r="C497" s="43"/>
      <c r="D497" s="43"/>
      <c r="E497" s="4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2:41" ht="15.75" customHeight="1">
      <c r="B498" s="2"/>
      <c r="C498" s="43"/>
      <c r="D498" s="43"/>
      <c r="E498" s="4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2:41" ht="15.75" customHeight="1">
      <c r="B499" s="2"/>
      <c r="C499" s="43"/>
      <c r="D499" s="43"/>
      <c r="E499" s="4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2:41" ht="15.75" customHeight="1">
      <c r="B500" s="2"/>
      <c r="C500" s="43"/>
      <c r="D500" s="43"/>
      <c r="E500" s="4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2:41" ht="15.75" customHeight="1">
      <c r="B501" s="2"/>
      <c r="C501" s="43"/>
      <c r="D501" s="43"/>
      <c r="E501" s="4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2:41" ht="15.75" customHeight="1">
      <c r="B502" s="2"/>
      <c r="C502" s="43"/>
      <c r="D502" s="43"/>
      <c r="E502" s="4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2:41" ht="15.75" customHeight="1">
      <c r="B503" s="2"/>
      <c r="C503" s="43"/>
      <c r="D503" s="43"/>
      <c r="E503" s="4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2:41" ht="15.75" customHeight="1">
      <c r="B504" s="2"/>
      <c r="C504" s="43"/>
      <c r="D504" s="43"/>
      <c r="E504" s="4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2:41" ht="15.75" customHeight="1">
      <c r="B505" s="2"/>
      <c r="C505" s="43"/>
      <c r="D505" s="43"/>
      <c r="E505" s="4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2:41" ht="15.75" customHeight="1">
      <c r="B506" s="2"/>
      <c r="C506" s="43"/>
      <c r="D506" s="43"/>
      <c r="E506" s="4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2:41" ht="15.75" customHeight="1">
      <c r="B507" s="2"/>
      <c r="C507" s="43"/>
      <c r="D507" s="43"/>
      <c r="E507" s="4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2:41" ht="15.75" customHeight="1">
      <c r="B508" s="2"/>
      <c r="C508" s="43"/>
      <c r="D508" s="43"/>
      <c r="E508" s="4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2:41" ht="15.75" customHeight="1">
      <c r="B509" s="2"/>
      <c r="C509" s="43"/>
      <c r="D509" s="43"/>
      <c r="E509" s="4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2:41" ht="15.75" customHeight="1">
      <c r="B510" s="2"/>
      <c r="C510" s="43"/>
      <c r="D510" s="43"/>
      <c r="E510" s="4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2:41" ht="15.75" customHeight="1">
      <c r="B511" s="2"/>
      <c r="C511" s="43"/>
      <c r="D511" s="43"/>
      <c r="E511" s="4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2:41" ht="15.75" customHeight="1">
      <c r="B512" s="2"/>
      <c r="C512" s="43"/>
      <c r="D512" s="43"/>
      <c r="E512" s="4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2:41" ht="15.75" customHeight="1">
      <c r="B513" s="2"/>
      <c r="C513" s="43"/>
      <c r="D513" s="43"/>
      <c r="E513" s="4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2:41" ht="15.75" customHeight="1">
      <c r="B514" s="2"/>
      <c r="C514" s="43"/>
      <c r="D514" s="43"/>
      <c r="E514" s="4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2:41" ht="15.75" customHeight="1">
      <c r="B515" s="2"/>
      <c r="C515" s="43"/>
      <c r="D515" s="43"/>
      <c r="E515" s="4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2:41" ht="15.75" customHeight="1">
      <c r="B516" s="2"/>
      <c r="C516" s="43"/>
      <c r="D516" s="43"/>
      <c r="E516" s="4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2:41" ht="15.75" customHeight="1">
      <c r="B517" s="2"/>
      <c r="C517" s="43"/>
      <c r="D517" s="43"/>
      <c r="E517" s="4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2:41" ht="15.75" customHeight="1">
      <c r="B518" s="2"/>
      <c r="C518" s="43"/>
      <c r="D518" s="43"/>
      <c r="E518" s="4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2:41" ht="15.75" customHeight="1">
      <c r="B519" s="2"/>
      <c r="C519" s="43"/>
      <c r="D519" s="43"/>
      <c r="E519" s="4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2:41" ht="15.75" customHeight="1">
      <c r="B520" s="2"/>
      <c r="C520" s="43"/>
      <c r="D520" s="43"/>
      <c r="E520" s="4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2:41" ht="15.75" customHeight="1">
      <c r="B521" s="2"/>
      <c r="C521" s="43"/>
      <c r="D521" s="43"/>
      <c r="E521" s="4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2:41" ht="15.75" customHeight="1">
      <c r="B522" s="2"/>
      <c r="C522" s="43"/>
      <c r="D522" s="43"/>
      <c r="E522" s="4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2:41" ht="15.75" customHeight="1">
      <c r="B523" s="2"/>
      <c r="C523" s="43"/>
      <c r="D523" s="43"/>
      <c r="E523" s="4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2:41" ht="15.75" customHeight="1">
      <c r="B524" s="2"/>
      <c r="C524" s="43"/>
      <c r="D524" s="43"/>
      <c r="E524" s="4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2:41" ht="15.75" customHeight="1">
      <c r="B525" s="2"/>
      <c r="C525" s="43"/>
      <c r="D525" s="43"/>
      <c r="E525" s="4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2:41" ht="15.75" customHeight="1">
      <c r="B526" s="2"/>
      <c r="C526" s="43"/>
      <c r="D526" s="43"/>
      <c r="E526" s="4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2:41" ht="15.75" customHeight="1">
      <c r="B527" s="2"/>
      <c r="C527" s="43"/>
      <c r="D527" s="43"/>
      <c r="E527" s="4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2:41" ht="15.75" customHeight="1">
      <c r="B528" s="2"/>
      <c r="C528" s="43"/>
      <c r="D528" s="43"/>
      <c r="E528" s="4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2:41" ht="15.75" customHeight="1">
      <c r="B529" s="2"/>
      <c r="C529" s="43"/>
      <c r="D529" s="43"/>
      <c r="E529" s="4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2:41" ht="15.75" customHeight="1">
      <c r="B530" s="2"/>
      <c r="C530" s="43"/>
      <c r="D530" s="43"/>
      <c r="E530" s="4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2:41" ht="15.75" customHeight="1">
      <c r="B531" s="2"/>
      <c r="C531" s="43"/>
      <c r="D531" s="43"/>
      <c r="E531" s="4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2:41" ht="15.75" customHeight="1">
      <c r="B532" s="2"/>
      <c r="C532" s="43"/>
      <c r="D532" s="43"/>
      <c r="E532" s="4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2:41" ht="15.75" customHeight="1">
      <c r="B533" s="2"/>
      <c r="C533" s="43"/>
      <c r="D533" s="43"/>
      <c r="E533" s="4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2:41" ht="15.75" customHeight="1">
      <c r="B534" s="2"/>
      <c r="C534" s="43"/>
      <c r="D534" s="43"/>
      <c r="E534" s="4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2:41" ht="15.75" customHeight="1">
      <c r="B535" s="2"/>
      <c r="C535" s="43"/>
      <c r="D535" s="43"/>
      <c r="E535" s="4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2:41" ht="15.75" customHeight="1">
      <c r="B536" s="2"/>
      <c r="C536" s="43"/>
      <c r="D536" s="43"/>
      <c r="E536" s="4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2:41" ht="15.75" customHeight="1">
      <c r="B537" s="2"/>
      <c r="C537" s="43"/>
      <c r="D537" s="43"/>
      <c r="E537" s="4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2:41" ht="15.75" customHeight="1">
      <c r="B538" s="2"/>
      <c r="C538" s="43"/>
      <c r="D538" s="43"/>
      <c r="E538" s="4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2:41" ht="15.75" customHeight="1">
      <c r="B539" s="2"/>
      <c r="C539" s="43"/>
      <c r="D539" s="43"/>
      <c r="E539" s="4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2:41" ht="15.75" customHeight="1">
      <c r="B540" s="2"/>
      <c r="C540" s="43"/>
      <c r="D540" s="43"/>
      <c r="E540" s="4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2:41" ht="15.75" customHeight="1">
      <c r="B541" s="2"/>
      <c r="C541" s="43"/>
      <c r="D541" s="43"/>
      <c r="E541" s="4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2:41" ht="15.75" customHeight="1">
      <c r="B542" s="2"/>
      <c r="C542" s="43"/>
      <c r="D542" s="43"/>
      <c r="E542" s="4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2:41" ht="15.75" customHeight="1">
      <c r="B543" s="2"/>
      <c r="C543" s="43"/>
      <c r="D543" s="43"/>
      <c r="E543" s="4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2:41" ht="15.75" customHeight="1">
      <c r="B544" s="2"/>
      <c r="C544" s="43"/>
      <c r="D544" s="43"/>
      <c r="E544" s="4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2:41" ht="15.75" customHeight="1">
      <c r="B545" s="2"/>
      <c r="C545" s="43"/>
      <c r="D545" s="43"/>
      <c r="E545" s="4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2:41" ht="15.75" customHeight="1">
      <c r="B546" s="2"/>
      <c r="C546" s="43"/>
      <c r="D546" s="43"/>
      <c r="E546" s="4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2:41" ht="15.75" customHeight="1">
      <c r="B547" s="2"/>
      <c r="C547" s="43"/>
      <c r="D547" s="43"/>
      <c r="E547" s="4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2:41" ht="15.75" customHeight="1">
      <c r="B548" s="2"/>
      <c r="C548" s="43"/>
      <c r="D548" s="43"/>
      <c r="E548" s="4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2:41" ht="15.75" customHeight="1">
      <c r="B549" s="2"/>
      <c r="C549" s="43"/>
      <c r="D549" s="43"/>
      <c r="E549" s="4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2:41" ht="15.75" customHeight="1">
      <c r="B550" s="2"/>
      <c r="C550" s="43"/>
      <c r="D550" s="43"/>
      <c r="E550" s="4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2:41" ht="15.75" customHeight="1">
      <c r="B551" s="2"/>
      <c r="C551" s="43"/>
      <c r="D551" s="43"/>
      <c r="E551" s="4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2:41" ht="15.75" customHeight="1">
      <c r="B552" s="2"/>
      <c r="C552" s="43"/>
      <c r="D552" s="43"/>
      <c r="E552" s="4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2:41" ht="15.75" customHeight="1">
      <c r="B553" s="2"/>
      <c r="C553" s="43"/>
      <c r="D553" s="43"/>
      <c r="E553" s="4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2:41" ht="15.75" customHeight="1">
      <c r="B554" s="2"/>
      <c r="C554" s="43"/>
      <c r="D554" s="43"/>
      <c r="E554" s="4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2:41" ht="15.75" customHeight="1">
      <c r="B555" s="2"/>
      <c r="C555" s="43"/>
      <c r="D555" s="43"/>
      <c r="E555" s="4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2:41" ht="15.75" customHeight="1">
      <c r="B556" s="2"/>
      <c r="C556" s="43"/>
      <c r="D556" s="43"/>
      <c r="E556" s="4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2:41" ht="15.75" customHeight="1">
      <c r="B557" s="2"/>
      <c r="C557" s="43"/>
      <c r="D557" s="43"/>
      <c r="E557" s="4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2:41" ht="15.75" customHeight="1">
      <c r="B558" s="2"/>
      <c r="C558" s="43"/>
      <c r="D558" s="43"/>
      <c r="E558" s="4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2:41" ht="15.75" customHeight="1">
      <c r="B559" s="2"/>
      <c r="C559" s="43"/>
      <c r="D559" s="43"/>
      <c r="E559" s="4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2:41" ht="15.75" customHeight="1">
      <c r="B560" s="2"/>
      <c r="C560" s="43"/>
      <c r="D560" s="43"/>
      <c r="E560" s="4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2:41" ht="15.75" customHeight="1">
      <c r="B561" s="2"/>
      <c r="C561" s="43"/>
      <c r="D561" s="43"/>
      <c r="E561" s="4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2:41" ht="15.75" customHeight="1">
      <c r="B562" s="2"/>
      <c r="C562" s="43"/>
      <c r="D562" s="43"/>
      <c r="E562" s="4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2:41" ht="15.75" customHeight="1">
      <c r="B563" s="2"/>
      <c r="C563" s="43"/>
      <c r="D563" s="43"/>
      <c r="E563" s="4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2:41" ht="15.75" customHeight="1">
      <c r="B564" s="2"/>
      <c r="C564" s="43"/>
      <c r="D564" s="43"/>
      <c r="E564" s="4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2:41" ht="15.75" customHeight="1">
      <c r="B565" s="2"/>
      <c r="C565" s="43"/>
      <c r="D565" s="43"/>
      <c r="E565" s="4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2:41" ht="15.75" customHeight="1">
      <c r="B566" s="2"/>
      <c r="C566" s="43"/>
      <c r="D566" s="43"/>
      <c r="E566" s="4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2:41" ht="15.75" customHeight="1">
      <c r="B567" s="2"/>
      <c r="C567" s="43"/>
      <c r="D567" s="43"/>
      <c r="E567" s="4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2:41" ht="15.75" customHeight="1">
      <c r="B568" s="2"/>
      <c r="C568" s="43"/>
      <c r="D568" s="43"/>
      <c r="E568" s="4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2:41" ht="15.75" customHeight="1">
      <c r="B569" s="2"/>
      <c r="C569" s="43"/>
      <c r="D569" s="43"/>
      <c r="E569" s="4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2:41" ht="15.75" customHeight="1">
      <c r="B570" s="2"/>
      <c r="C570" s="43"/>
      <c r="D570" s="43"/>
      <c r="E570" s="4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2:41" ht="15.75" customHeight="1">
      <c r="B571" s="2"/>
      <c r="C571" s="43"/>
      <c r="D571" s="43"/>
      <c r="E571" s="4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2:41" ht="15.75" customHeight="1">
      <c r="B572" s="2"/>
      <c r="C572" s="43"/>
      <c r="D572" s="43"/>
      <c r="E572" s="4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2:41" ht="15.75" customHeight="1">
      <c r="B573" s="2"/>
      <c r="C573" s="43"/>
      <c r="D573" s="43"/>
      <c r="E573" s="4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2:41" ht="15.75" customHeight="1">
      <c r="B574" s="2"/>
      <c r="C574" s="43"/>
      <c r="D574" s="43"/>
      <c r="E574" s="4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2:41" ht="15.75" customHeight="1">
      <c r="B575" s="2"/>
      <c r="C575" s="43"/>
      <c r="D575" s="43"/>
      <c r="E575" s="4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2:41" ht="15.75" customHeight="1">
      <c r="B576" s="2"/>
      <c r="C576" s="43"/>
      <c r="D576" s="43"/>
      <c r="E576" s="4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2:41" ht="15.75" customHeight="1">
      <c r="B577" s="2"/>
      <c r="C577" s="43"/>
      <c r="D577" s="43"/>
      <c r="E577" s="4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2:41" ht="15.75" customHeight="1">
      <c r="B578" s="2"/>
      <c r="C578" s="43"/>
      <c r="D578" s="43"/>
      <c r="E578" s="4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2:41" ht="15.75" customHeight="1">
      <c r="B579" s="2"/>
      <c r="C579" s="43"/>
      <c r="D579" s="43"/>
      <c r="E579" s="4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2:41" ht="15.75" customHeight="1">
      <c r="B580" s="2"/>
      <c r="C580" s="43"/>
      <c r="D580" s="43"/>
      <c r="E580" s="4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2:41" ht="15.75" customHeight="1">
      <c r="B581" s="2"/>
      <c r="C581" s="43"/>
      <c r="D581" s="43"/>
      <c r="E581" s="4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2:41" ht="15.75" customHeight="1">
      <c r="B582" s="2"/>
      <c r="C582" s="43"/>
      <c r="D582" s="43"/>
      <c r="E582" s="4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2:41" ht="15.75" customHeight="1">
      <c r="B583" s="2"/>
      <c r="C583" s="43"/>
      <c r="D583" s="43"/>
      <c r="E583" s="4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2:41" ht="15.75" customHeight="1">
      <c r="B584" s="2"/>
      <c r="C584" s="43"/>
      <c r="D584" s="43"/>
      <c r="E584" s="4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2:41" ht="15.75" customHeight="1">
      <c r="B585" s="2"/>
      <c r="C585" s="43"/>
      <c r="D585" s="43"/>
      <c r="E585" s="4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2:41" ht="15.75" customHeight="1">
      <c r="B586" s="2"/>
      <c r="C586" s="43"/>
      <c r="D586" s="43"/>
      <c r="E586" s="4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2:41" ht="15.75" customHeight="1">
      <c r="B587" s="2"/>
      <c r="C587" s="43"/>
      <c r="D587" s="43"/>
      <c r="E587" s="4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2:41" ht="15.75" customHeight="1">
      <c r="B588" s="2"/>
      <c r="C588" s="43"/>
      <c r="D588" s="43"/>
      <c r="E588" s="4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2:41" ht="15.75" customHeight="1">
      <c r="B589" s="2"/>
      <c r="C589" s="43"/>
      <c r="D589" s="43"/>
      <c r="E589" s="4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2:41" ht="15.75" customHeight="1">
      <c r="B590" s="2"/>
      <c r="C590" s="43"/>
      <c r="D590" s="43"/>
      <c r="E590" s="4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2:41" ht="15.75" customHeight="1">
      <c r="B591" s="2"/>
      <c r="C591" s="43"/>
      <c r="D591" s="43"/>
      <c r="E591" s="4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2:41" ht="15.75" customHeight="1">
      <c r="B592" s="2"/>
      <c r="C592" s="43"/>
      <c r="D592" s="43"/>
      <c r="E592" s="4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2:41" ht="15.75" customHeight="1">
      <c r="B593" s="2"/>
      <c r="C593" s="43"/>
      <c r="D593" s="43"/>
      <c r="E593" s="4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2:41" ht="15.75" customHeight="1">
      <c r="B594" s="2"/>
      <c r="C594" s="43"/>
      <c r="D594" s="43"/>
      <c r="E594" s="4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2:41" ht="15.75" customHeight="1">
      <c r="B595" s="2"/>
      <c r="C595" s="43"/>
      <c r="D595" s="43"/>
      <c r="E595" s="4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2:41" ht="15.75" customHeight="1">
      <c r="B596" s="2"/>
      <c r="C596" s="43"/>
      <c r="D596" s="43"/>
      <c r="E596" s="4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2:41" ht="15.75" customHeight="1">
      <c r="B597" s="2"/>
      <c r="C597" s="43"/>
      <c r="D597" s="43"/>
      <c r="E597" s="4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2:41" ht="15.75" customHeight="1">
      <c r="B598" s="2"/>
      <c r="C598" s="43"/>
      <c r="D598" s="43"/>
      <c r="E598" s="4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2:41" ht="15.75" customHeight="1">
      <c r="B599" s="2"/>
      <c r="C599" s="43"/>
      <c r="D599" s="43"/>
      <c r="E599" s="4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2:41" ht="15.75" customHeight="1">
      <c r="B600" s="2"/>
      <c r="C600" s="43"/>
      <c r="D600" s="43"/>
      <c r="E600" s="4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2:41" ht="15.75" customHeight="1">
      <c r="B601" s="2"/>
      <c r="C601" s="43"/>
      <c r="D601" s="43"/>
      <c r="E601" s="4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2:41" ht="15.75" customHeight="1">
      <c r="B602" s="2"/>
      <c r="C602" s="43"/>
      <c r="D602" s="43"/>
      <c r="E602" s="4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2:41" ht="15.75" customHeight="1">
      <c r="B603" s="2"/>
      <c r="C603" s="43"/>
      <c r="D603" s="43"/>
      <c r="E603" s="4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2:41" ht="15.75" customHeight="1">
      <c r="B604" s="2"/>
      <c r="C604" s="43"/>
      <c r="D604" s="43"/>
      <c r="E604" s="4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2:41" ht="15.75" customHeight="1">
      <c r="B605" s="2"/>
      <c r="C605" s="43"/>
      <c r="D605" s="43"/>
      <c r="E605" s="4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2:41" ht="15.75" customHeight="1">
      <c r="B606" s="2"/>
      <c r="C606" s="43"/>
      <c r="D606" s="43"/>
      <c r="E606" s="4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2:41" ht="15.75" customHeight="1">
      <c r="B607" s="2"/>
      <c r="C607" s="43"/>
      <c r="D607" s="43"/>
      <c r="E607" s="4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2:41" ht="15.75" customHeight="1">
      <c r="B608" s="2"/>
      <c r="C608" s="43"/>
      <c r="D608" s="43"/>
      <c r="E608" s="4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2:41" ht="15.75" customHeight="1">
      <c r="B609" s="2"/>
      <c r="C609" s="43"/>
      <c r="D609" s="43"/>
      <c r="E609" s="4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2:41" ht="15.75" customHeight="1">
      <c r="B610" s="2"/>
      <c r="C610" s="43"/>
      <c r="D610" s="43"/>
      <c r="E610" s="4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2:41" ht="15.75" customHeight="1">
      <c r="B611" s="2"/>
      <c r="C611" s="43"/>
      <c r="D611" s="43"/>
      <c r="E611" s="4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2:41" ht="15.75" customHeight="1">
      <c r="B612" s="2"/>
      <c r="C612" s="43"/>
      <c r="D612" s="43"/>
      <c r="E612" s="4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2:41" ht="15.75" customHeight="1">
      <c r="B613" s="2"/>
      <c r="C613" s="43"/>
      <c r="D613" s="43"/>
      <c r="E613" s="4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2:41" ht="15.75" customHeight="1">
      <c r="B614" s="2"/>
      <c r="C614" s="43"/>
      <c r="D614" s="43"/>
      <c r="E614" s="4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2:41" ht="15.75" customHeight="1">
      <c r="B615" s="2"/>
      <c r="C615" s="43"/>
      <c r="D615" s="43"/>
      <c r="E615" s="4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2:41" ht="15.75" customHeight="1">
      <c r="B616" s="2"/>
      <c r="C616" s="43"/>
      <c r="D616" s="43"/>
      <c r="E616" s="4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2:41" ht="15.75" customHeight="1">
      <c r="B617" s="2"/>
      <c r="C617" s="43"/>
      <c r="D617" s="43"/>
      <c r="E617" s="4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2:41" ht="15.75" customHeight="1">
      <c r="B618" s="2"/>
      <c r="C618" s="43"/>
      <c r="D618" s="43"/>
      <c r="E618" s="4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2:41" ht="15.75" customHeight="1">
      <c r="B619" s="2"/>
      <c r="C619" s="43"/>
      <c r="D619" s="43"/>
      <c r="E619" s="4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2:41" ht="15.75" customHeight="1">
      <c r="B620" s="2"/>
      <c r="C620" s="43"/>
      <c r="D620" s="43"/>
      <c r="E620" s="4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2:41" ht="15.75" customHeight="1">
      <c r="B621" s="2"/>
      <c r="C621" s="43"/>
      <c r="D621" s="43"/>
      <c r="E621" s="4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2:41" ht="15.75" customHeight="1">
      <c r="B622" s="2"/>
      <c r="C622" s="43"/>
      <c r="D622" s="43"/>
      <c r="E622" s="4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2:41" ht="15.75" customHeight="1">
      <c r="B623" s="2"/>
      <c r="C623" s="43"/>
      <c r="D623" s="43"/>
      <c r="E623" s="4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2:41" ht="15.75" customHeight="1">
      <c r="B624" s="2"/>
      <c r="C624" s="43"/>
      <c r="D624" s="43"/>
      <c r="E624" s="4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2:41" ht="15.75" customHeight="1">
      <c r="B625" s="2"/>
      <c r="C625" s="43"/>
      <c r="D625" s="43"/>
      <c r="E625" s="4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2:41" ht="15.75" customHeight="1">
      <c r="B626" s="2"/>
      <c r="C626" s="43"/>
      <c r="D626" s="43"/>
      <c r="E626" s="4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2:41" ht="15.75" customHeight="1">
      <c r="B627" s="2"/>
      <c r="C627" s="43"/>
      <c r="D627" s="43"/>
      <c r="E627" s="4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2:41" ht="15.75" customHeight="1">
      <c r="B628" s="2"/>
      <c r="C628" s="43"/>
      <c r="D628" s="43"/>
      <c r="E628" s="4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2:41" ht="15.75" customHeight="1">
      <c r="B629" s="2"/>
      <c r="C629" s="43"/>
      <c r="D629" s="43"/>
      <c r="E629" s="4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2:41" ht="15.75" customHeight="1">
      <c r="B630" s="2"/>
      <c r="C630" s="43"/>
      <c r="D630" s="43"/>
      <c r="E630" s="4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2:41" ht="15.75" customHeight="1">
      <c r="B631" s="2"/>
      <c r="C631" s="43"/>
      <c r="D631" s="43"/>
      <c r="E631" s="4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2:41" ht="15.75" customHeight="1">
      <c r="B632" s="2"/>
      <c r="C632" s="43"/>
      <c r="D632" s="43"/>
      <c r="E632" s="4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2:41" ht="15.75" customHeight="1">
      <c r="B633" s="2"/>
      <c r="C633" s="43"/>
      <c r="D633" s="43"/>
      <c r="E633" s="4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2:41" ht="15.75" customHeight="1">
      <c r="B634" s="2"/>
      <c r="C634" s="43"/>
      <c r="D634" s="43"/>
      <c r="E634" s="4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2:41" ht="15.75" customHeight="1">
      <c r="B635" s="2"/>
      <c r="C635" s="43"/>
      <c r="D635" s="43"/>
      <c r="E635" s="4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2:41" ht="15.75" customHeight="1">
      <c r="B636" s="2"/>
      <c r="C636" s="43"/>
      <c r="D636" s="43"/>
      <c r="E636" s="4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2:41" ht="15.75" customHeight="1">
      <c r="B637" s="2"/>
      <c r="C637" s="43"/>
      <c r="D637" s="43"/>
      <c r="E637" s="4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</sheetData>
  <sheetProtection/>
  <mergeCells count="2">
    <mergeCell ref="A2:E2"/>
    <mergeCell ref="A3:E3"/>
  </mergeCells>
  <printOptions/>
  <pageMargins left="1.0236220472440944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35.25390625" style="0" customWidth="1"/>
    <col min="2" max="2" width="9.25390625" style="0" customWidth="1"/>
    <col min="3" max="4" width="8.875" style="0" customWidth="1"/>
    <col min="5" max="5" width="9.375" style="0" customWidth="1"/>
    <col min="6" max="8" width="9.125" style="0" customWidth="1"/>
    <col min="9" max="9" width="9.00390625" style="0" customWidth="1"/>
    <col min="10" max="11" width="9.125" style="0" customWidth="1"/>
    <col min="12" max="12" width="8.875" style="0" bestFit="1" customWidth="1"/>
    <col min="13" max="13" width="8.625" style="0" customWidth="1"/>
    <col min="14" max="14" width="10.875" style="0" customWidth="1"/>
    <col min="15" max="15" width="9.2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139" t="s">
        <v>1101</v>
      </c>
    </row>
    <row r="2" spans="1:14" ht="15.75">
      <c r="A2" s="164" t="s">
        <v>953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9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9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9" t="s">
        <v>0</v>
      </c>
    </row>
    <row r="5" spans="1:14" ht="21.75" customHeight="1" thickBot="1">
      <c r="A5" s="165" t="s">
        <v>92</v>
      </c>
      <c r="B5" s="166" t="s">
        <v>93</v>
      </c>
      <c r="C5" s="166" t="s">
        <v>94</v>
      </c>
      <c r="D5" s="166" t="s">
        <v>95</v>
      </c>
      <c r="E5" s="166" t="s">
        <v>96</v>
      </c>
      <c r="F5" s="166" t="s">
        <v>97</v>
      </c>
      <c r="G5" s="166" t="s">
        <v>98</v>
      </c>
      <c r="H5" s="166" t="s">
        <v>99</v>
      </c>
      <c r="I5" s="166" t="s">
        <v>100</v>
      </c>
      <c r="J5" s="166" t="s">
        <v>101</v>
      </c>
      <c r="K5" s="166" t="s">
        <v>102</v>
      </c>
      <c r="L5" s="166" t="s">
        <v>103</v>
      </c>
      <c r="M5" s="166" t="s">
        <v>104</v>
      </c>
      <c r="N5" s="425" t="s">
        <v>56</v>
      </c>
    </row>
    <row r="6" spans="1:14" ht="15.75" customHeight="1">
      <c r="A6" s="167" t="s">
        <v>105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68"/>
    </row>
    <row r="7" spans="1:15" ht="15.75" customHeight="1">
      <c r="A7" s="715" t="s">
        <v>793</v>
      </c>
      <c r="B7" s="47">
        <f>(405546/13)</f>
        <v>31195.846153846152</v>
      </c>
      <c r="C7" s="47">
        <f aca="true" t="shared" si="0" ref="C7:L7">(405546/13)</f>
        <v>31195.846153846152</v>
      </c>
      <c r="D7" s="47">
        <f t="shared" si="0"/>
        <v>31195.846153846152</v>
      </c>
      <c r="E7" s="47">
        <f t="shared" si="0"/>
        <v>31195.846153846152</v>
      </c>
      <c r="F7" s="47">
        <f t="shared" si="0"/>
        <v>31195.846153846152</v>
      </c>
      <c r="G7" s="47">
        <f t="shared" si="0"/>
        <v>31195.846153846152</v>
      </c>
      <c r="H7" s="47">
        <f t="shared" si="0"/>
        <v>31195.846153846152</v>
      </c>
      <c r="I7" s="47">
        <f t="shared" si="0"/>
        <v>31195.846153846152</v>
      </c>
      <c r="J7" s="47">
        <f t="shared" si="0"/>
        <v>31195.846153846152</v>
      </c>
      <c r="K7" s="47">
        <f t="shared" si="0"/>
        <v>31195.846153846152</v>
      </c>
      <c r="L7" s="47">
        <f t="shared" si="0"/>
        <v>31195.846153846152</v>
      </c>
      <c r="M7" s="47">
        <f>(405546/13)+31196-220</f>
        <v>62171.846153846156</v>
      </c>
      <c r="N7" s="170">
        <f aca="true" t="shared" si="1" ref="N7:N15">SUM(B7:M7)</f>
        <v>405326.15384615376</v>
      </c>
      <c r="O7" s="520"/>
    </row>
    <row r="8" spans="1:14" ht="15.75" customHeight="1">
      <c r="A8" s="715" t="s">
        <v>791</v>
      </c>
      <c r="B8" s="47"/>
      <c r="C8" s="47">
        <v>199095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170">
        <f t="shared" si="1"/>
        <v>199095</v>
      </c>
    </row>
    <row r="9" spans="1:14" ht="15.75" customHeight="1">
      <c r="A9" s="210" t="s">
        <v>461</v>
      </c>
      <c r="B9" s="47"/>
      <c r="C9" s="47"/>
      <c r="D9" s="47">
        <v>100000</v>
      </c>
      <c r="E9" s="47">
        <v>5000</v>
      </c>
      <c r="F9" s="47"/>
      <c r="G9" s="47">
        <v>18200</v>
      </c>
      <c r="H9" s="47">
        <v>30000</v>
      </c>
      <c r="I9" s="47">
        <v>30000</v>
      </c>
      <c r="J9" s="47">
        <v>100000</v>
      </c>
      <c r="K9" s="47"/>
      <c r="L9" s="47"/>
      <c r="M9" s="47">
        <v>15000</v>
      </c>
      <c r="N9" s="170">
        <f t="shared" si="1"/>
        <v>298200</v>
      </c>
    </row>
    <row r="10" spans="1:14" ht="15.75" customHeight="1">
      <c r="A10" s="169" t="s">
        <v>462</v>
      </c>
      <c r="B10" s="47">
        <f>(34220/12)</f>
        <v>2851.6666666666665</v>
      </c>
      <c r="C10" s="47">
        <f aca="true" t="shared" si="2" ref="C10:M10">(34220/12)</f>
        <v>2851.6666666666665</v>
      </c>
      <c r="D10" s="47">
        <f t="shared" si="2"/>
        <v>2851.6666666666665</v>
      </c>
      <c r="E10" s="47">
        <f t="shared" si="2"/>
        <v>2851.6666666666665</v>
      </c>
      <c r="F10" s="47">
        <f t="shared" si="2"/>
        <v>2851.6666666666665</v>
      </c>
      <c r="G10" s="47">
        <f t="shared" si="2"/>
        <v>2851.6666666666665</v>
      </c>
      <c r="H10" s="47">
        <f t="shared" si="2"/>
        <v>2851.6666666666665</v>
      </c>
      <c r="I10" s="47">
        <f t="shared" si="2"/>
        <v>2851.6666666666665</v>
      </c>
      <c r="J10" s="47">
        <f t="shared" si="2"/>
        <v>2851.6666666666665</v>
      </c>
      <c r="K10" s="47">
        <f t="shared" si="2"/>
        <v>2851.6666666666665</v>
      </c>
      <c r="L10" s="47">
        <f t="shared" si="2"/>
        <v>2851.6666666666665</v>
      </c>
      <c r="M10" s="47">
        <f t="shared" si="2"/>
        <v>2851.6666666666665</v>
      </c>
      <c r="N10" s="170">
        <f t="shared" si="1"/>
        <v>34220.00000000001</v>
      </c>
    </row>
    <row r="11" spans="1:14" ht="15.75" customHeight="1">
      <c r="A11" s="169" t="s">
        <v>464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70">
        <f t="shared" si="1"/>
        <v>0</v>
      </c>
    </row>
    <row r="12" spans="1:14" ht="15.75" customHeight="1">
      <c r="A12" s="169" t="s">
        <v>463</v>
      </c>
      <c r="B12" s="47"/>
      <c r="C12" s="47"/>
      <c r="D12" s="47"/>
      <c r="E12" s="47"/>
      <c r="F12" s="47"/>
      <c r="G12" s="47"/>
      <c r="H12" s="47"/>
      <c r="I12" s="47"/>
      <c r="J12" s="47">
        <v>25000</v>
      </c>
      <c r="K12" s="47"/>
      <c r="L12" s="47"/>
      <c r="M12" s="47"/>
      <c r="N12" s="170">
        <f t="shared" si="1"/>
        <v>25000</v>
      </c>
    </row>
    <row r="13" spans="1:14" ht="15.75" customHeight="1">
      <c r="A13" s="169" t="s">
        <v>792</v>
      </c>
      <c r="B13" s="47"/>
      <c r="C13" s="47">
        <v>8015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70">
        <f t="shared" si="1"/>
        <v>8015</v>
      </c>
    </row>
    <row r="14" spans="1:14" ht="15.75" customHeight="1">
      <c r="A14" s="169" t="s">
        <v>465</v>
      </c>
      <c r="B14" s="47"/>
      <c r="C14" s="47"/>
      <c r="D14" s="47"/>
      <c r="E14" s="47">
        <f>SUM('1.Bev-kiad.'!E59)</f>
        <v>178200</v>
      </c>
      <c r="F14" s="47"/>
      <c r="G14" s="47"/>
      <c r="H14" s="47"/>
      <c r="I14" s="47"/>
      <c r="J14" s="47"/>
      <c r="K14" s="47"/>
      <c r="L14" s="47"/>
      <c r="M14" s="47"/>
      <c r="N14" s="170">
        <f t="shared" si="1"/>
        <v>178200</v>
      </c>
    </row>
    <row r="15" spans="1:14" ht="15.75" customHeight="1">
      <c r="A15" s="169" t="s">
        <v>634</v>
      </c>
      <c r="B15" s="47">
        <f>SUM('1.Bev-kiad.'!E54)</f>
        <v>1341624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70">
        <f t="shared" si="1"/>
        <v>1341624</v>
      </c>
    </row>
    <row r="16" spans="1:15" ht="15.75" customHeight="1">
      <c r="A16" s="171" t="s">
        <v>106</v>
      </c>
      <c r="B16" s="49">
        <f>SUM(B7:B15)</f>
        <v>1375671.5128205128</v>
      </c>
      <c r="C16" s="49">
        <f aca="true" t="shared" si="3" ref="C16:M16">SUM(C7:C15)</f>
        <v>241157.5128205128</v>
      </c>
      <c r="D16" s="49">
        <f t="shared" si="3"/>
        <v>134047.5128205128</v>
      </c>
      <c r="E16" s="49">
        <f t="shared" si="3"/>
        <v>217247.5128205128</v>
      </c>
      <c r="F16" s="49">
        <f t="shared" si="3"/>
        <v>34047.51282051282</v>
      </c>
      <c r="G16" s="49">
        <f t="shared" si="3"/>
        <v>52247.51282051282</v>
      </c>
      <c r="H16" s="49">
        <f t="shared" si="3"/>
        <v>64047.51282051282</v>
      </c>
      <c r="I16" s="49">
        <f t="shared" si="3"/>
        <v>64047.51282051282</v>
      </c>
      <c r="J16" s="49">
        <f t="shared" si="3"/>
        <v>159047.5128205128</v>
      </c>
      <c r="K16" s="49">
        <f t="shared" si="3"/>
        <v>34047.51282051282</v>
      </c>
      <c r="L16" s="49">
        <f t="shared" si="3"/>
        <v>34047.51282051282</v>
      </c>
      <c r="M16" s="49">
        <f t="shared" si="3"/>
        <v>80023.51282051283</v>
      </c>
      <c r="N16" s="170">
        <f>SUM(N7:N15)</f>
        <v>2489680.153846154</v>
      </c>
      <c r="O16" s="51"/>
    </row>
    <row r="17" spans="1:14" ht="16.5" customHeight="1">
      <c r="A17" s="171" t="s">
        <v>107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70"/>
    </row>
    <row r="18" spans="1:15" ht="15.75" customHeight="1">
      <c r="A18" s="169" t="s">
        <v>108</v>
      </c>
      <c r="B18" s="47">
        <f>(943389/12)</f>
        <v>78615.75</v>
      </c>
      <c r="C18" s="47">
        <f aca="true" t="shared" si="4" ref="C18:M18">(943389/12)</f>
        <v>78615.75</v>
      </c>
      <c r="D18" s="47">
        <f t="shared" si="4"/>
        <v>78615.75</v>
      </c>
      <c r="E18" s="47">
        <f t="shared" si="4"/>
        <v>78615.75</v>
      </c>
      <c r="F18" s="47">
        <f t="shared" si="4"/>
        <v>78615.75</v>
      </c>
      <c r="G18" s="47">
        <f t="shared" si="4"/>
        <v>78615.75</v>
      </c>
      <c r="H18" s="47">
        <f t="shared" si="4"/>
        <v>78615.75</v>
      </c>
      <c r="I18" s="47">
        <f t="shared" si="4"/>
        <v>78615.75</v>
      </c>
      <c r="J18" s="47">
        <f t="shared" si="4"/>
        <v>78615.75</v>
      </c>
      <c r="K18" s="47">
        <f t="shared" si="4"/>
        <v>78615.75</v>
      </c>
      <c r="L18" s="47">
        <f t="shared" si="4"/>
        <v>78615.75</v>
      </c>
      <c r="M18" s="47">
        <f t="shared" si="4"/>
        <v>78615.75</v>
      </c>
      <c r="N18" s="170">
        <f aca="true" t="shared" si="5" ref="N18:N23">SUM(B18:M18)</f>
        <v>943389</v>
      </c>
      <c r="O18" s="173"/>
    </row>
    <row r="19" spans="1:15" ht="15.75" customHeight="1">
      <c r="A19" s="169" t="s">
        <v>109</v>
      </c>
      <c r="B19" s="47"/>
      <c r="C19" s="47">
        <v>30000</v>
      </c>
      <c r="D19" s="47"/>
      <c r="E19" s="47"/>
      <c r="F19" s="47">
        <v>300000</v>
      </c>
      <c r="G19" s="47">
        <v>117800</v>
      </c>
      <c r="H19" s="47"/>
      <c r="I19" s="47">
        <v>110000</v>
      </c>
      <c r="J19" s="47">
        <v>100000</v>
      </c>
      <c r="K19" s="47">
        <v>200000</v>
      </c>
      <c r="L19" s="47">
        <v>7679</v>
      </c>
      <c r="M19" s="47">
        <v>7800</v>
      </c>
      <c r="N19" s="170">
        <f t="shared" si="5"/>
        <v>873279</v>
      </c>
      <c r="O19" s="520"/>
    </row>
    <row r="20" spans="1:15" ht="15.75" customHeight="1">
      <c r="A20" s="169" t="s">
        <v>1131</v>
      </c>
      <c r="B20" s="47"/>
      <c r="C20" s="47"/>
      <c r="D20" s="47"/>
      <c r="E20" s="47">
        <v>110000</v>
      </c>
      <c r="F20" s="47"/>
      <c r="G20" s="47"/>
      <c r="H20" s="47"/>
      <c r="I20" s="47"/>
      <c r="J20" s="47"/>
      <c r="K20" s="47"/>
      <c r="L20" s="47"/>
      <c r="M20" s="47"/>
      <c r="N20" s="170">
        <f t="shared" si="5"/>
        <v>110000</v>
      </c>
      <c r="O20" s="187"/>
    </row>
    <row r="21" spans="1:15" ht="15.75" customHeight="1">
      <c r="A21" s="169" t="s">
        <v>698</v>
      </c>
      <c r="B21" s="47">
        <v>14104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70">
        <f t="shared" si="5"/>
        <v>14104</v>
      </c>
      <c r="O21" s="187"/>
    </row>
    <row r="22" spans="1:14" ht="26.25" customHeight="1">
      <c r="A22" s="174" t="s">
        <v>110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>
        <f>(549200-72-220)</f>
        <v>548908</v>
      </c>
      <c r="N22" s="170">
        <f t="shared" si="5"/>
        <v>548908</v>
      </c>
    </row>
    <row r="23" spans="1:15" ht="15.75" customHeight="1">
      <c r="A23" s="171" t="s">
        <v>111</v>
      </c>
      <c r="B23" s="172">
        <f aca="true" t="shared" si="6" ref="B23:M23">SUM(B18:B22)</f>
        <v>92719.75</v>
      </c>
      <c r="C23" s="172">
        <f t="shared" si="6"/>
        <v>108615.75</v>
      </c>
      <c r="D23" s="172">
        <f t="shared" si="6"/>
        <v>78615.75</v>
      </c>
      <c r="E23" s="172">
        <f t="shared" si="6"/>
        <v>188615.75</v>
      </c>
      <c r="F23" s="172">
        <f t="shared" si="6"/>
        <v>378615.75</v>
      </c>
      <c r="G23" s="172">
        <f t="shared" si="6"/>
        <v>196415.75</v>
      </c>
      <c r="H23" s="172">
        <f t="shared" si="6"/>
        <v>78615.75</v>
      </c>
      <c r="I23" s="172">
        <f t="shared" si="6"/>
        <v>188615.75</v>
      </c>
      <c r="J23" s="172">
        <f t="shared" si="6"/>
        <v>178615.75</v>
      </c>
      <c r="K23" s="172">
        <f t="shared" si="6"/>
        <v>278615.75</v>
      </c>
      <c r="L23" s="172">
        <f t="shared" si="6"/>
        <v>86294.75</v>
      </c>
      <c r="M23" s="172">
        <f t="shared" si="6"/>
        <v>635323.75</v>
      </c>
      <c r="N23" s="170">
        <f t="shared" si="5"/>
        <v>2489680</v>
      </c>
      <c r="O23" s="105"/>
    </row>
    <row r="24" spans="1:14" ht="15.75" customHeight="1">
      <c r="A24" s="171" t="s">
        <v>112</v>
      </c>
      <c r="B24" s="172">
        <f aca="true" t="shared" si="7" ref="B24:N24">SUM(B16-B23)</f>
        <v>1282951.7628205128</v>
      </c>
      <c r="C24" s="172">
        <f t="shared" si="7"/>
        <v>132541.7628205128</v>
      </c>
      <c r="D24" s="172">
        <f t="shared" si="7"/>
        <v>55431.76282051281</v>
      </c>
      <c r="E24" s="172">
        <f t="shared" si="7"/>
        <v>28631.762820512813</v>
      </c>
      <c r="F24" s="172">
        <f t="shared" si="7"/>
        <v>-344568.2371794872</v>
      </c>
      <c r="G24" s="172">
        <f t="shared" si="7"/>
        <v>-144168.2371794872</v>
      </c>
      <c r="H24" s="172">
        <f t="shared" si="7"/>
        <v>-14568.23717948718</v>
      </c>
      <c r="I24" s="172">
        <f t="shared" si="7"/>
        <v>-124568.23717948719</v>
      </c>
      <c r="J24" s="172">
        <f t="shared" si="7"/>
        <v>-19568.237179487187</v>
      </c>
      <c r="K24" s="172">
        <f t="shared" si="7"/>
        <v>-244568.2371794872</v>
      </c>
      <c r="L24" s="172">
        <f t="shared" si="7"/>
        <v>-52247.23717948718</v>
      </c>
      <c r="M24" s="172">
        <f t="shared" si="7"/>
        <v>-555300.2371794871</v>
      </c>
      <c r="N24" s="170">
        <f t="shared" si="7"/>
        <v>0.15384615398943424</v>
      </c>
    </row>
    <row r="25" spans="1:14" ht="15.75" customHeight="1" thickBot="1">
      <c r="A25" s="175" t="s">
        <v>113</v>
      </c>
      <c r="B25" s="176">
        <f>SUM(B24)</f>
        <v>1282951.7628205128</v>
      </c>
      <c r="C25" s="176">
        <f aca="true" t="shared" si="8" ref="C25:M25">B25+C16-C23</f>
        <v>1415493.5256410255</v>
      </c>
      <c r="D25" s="176">
        <f t="shared" si="8"/>
        <v>1470925.2884615383</v>
      </c>
      <c r="E25" s="176">
        <f t="shared" si="8"/>
        <v>1499557.051282051</v>
      </c>
      <c r="F25" s="176">
        <f t="shared" si="8"/>
        <v>1154988.8141025638</v>
      </c>
      <c r="G25" s="176">
        <f t="shared" si="8"/>
        <v>1010820.5769230765</v>
      </c>
      <c r="H25" s="176">
        <f t="shared" si="8"/>
        <v>996252.3397435893</v>
      </c>
      <c r="I25" s="176">
        <f t="shared" si="8"/>
        <v>871684.102564102</v>
      </c>
      <c r="J25" s="176">
        <f t="shared" si="8"/>
        <v>852115.8653846148</v>
      </c>
      <c r="K25" s="176">
        <f t="shared" si="8"/>
        <v>607547.6282051277</v>
      </c>
      <c r="L25" s="176">
        <f t="shared" si="8"/>
        <v>555300.3910256405</v>
      </c>
      <c r="M25" s="176">
        <f t="shared" si="8"/>
        <v>0.15384615340735763</v>
      </c>
      <c r="N25" s="177">
        <f>SUM(N24)</f>
        <v>0.15384615398943424</v>
      </c>
    </row>
    <row r="26" spans="1:14" ht="18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178"/>
    </row>
    <row r="27" spans="1:14" ht="18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78"/>
    </row>
    <row r="28" spans="1:14" ht="15.75" customHeight="1">
      <c r="A28" s="70"/>
      <c r="B28" s="70"/>
      <c r="C28" s="70"/>
      <c r="D28" s="70"/>
      <c r="E28" s="70"/>
      <c r="F28" s="70"/>
      <c r="G28" s="179"/>
      <c r="H28" s="70"/>
      <c r="I28" s="70"/>
      <c r="J28" s="70"/>
      <c r="K28" s="70"/>
      <c r="L28" s="70"/>
      <c r="M28" s="70"/>
      <c r="N28" s="178"/>
    </row>
    <row r="29" spans="1:14" ht="15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78"/>
    </row>
    <row r="30" spans="1:14" ht="15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178"/>
    </row>
    <row r="31" spans="1:14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178"/>
    </row>
    <row r="32" spans="1:14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78"/>
    </row>
    <row r="33" spans="1:14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3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3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ht="13.5" customHeight="1"/>
    <row r="37" ht="13.5" customHeight="1"/>
  </sheetData>
  <sheetProtection/>
  <printOptions/>
  <pageMargins left="0.27" right="0.17" top="0.7480314960629921" bottom="0.984251968503937" header="0.5118110236220472" footer="0.5118110236220472"/>
  <pageSetup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734"/>
  <sheetViews>
    <sheetView zoomScalePageLayoutView="0" workbookViewId="0" topLeftCell="A20">
      <selection activeCell="D79" sqref="D79"/>
    </sheetView>
  </sheetViews>
  <sheetFormatPr defaultColWidth="9.00390625" defaultRowHeight="12.75"/>
  <cols>
    <col min="1" max="1" width="6.25390625" style="2" customWidth="1"/>
    <col min="2" max="2" width="63.00390625" style="0" customWidth="1"/>
    <col min="3" max="3" width="14.00390625" style="51" customWidth="1"/>
    <col min="4" max="4" width="13.375" style="51" customWidth="1"/>
    <col min="5" max="5" width="13.00390625" style="51" customWidth="1"/>
    <col min="6" max="6" width="13.25390625" style="51" customWidth="1"/>
    <col min="7" max="7" width="18.75390625" style="11" customWidth="1"/>
    <col min="8" max="9" width="18.75390625" style="0" customWidth="1"/>
  </cols>
  <sheetData>
    <row r="1" spans="1:48" ht="15" customHeight="1">
      <c r="A1" s="72"/>
      <c r="B1" s="336"/>
      <c r="C1" s="337"/>
      <c r="D1" s="338"/>
      <c r="E1" s="338"/>
      <c r="F1" s="338" t="s">
        <v>460</v>
      </c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2"/>
      <c r="B2" s="955" t="s">
        <v>29</v>
      </c>
      <c r="C2" s="955"/>
      <c r="D2" s="955"/>
      <c r="E2" s="955"/>
      <c r="F2" s="955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2"/>
      <c r="B3" s="955" t="s">
        <v>1098</v>
      </c>
      <c r="C3" s="955"/>
      <c r="D3" s="955"/>
      <c r="E3" s="955"/>
      <c r="F3" s="955"/>
      <c r="G3" s="4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2"/>
      <c r="B4" s="72"/>
      <c r="C4" s="337"/>
      <c r="D4" s="338"/>
      <c r="E4" s="338"/>
      <c r="F4" s="338" t="s">
        <v>0</v>
      </c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333" t="s">
        <v>162</v>
      </c>
      <c r="B5" s="183" t="s">
        <v>15</v>
      </c>
      <c r="C5" s="60" t="s">
        <v>467</v>
      </c>
      <c r="D5" s="60" t="s">
        <v>577</v>
      </c>
      <c r="E5" s="60" t="s">
        <v>794</v>
      </c>
      <c r="F5" s="60" t="s">
        <v>1120</v>
      </c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2.5" customHeight="1">
      <c r="A6" s="275" t="s">
        <v>453</v>
      </c>
      <c r="B6" s="268" t="s">
        <v>438</v>
      </c>
      <c r="C6" s="323">
        <f>SUM(C7:C48)</f>
        <v>969856</v>
      </c>
      <c r="D6" s="323">
        <f>SUM(D7:D48)</f>
        <v>830000</v>
      </c>
      <c r="E6" s="323">
        <f>SUM(E7:E48)</f>
        <v>842000</v>
      </c>
      <c r="F6" s="323">
        <f>SUM(F7:F48)</f>
        <v>860000</v>
      </c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20" t="s">
        <v>165</v>
      </c>
      <c r="B7" s="269" t="s">
        <v>268</v>
      </c>
      <c r="C7" s="52">
        <f>SUM('1.Bev-kiad.'!E7)</f>
        <v>405326</v>
      </c>
      <c r="D7" s="52">
        <v>430000</v>
      </c>
      <c r="E7" s="52">
        <v>430000</v>
      </c>
      <c r="F7" s="52">
        <v>440000</v>
      </c>
      <c r="G7" s="4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0" t="s">
        <v>166</v>
      </c>
      <c r="B8" s="271" t="s">
        <v>174</v>
      </c>
      <c r="C8" s="7"/>
      <c r="D8" s="7"/>
      <c r="E8" s="7"/>
      <c r="F8" s="7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0" t="s">
        <v>215</v>
      </c>
      <c r="B9" s="271" t="s">
        <v>216</v>
      </c>
      <c r="C9" s="7"/>
      <c r="D9" s="7"/>
      <c r="E9" s="7"/>
      <c r="F9" s="7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0" t="s">
        <v>167</v>
      </c>
      <c r="B10" s="271" t="s">
        <v>171</v>
      </c>
      <c r="C10" s="8"/>
      <c r="D10" s="8"/>
      <c r="E10" s="8"/>
      <c r="F10" s="8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0" t="s">
        <v>168</v>
      </c>
      <c r="B11" s="271" t="s">
        <v>172</v>
      </c>
      <c r="C11" s="14"/>
      <c r="D11" s="14"/>
      <c r="E11" s="14"/>
      <c r="F11" s="14"/>
      <c r="G11" s="4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0" t="s">
        <v>169</v>
      </c>
      <c r="B12" s="271" t="s">
        <v>173</v>
      </c>
      <c r="C12" s="19"/>
      <c r="D12" s="19"/>
      <c r="E12" s="19"/>
      <c r="F12" s="19"/>
      <c r="G12" s="4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0" t="s">
        <v>170</v>
      </c>
      <c r="B13" s="271" t="s">
        <v>175</v>
      </c>
      <c r="C13" s="19"/>
      <c r="D13" s="19"/>
      <c r="E13" s="19"/>
      <c r="F13" s="19"/>
      <c r="G13" s="4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20" t="s">
        <v>176</v>
      </c>
      <c r="B14" s="269" t="s">
        <v>269</v>
      </c>
      <c r="C14" s="57">
        <f>SUM('1.Bev-kiad.'!E14)</f>
        <v>199095</v>
      </c>
      <c r="D14" s="57">
        <v>50000</v>
      </c>
      <c r="E14" s="57">
        <v>50000</v>
      </c>
      <c r="F14" s="57">
        <v>50000</v>
      </c>
      <c r="G14" s="4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0" t="s">
        <v>177</v>
      </c>
      <c r="B15" s="271" t="s">
        <v>184</v>
      </c>
      <c r="C15" s="7"/>
      <c r="D15" s="7"/>
      <c r="E15" s="7"/>
      <c r="F15" s="7"/>
      <c r="G15" s="4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0" t="s">
        <v>217</v>
      </c>
      <c r="B16" s="271" t="s">
        <v>218</v>
      </c>
      <c r="C16" s="19"/>
      <c r="D16" s="19"/>
      <c r="E16" s="19"/>
      <c r="F16" s="19"/>
      <c r="G16" s="4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0" t="s">
        <v>178</v>
      </c>
      <c r="B17" s="271" t="s">
        <v>181</v>
      </c>
      <c r="C17" s="19"/>
      <c r="D17" s="19"/>
      <c r="E17" s="19"/>
      <c r="F17" s="19"/>
      <c r="G17" s="4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0" t="s">
        <v>179</v>
      </c>
      <c r="B18" s="271" t="s">
        <v>182</v>
      </c>
      <c r="C18" s="19"/>
      <c r="D18" s="19"/>
      <c r="E18" s="19"/>
      <c r="F18" s="19"/>
      <c r="G18" s="4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0" t="s">
        <v>180</v>
      </c>
      <c r="B19" s="271" t="s">
        <v>183</v>
      </c>
      <c r="C19" s="19"/>
      <c r="D19" s="19"/>
      <c r="E19" s="19"/>
      <c r="F19" s="19"/>
      <c r="G19" s="4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20" t="s">
        <v>185</v>
      </c>
      <c r="B20" s="269" t="s">
        <v>141</v>
      </c>
      <c r="C20" s="57">
        <f>SUM('1.Bev-kiad.'!E20)</f>
        <v>298200</v>
      </c>
      <c r="D20" s="57">
        <v>320000</v>
      </c>
      <c r="E20" s="57">
        <v>330000</v>
      </c>
      <c r="F20" s="57">
        <v>335000</v>
      </c>
      <c r="G20" s="4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0" t="s">
        <v>186</v>
      </c>
      <c r="B21" s="271" t="s">
        <v>192</v>
      </c>
      <c r="C21" s="19"/>
      <c r="D21" s="19"/>
      <c r="E21" s="19"/>
      <c r="F21" s="19"/>
      <c r="G21" s="4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0" t="s">
        <v>187</v>
      </c>
      <c r="B22" s="271" t="s">
        <v>193</v>
      </c>
      <c r="C22" s="19"/>
      <c r="D22" s="19"/>
      <c r="E22" s="19"/>
      <c r="F22" s="19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0" t="s">
        <v>188</v>
      </c>
      <c r="B23" s="272" t="s">
        <v>194</v>
      </c>
      <c r="C23" s="64"/>
      <c r="D23" s="64"/>
      <c r="E23" s="64"/>
      <c r="F23" s="64"/>
      <c r="G23" s="4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0" t="s">
        <v>189</v>
      </c>
      <c r="B24" s="271" t="s">
        <v>221</v>
      </c>
      <c r="C24" s="53"/>
      <c r="D24" s="53"/>
      <c r="E24" s="53"/>
      <c r="F24" s="53"/>
      <c r="G24" s="6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6" customFormat="1" ht="13.5" customHeight="1" hidden="1">
      <c r="A25" s="10" t="s">
        <v>190</v>
      </c>
      <c r="B25" s="271" t="s">
        <v>222</v>
      </c>
      <c r="C25" s="19"/>
      <c r="D25" s="19"/>
      <c r="E25" s="19"/>
      <c r="F25" s="19"/>
      <c r="G25" s="4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6" customFormat="1" ht="13.5" customHeight="1" hidden="1">
      <c r="A26" s="10" t="s">
        <v>191</v>
      </c>
      <c r="B26" s="271" t="s">
        <v>195</v>
      </c>
      <c r="C26" s="19"/>
      <c r="D26" s="19"/>
      <c r="E26" s="19"/>
      <c r="F26" s="19"/>
      <c r="G26" s="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6" customFormat="1" ht="18" customHeight="1">
      <c r="A27" s="20" t="s">
        <v>196</v>
      </c>
      <c r="B27" s="269" t="s">
        <v>270</v>
      </c>
      <c r="C27" s="57">
        <f>SUM('1.Bev-kiad.'!E27)</f>
        <v>34220</v>
      </c>
      <c r="D27" s="57">
        <v>30000</v>
      </c>
      <c r="E27" s="57">
        <v>32000</v>
      </c>
      <c r="F27" s="57">
        <v>35000</v>
      </c>
      <c r="G27" s="4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0" t="s">
        <v>199</v>
      </c>
      <c r="B28" s="271" t="s">
        <v>197</v>
      </c>
      <c r="C28" s="19"/>
      <c r="D28" s="19"/>
      <c r="E28" s="19"/>
      <c r="F28" s="19"/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6" customFormat="1" ht="13.5" customHeight="1" hidden="1">
      <c r="A29" s="10" t="s">
        <v>200</v>
      </c>
      <c r="B29" s="271" t="s">
        <v>198</v>
      </c>
      <c r="C29" s="19"/>
      <c r="D29" s="19"/>
      <c r="E29" s="19"/>
      <c r="F29" s="19"/>
      <c r="G29" s="4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6" customFormat="1" ht="13.5" customHeight="1" hidden="1">
      <c r="A30" s="10" t="s">
        <v>201</v>
      </c>
      <c r="B30" s="271" t="s">
        <v>204</v>
      </c>
      <c r="C30" s="14"/>
      <c r="D30" s="14"/>
      <c r="E30" s="14"/>
      <c r="F30" s="14"/>
      <c r="G30" s="4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0" t="s">
        <v>202</v>
      </c>
      <c r="B31" s="272" t="s">
        <v>205</v>
      </c>
      <c r="C31" s="10"/>
      <c r="D31" s="10"/>
      <c r="E31" s="10"/>
      <c r="F31" s="10"/>
      <c r="G31" s="4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0" t="s">
        <v>203</v>
      </c>
      <c r="B32" s="31" t="s">
        <v>206</v>
      </c>
      <c r="C32" s="10"/>
      <c r="D32" s="10"/>
      <c r="E32" s="10"/>
      <c r="F32" s="10"/>
      <c r="G32" s="4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0" t="s">
        <v>207</v>
      </c>
      <c r="B33" s="31" t="s">
        <v>208</v>
      </c>
      <c r="C33" s="10"/>
      <c r="D33" s="10"/>
      <c r="E33" s="10"/>
      <c r="F33" s="10"/>
      <c r="G33" s="4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0" t="s">
        <v>209</v>
      </c>
      <c r="B34" s="31" t="s">
        <v>210</v>
      </c>
      <c r="C34" s="10"/>
      <c r="D34" s="10"/>
      <c r="E34" s="10"/>
      <c r="F34" s="10"/>
      <c r="G34" s="4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0" t="s">
        <v>211</v>
      </c>
      <c r="B35" s="31" t="s">
        <v>212</v>
      </c>
      <c r="C35" s="10"/>
      <c r="D35" s="10"/>
      <c r="E35" s="10"/>
      <c r="F35" s="10"/>
      <c r="G35" s="4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0" t="s">
        <v>213</v>
      </c>
      <c r="B36" s="31" t="s">
        <v>214</v>
      </c>
      <c r="C36" s="10"/>
      <c r="D36" s="10"/>
      <c r="E36" s="10"/>
      <c r="F36" s="10"/>
      <c r="G36" s="4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0" t="s">
        <v>219</v>
      </c>
      <c r="B37" s="31" t="s">
        <v>220</v>
      </c>
      <c r="C37" s="10"/>
      <c r="D37" s="10"/>
      <c r="E37" s="10"/>
      <c r="F37" s="10"/>
      <c r="G37" s="4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20" t="s">
        <v>223</v>
      </c>
      <c r="B38" s="269" t="s">
        <v>271</v>
      </c>
      <c r="C38" s="57">
        <f>SUM('1.Bev-kiad.'!E38)</f>
        <v>0</v>
      </c>
      <c r="D38" s="57">
        <v>0</v>
      </c>
      <c r="E38" s="57"/>
      <c r="F38" s="57">
        <v>0</v>
      </c>
      <c r="G38" s="4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0" t="s">
        <v>224</v>
      </c>
      <c r="B39" s="31" t="s">
        <v>229</v>
      </c>
      <c r="C39" s="10"/>
      <c r="D39" s="10"/>
      <c r="E39" s="10"/>
      <c r="F39" s="10"/>
      <c r="G39" s="4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0" t="s">
        <v>225</v>
      </c>
      <c r="B40" s="31" t="s">
        <v>230</v>
      </c>
      <c r="C40" s="10"/>
      <c r="D40" s="10"/>
      <c r="E40" s="10"/>
      <c r="F40" s="10"/>
      <c r="G40" s="4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0" t="s">
        <v>226</v>
      </c>
      <c r="B41" s="31" t="s">
        <v>231</v>
      </c>
      <c r="C41" s="10"/>
      <c r="D41" s="10"/>
      <c r="E41" s="10"/>
      <c r="F41" s="10"/>
      <c r="G41" s="4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0" t="s">
        <v>227</v>
      </c>
      <c r="B42" s="31" t="s">
        <v>232</v>
      </c>
      <c r="C42" s="10"/>
      <c r="D42" s="10"/>
      <c r="E42" s="10"/>
      <c r="F42" s="10"/>
      <c r="G42" s="4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261" t="s">
        <v>228</v>
      </c>
      <c r="B43" s="31" t="s">
        <v>233</v>
      </c>
      <c r="C43" s="10"/>
      <c r="D43" s="10"/>
      <c r="E43" s="10"/>
      <c r="F43" s="10"/>
      <c r="G43" s="4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20" t="s">
        <v>234</v>
      </c>
      <c r="B44" s="269" t="s">
        <v>272</v>
      </c>
      <c r="C44" s="57">
        <f>SUM('1.Bev-kiad.'!E44)</f>
        <v>25000</v>
      </c>
      <c r="D44" s="57"/>
      <c r="E44" s="57"/>
      <c r="F44" s="57"/>
      <c r="G44" s="4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261" t="s">
        <v>240</v>
      </c>
      <c r="B45" s="31" t="s">
        <v>237</v>
      </c>
      <c r="C45" s="10"/>
      <c r="D45" s="10"/>
      <c r="E45" s="10"/>
      <c r="F45" s="10"/>
      <c r="G45" s="4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261" t="s">
        <v>241</v>
      </c>
      <c r="B46" s="31" t="s">
        <v>238</v>
      </c>
      <c r="C46" s="10"/>
      <c r="D46" s="10"/>
      <c r="E46" s="10"/>
      <c r="F46" s="10"/>
      <c r="G46" s="4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261" t="s">
        <v>242</v>
      </c>
      <c r="B47" s="31" t="s">
        <v>239</v>
      </c>
      <c r="C47" s="10"/>
      <c r="D47" s="10"/>
      <c r="E47" s="10"/>
      <c r="F47" s="10"/>
      <c r="G47" s="4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20" t="s">
        <v>235</v>
      </c>
      <c r="B48" s="269" t="s">
        <v>273</v>
      </c>
      <c r="C48" s="57">
        <f>SUM('1.Bev-kiad.'!E48)</f>
        <v>8015</v>
      </c>
      <c r="D48" s="57">
        <v>0</v>
      </c>
      <c r="E48" s="57"/>
      <c r="F48" s="57">
        <v>0</v>
      </c>
      <c r="G48" s="4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0" t="s">
        <v>243</v>
      </c>
      <c r="B49" s="31" t="s">
        <v>246</v>
      </c>
      <c r="C49" s="57"/>
      <c r="D49" s="57"/>
      <c r="E49" s="57"/>
      <c r="F49" s="57"/>
      <c r="G49" s="4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0" t="s">
        <v>244</v>
      </c>
      <c r="B50" s="31" t="s">
        <v>247</v>
      </c>
      <c r="C50" s="57"/>
      <c r="D50" s="57"/>
      <c r="E50" s="57"/>
      <c r="F50" s="57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5" t="s">
        <v>245</v>
      </c>
      <c r="B51" s="278" t="s">
        <v>248</v>
      </c>
      <c r="C51" s="279"/>
      <c r="D51" s="279"/>
      <c r="E51" s="279"/>
      <c r="F51" s="279"/>
      <c r="G51" s="4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2.5" customHeight="1">
      <c r="A52" s="37" t="s">
        <v>236</v>
      </c>
      <c r="B52" s="268" t="s">
        <v>450</v>
      </c>
      <c r="C52" s="58">
        <f>SUM(C53+C57)</f>
        <v>1519824</v>
      </c>
      <c r="D52" s="58">
        <f>SUM(D53+D57)</f>
        <v>120000</v>
      </c>
      <c r="E52" s="58">
        <f>SUM(E53+E57)</f>
        <v>120000</v>
      </c>
      <c r="F52" s="58">
        <f>SUM(F53+F57)</f>
        <v>100000</v>
      </c>
      <c r="G52" s="4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3.5" customHeight="1">
      <c r="A53" s="37"/>
      <c r="B53" s="35" t="s">
        <v>275</v>
      </c>
      <c r="C53" s="57">
        <f>SUM(C54)</f>
        <v>1341624</v>
      </c>
      <c r="D53" s="57">
        <f>SUM(D54)</f>
        <v>120000</v>
      </c>
      <c r="E53" s="57">
        <f>SUM(E54)</f>
        <v>120000</v>
      </c>
      <c r="F53" s="57">
        <f>SUM(F54)</f>
        <v>100000</v>
      </c>
      <c r="G53" s="4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0"/>
      <c r="B54" s="274" t="s">
        <v>627</v>
      </c>
      <c r="C54" s="17">
        <f>SUM(C55:C56)</f>
        <v>1341624</v>
      </c>
      <c r="D54" s="17">
        <f>SUM(D55:D56)</f>
        <v>120000</v>
      </c>
      <c r="E54" s="17">
        <f>SUM(E55:E56)</f>
        <v>120000</v>
      </c>
      <c r="F54" s="17">
        <f>SUM(F55:F56)</f>
        <v>100000</v>
      </c>
      <c r="G54" s="4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0"/>
      <c r="B55" s="274" t="s">
        <v>625</v>
      </c>
      <c r="C55" s="18">
        <f>SUM('1.Bev-kiad.'!E55)</f>
        <v>246027</v>
      </c>
      <c r="D55" s="18">
        <v>120000</v>
      </c>
      <c r="E55" s="18">
        <v>120000</v>
      </c>
      <c r="F55" s="18">
        <v>100000</v>
      </c>
      <c r="G55" s="4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0"/>
      <c r="B56" s="274" t="s">
        <v>626</v>
      </c>
      <c r="C56" s="18">
        <f>SUM('1.Bev-kiad.'!E56)</f>
        <v>1095597</v>
      </c>
      <c r="D56" s="18">
        <v>0</v>
      </c>
      <c r="E56" s="18"/>
      <c r="F56" s="18">
        <v>0</v>
      </c>
      <c r="G56" s="4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3.5" customHeight="1">
      <c r="A57" s="10"/>
      <c r="B57" s="35" t="s">
        <v>276</v>
      </c>
      <c r="C57" s="57">
        <f>SUM(C58:C59)</f>
        <v>178200</v>
      </c>
      <c r="D57" s="57">
        <f>SUM(D58:D59)</f>
        <v>0</v>
      </c>
      <c r="E57" s="57">
        <f>SUM(E58:E59)</f>
        <v>0</v>
      </c>
      <c r="F57" s="57">
        <f>SUM(F58:F59)</f>
        <v>0</v>
      </c>
      <c r="G57" s="4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0"/>
      <c r="B58" s="271" t="s">
        <v>298</v>
      </c>
      <c r="C58" s="19"/>
      <c r="D58" s="19"/>
      <c r="E58" s="19"/>
      <c r="F58" s="19"/>
      <c r="G58" s="4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10"/>
      <c r="B59" s="334" t="s">
        <v>299</v>
      </c>
      <c r="C59" s="46">
        <f>SUM('1.Bev-kiad.'!E59)</f>
        <v>178200</v>
      </c>
      <c r="D59" s="46"/>
      <c r="E59" s="46"/>
      <c r="F59" s="46">
        <v>0</v>
      </c>
      <c r="G59" s="4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80"/>
      <c r="B60" s="62" t="s">
        <v>6</v>
      </c>
      <c r="C60" s="335">
        <f>SUM(C6+C52)</f>
        <v>2489680</v>
      </c>
      <c r="D60" s="335">
        <f>SUM(D6+D52)</f>
        <v>950000</v>
      </c>
      <c r="E60" s="335">
        <f>SUM(E6+E52)</f>
        <v>962000</v>
      </c>
      <c r="F60" s="63">
        <f>SUM(F6+F52)</f>
        <v>960000</v>
      </c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75" t="s">
        <v>452</v>
      </c>
      <c r="B61" s="273" t="s">
        <v>440</v>
      </c>
      <c r="C61" s="325">
        <f>SUM(C62+C66)</f>
        <v>2475576.270511811</v>
      </c>
      <c r="D61" s="325">
        <f>SUM(D62+D66)</f>
        <v>945000</v>
      </c>
      <c r="E61" s="325">
        <f>SUM(E62+E66)</f>
        <v>957000</v>
      </c>
      <c r="F61" s="325">
        <f>SUM(F62+F66)</f>
        <v>955000</v>
      </c>
      <c r="G61" s="4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20" t="s">
        <v>249</v>
      </c>
      <c r="B62" s="276" t="s">
        <v>9</v>
      </c>
      <c r="C62" s="277">
        <f>SUM(C63:C65)</f>
        <v>943097.270511811</v>
      </c>
      <c r="D62" s="277">
        <f>SUM(D63:D65)</f>
        <v>785000</v>
      </c>
      <c r="E62" s="277">
        <f>SUM(E63:E65)</f>
        <v>785000</v>
      </c>
      <c r="F62" s="277">
        <f>SUM(F63:F65)</f>
        <v>780000</v>
      </c>
      <c r="G62" s="4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0"/>
      <c r="B63" s="270" t="s">
        <v>10</v>
      </c>
      <c r="C63" s="19">
        <f>SUM('1.Bev-kiad.'!E63)</f>
        <v>695210.270511811</v>
      </c>
      <c r="D63" s="19">
        <v>540000</v>
      </c>
      <c r="E63" s="19">
        <v>540000</v>
      </c>
      <c r="F63" s="19">
        <v>530000</v>
      </c>
      <c r="G63" s="4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0"/>
      <c r="B64" s="271" t="s">
        <v>468</v>
      </c>
      <c r="C64" s="19">
        <f>SUM('1.Bev-kiad.'!E64)</f>
        <v>203426</v>
      </c>
      <c r="D64" s="19">
        <v>205000</v>
      </c>
      <c r="E64" s="19">
        <v>210000</v>
      </c>
      <c r="F64" s="19">
        <v>210000</v>
      </c>
      <c r="G64" s="4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3.5" customHeight="1">
      <c r="A65" s="10"/>
      <c r="B65" s="281" t="s">
        <v>252</v>
      </c>
      <c r="C65" s="19">
        <f>SUM('1.Bev-kiad.'!E65)</f>
        <v>44461</v>
      </c>
      <c r="D65" s="19">
        <v>40000</v>
      </c>
      <c r="E65" s="19">
        <v>35000</v>
      </c>
      <c r="F65" s="19">
        <v>40000</v>
      </c>
      <c r="G65" s="4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8" customHeight="1">
      <c r="A66" s="20" t="s">
        <v>250</v>
      </c>
      <c r="B66" s="269" t="s">
        <v>274</v>
      </c>
      <c r="C66" s="21">
        <f>SUM(C67+C68+C69)</f>
        <v>1532479</v>
      </c>
      <c r="D66" s="21">
        <f>SUM(D67+D68+D69)</f>
        <v>160000</v>
      </c>
      <c r="E66" s="21">
        <f>SUM(E67+E68+E69)</f>
        <v>172000</v>
      </c>
      <c r="F66" s="21">
        <f>SUM(F67+F68+F69)</f>
        <v>175000</v>
      </c>
      <c r="G66" s="4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6" customFormat="1" ht="13.5" customHeight="1">
      <c r="A67" s="10"/>
      <c r="B67" s="271" t="s">
        <v>432</v>
      </c>
      <c r="C67" s="19">
        <f>SUM('1.Bev-kiad.'!E68)</f>
        <v>117800</v>
      </c>
      <c r="D67" s="19">
        <v>152000</v>
      </c>
      <c r="E67" s="19">
        <v>155000</v>
      </c>
      <c r="F67" s="19">
        <v>162000</v>
      </c>
      <c r="G67" s="4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6" customFormat="1" ht="13.5" customHeight="1">
      <c r="A68" s="10"/>
      <c r="B68" s="271" t="s">
        <v>433</v>
      </c>
      <c r="C68" s="19">
        <f>SUM('1.Bev-kiad.'!E69)</f>
        <v>755479</v>
      </c>
      <c r="D68" s="19">
        <v>0</v>
      </c>
      <c r="E68" s="19"/>
      <c r="F68" s="19">
        <v>0</v>
      </c>
      <c r="G68" s="4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6" customFormat="1" ht="13.5" customHeight="1">
      <c r="A69" s="10"/>
      <c r="B69" s="271" t="s">
        <v>434</v>
      </c>
      <c r="C69" s="19">
        <f>SUM(C70:C71)</f>
        <v>659200</v>
      </c>
      <c r="D69" s="19">
        <f>SUM(D70:D71)</f>
        <v>8000</v>
      </c>
      <c r="E69" s="19">
        <f>SUM(E70:E71)</f>
        <v>17000</v>
      </c>
      <c r="F69" s="19">
        <f>SUM(F70:F71)</f>
        <v>13000</v>
      </c>
      <c r="G69" s="4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6" customFormat="1" ht="13.5" customHeight="1">
      <c r="A70" s="10"/>
      <c r="B70" s="271" t="s">
        <v>446</v>
      </c>
      <c r="C70" s="19">
        <f>SUM('1.Bev-kiad.'!E71)</f>
        <v>110000</v>
      </c>
      <c r="D70" s="19">
        <v>0</v>
      </c>
      <c r="E70" s="19"/>
      <c r="F70" s="19">
        <v>0</v>
      </c>
      <c r="G70" s="4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s="66" customFormat="1" ht="13.5" customHeight="1">
      <c r="A71" s="10"/>
      <c r="B71" s="271" t="s">
        <v>447</v>
      </c>
      <c r="C71" s="19">
        <f>SUM('1.Bev-kiad.'!E72)</f>
        <v>549200</v>
      </c>
      <c r="D71" s="19">
        <v>8000</v>
      </c>
      <c r="E71" s="19">
        <v>17000</v>
      </c>
      <c r="F71" s="19">
        <v>13000</v>
      </c>
      <c r="G71" s="4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66" customFormat="1" ht="22.5" customHeight="1" thickBot="1">
      <c r="A72" s="74" t="s">
        <v>251</v>
      </c>
      <c r="B72" s="327" t="s">
        <v>451</v>
      </c>
      <c r="C72" s="320">
        <f>SUM('1.Bev-kiad.'!E73)</f>
        <v>14104</v>
      </c>
      <c r="D72" s="320">
        <v>5000</v>
      </c>
      <c r="E72" s="320">
        <v>5000</v>
      </c>
      <c r="F72" s="320">
        <v>5000</v>
      </c>
      <c r="G72" s="4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25.5" customHeight="1" thickBot="1">
      <c r="A73" s="74"/>
      <c r="B73" s="62" t="s">
        <v>8</v>
      </c>
      <c r="C73" s="335">
        <f>SUM(C61+C72)</f>
        <v>2489680.270511811</v>
      </c>
      <c r="D73" s="335">
        <f>SUM(D61+D72)</f>
        <v>950000</v>
      </c>
      <c r="E73" s="335">
        <f>SUM(E61+E72)</f>
        <v>962000</v>
      </c>
      <c r="F73" s="63">
        <f>SUM(F61+F72)</f>
        <v>960000</v>
      </c>
      <c r="G73" s="4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2"/>
      <c r="E74" s="2"/>
      <c r="F74" s="2"/>
      <c r="G74" s="4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4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2"/>
      <c r="E76" s="2"/>
      <c r="F76" s="2"/>
      <c r="G76" s="4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4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4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4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4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4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4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4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4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4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4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4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4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4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4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4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4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4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4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4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4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4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4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4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4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4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4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4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4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4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4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4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4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4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4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4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4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4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4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4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4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4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4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4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4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4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4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4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4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4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4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4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4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4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4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4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4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4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4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4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4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4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4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4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4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4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4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4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4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43"/>
      <c r="D158" s="43"/>
      <c r="E158" s="43"/>
      <c r="F158" s="43"/>
      <c r="G158" s="4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43"/>
      <c r="D159" s="43"/>
      <c r="E159" s="43"/>
      <c r="F159" s="43"/>
      <c r="G159" s="4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43"/>
      <c r="D160" s="43"/>
      <c r="E160" s="43"/>
      <c r="F160" s="43"/>
      <c r="G160" s="4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43"/>
      <c r="D161" s="43"/>
      <c r="E161" s="43"/>
      <c r="F161" s="43"/>
      <c r="G161" s="4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43"/>
      <c r="D162" s="43"/>
      <c r="E162" s="43"/>
      <c r="F162" s="43"/>
      <c r="G162" s="4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43"/>
      <c r="D163" s="43"/>
      <c r="E163" s="43"/>
      <c r="F163" s="43"/>
      <c r="G163" s="4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43"/>
      <c r="D164" s="43"/>
      <c r="E164" s="43"/>
      <c r="F164" s="43"/>
      <c r="G164" s="4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43"/>
      <c r="D165" s="43"/>
      <c r="E165" s="43"/>
      <c r="F165" s="43"/>
      <c r="G165" s="4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43"/>
      <c r="D166" s="43"/>
      <c r="E166" s="43"/>
      <c r="F166" s="43"/>
      <c r="G166" s="4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43"/>
      <c r="D167" s="43"/>
      <c r="E167" s="43"/>
      <c r="F167" s="43"/>
      <c r="G167" s="4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43"/>
      <c r="D168" s="43"/>
      <c r="E168" s="43"/>
      <c r="F168" s="43"/>
      <c r="G168" s="4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43"/>
      <c r="D169" s="43"/>
      <c r="E169" s="43"/>
      <c r="F169" s="43"/>
      <c r="G169" s="4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43"/>
      <c r="D170" s="43"/>
      <c r="E170" s="43"/>
      <c r="F170" s="43"/>
      <c r="G170" s="4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43"/>
      <c r="D171" s="43"/>
      <c r="E171" s="43"/>
      <c r="F171" s="43"/>
      <c r="G171" s="4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43"/>
      <c r="D172" s="43"/>
      <c r="E172" s="43"/>
      <c r="F172" s="43"/>
      <c r="G172" s="4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43"/>
      <c r="D173" s="43"/>
      <c r="E173" s="43"/>
      <c r="F173" s="43"/>
      <c r="G173" s="4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43"/>
      <c r="D174" s="43"/>
      <c r="E174" s="43"/>
      <c r="F174" s="43"/>
      <c r="G174" s="4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43"/>
      <c r="D175" s="43"/>
      <c r="E175" s="43"/>
      <c r="F175" s="43"/>
      <c r="G175" s="4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43"/>
      <c r="D176" s="43"/>
      <c r="E176" s="43"/>
      <c r="F176" s="43"/>
      <c r="G176" s="4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43"/>
      <c r="D177" s="43"/>
      <c r="E177" s="43"/>
      <c r="F177" s="43"/>
      <c r="G177" s="4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43"/>
      <c r="D178" s="43"/>
      <c r="E178" s="43"/>
      <c r="F178" s="43"/>
      <c r="G178" s="4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43"/>
      <c r="D179" s="43"/>
      <c r="E179" s="43"/>
      <c r="F179" s="43"/>
      <c r="G179" s="4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43"/>
      <c r="D180" s="43"/>
      <c r="E180" s="43"/>
      <c r="F180" s="43"/>
      <c r="G180" s="4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43"/>
      <c r="D181" s="43"/>
      <c r="E181" s="43"/>
      <c r="F181" s="43"/>
      <c r="G181" s="4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43"/>
      <c r="D182" s="43"/>
      <c r="E182" s="43"/>
      <c r="F182" s="43"/>
      <c r="G182" s="4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43"/>
      <c r="D183" s="43"/>
      <c r="E183" s="43"/>
      <c r="F183" s="43"/>
      <c r="G183" s="4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43"/>
      <c r="D184" s="43"/>
      <c r="E184" s="43"/>
      <c r="F184" s="43"/>
      <c r="G184" s="4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43"/>
      <c r="D185" s="43"/>
      <c r="E185" s="43"/>
      <c r="F185" s="43"/>
      <c r="G185" s="4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43"/>
      <c r="D186" s="43"/>
      <c r="E186" s="43"/>
      <c r="F186" s="43"/>
      <c r="G186" s="4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43"/>
      <c r="D187" s="43"/>
      <c r="E187" s="43"/>
      <c r="F187" s="43"/>
      <c r="G187" s="4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43"/>
      <c r="D188" s="43"/>
      <c r="E188" s="43"/>
      <c r="F188" s="43"/>
      <c r="G188" s="4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43"/>
      <c r="D189" s="43"/>
      <c r="E189" s="43"/>
      <c r="F189" s="43"/>
      <c r="G189" s="4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43"/>
      <c r="D190" s="43"/>
      <c r="E190" s="43"/>
      <c r="F190" s="43"/>
      <c r="G190" s="4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43"/>
      <c r="D191" s="43"/>
      <c r="E191" s="43"/>
      <c r="F191" s="43"/>
      <c r="G191" s="4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43"/>
      <c r="D192" s="43"/>
      <c r="E192" s="43"/>
      <c r="F192" s="43"/>
      <c r="G192" s="4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43"/>
      <c r="D193" s="43"/>
      <c r="E193" s="43"/>
      <c r="F193" s="43"/>
      <c r="G193" s="4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43"/>
      <c r="D194" s="43"/>
      <c r="E194" s="43"/>
      <c r="F194" s="43"/>
      <c r="G194" s="4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43"/>
      <c r="D195" s="43"/>
      <c r="E195" s="43"/>
      <c r="F195" s="43"/>
      <c r="G195" s="4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43"/>
      <c r="D196" s="43"/>
      <c r="E196" s="43"/>
      <c r="F196" s="43"/>
      <c r="G196" s="4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43"/>
      <c r="D197" s="43"/>
      <c r="E197" s="43"/>
      <c r="F197" s="43"/>
      <c r="G197" s="4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43"/>
      <c r="D198" s="43"/>
      <c r="E198" s="43"/>
      <c r="F198" s="43"/>
      <c r="G198" s="4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43"/>
      <c r="D199" s="43"/>
      <c r="E199" s="43"/>
      <c r="F199" s="43"/>
      <c r="G199" s="4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43"/>
      <c r="D200" s="43"/>
      <c r="E200" s="43"/>
      <c r="F200" s="43"/>
      <c r="G200" s="4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43"/>
      <c r="D201" s="43"/>
      <c r="E201" s="43"/>
      <c r="F201" s="43"/>
      <c r="G201" s="4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43"/>
      <c r="D202" s="43"/>
      <c r="E202" s="43"/>
      <c r="F202" s="43"/>
      <c r="G202" s="4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43"/>
      <c r="D203" s="43"/>
      <c r="E203" s="43"/>
      <c r="F203" s="43"/>
      <c r="G203" s="4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43"/>
      <c r="D204" s="43"/>
      <c r="E204" s="43"/>
      <c r="F204" s="43"/>
      <c r="G204" s="4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43"/>
      <c r="D205" s="43"/>
      <c r="E205" s="43"/>
      <c r="F205" s="43"/>
      <c r="G205" s="4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43"/>
      <c r="D206" s="43"/>
      <c r="E206" s="43"/>
      <c r="F206" s="43"/>
      <c r="G206" s="4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43"/>
      <c r="D207" s="43"/>
      <c r="E207" s="43"/>
      <c r="F207" s="43"/>
      <c r="G207" s="4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43"/>
      <c r="D208" s="43"/>
      <c r="E208" s="43"/>
      <c r="F208" s="43"/>
      <c r="G208" s="4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43"/>
      <c r="D209" s="43"/>
      <c r="E209" s="43"/>
      <c r="F209" s="43"/>
      <c r="G209" s="4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43"/>
      <c r="D210" s="43"/>
      <c r="E210" s="43"/>
      <c r="F210" s="43"/>
      <c r="G210" s="4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43"/>
      <c r="D211" s="43"/>
      <c r="E211" s="43"/>
      <c r="F211" s="43"/>
      <c r="G211" s="4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43"/>
      <c r="D212" s="43"/>
      <c r="E212" s="43"/>
      <c r="F212" s="43"/>
      <c r="G212" s="4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43"/>
      <c r="D213" s="43"/>
      <c r="E213" s="43"/>
      <c r="F213" s="43"/>
      <c r="G213" s="4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43"/>
      <c r="D214" s="43"/>
      <c r="E214" s="43"/>
      <c r="F214" s="43"/>
      <c r="G214" s="4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43"/>
      <c r="D215" s="43"/>
      <c r="E215" s="43"/>
      <c r="F215" s="43"/>
      <c r="G215" s="4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43"/>
      <c r="D216" s="43"/>
      <c r="E216" s="43"/>
      <c r="F216" s="43"/>
      <c r="G216" s="4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43"/>
      <c r="D217" s="43"/>
      <c r="E217" s="43"/>
      <c r="F217" s="43"/>
      <c r="G217" s="4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43"/>
      <c r="D218" s="43"/>
      <c r="E218" s="43"/>
      <c r="F218" s="43"/>
      <c r="G218" s="4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43"/>
      <c r="D219" s="43"/>
      <c r="E219" s="43"/>
      <c r="F219" s="43"/>
      <c r="G219" s="4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43"/>
      <c r="D220" s="43"/>
      <c r="E220" s="43"/>
      <c r="F220" s="43"/>
      <c r="G220" s="4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43"/>
      <c r="D221" s="43"/>
      <c r="E221" s="43"/>
      <c r="F221" s="43"/>
      <c r="G221" s="4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43"/>
      <c r="D222" s="43"/>
      <c r="E222" s="43"/>
      <c r="F222" s="43"/>
      <c r="G222" s="4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43"/>
      <c r="D223" s="43"/>
      <c r="E223" s="43"/>
      <c r="F223" s="43"/>
      <c r="G223" s="4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43"/>
      <c r="D224" s="43"/>
      <c r="E224" s="43"/>
      <c r="F224" s="43"/>
      <c r="G224" s="4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43"/>
      <c r="D225" s="43"/>
      <c r="E225" s="43"/>
      <c r="F225" s="43"/>
      <c r="G225" s="4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43"/>
      <c r="D226" s="43"/>
      <c r="E226" s="43"/>
      <c r="F226" s="43"/>
      <c r="G226" s="4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43"/>
      <c r="D227" s="43"/>
      <c r="E227" s="43"/>
      <c r="F227" s="43"/>
      <c r="G227" s="4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43"/>
      <c r="D228" s="43"/>
      <c r="E228" s="43"/>
      <c r="F228" s="43"/>
      <c r="G228" s="4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43"/>
      <c r="D229" s="43"/>
      <c r="E229" s="43"/>
      <c r="F229" s="43"/>
      <c r="G229" s="4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43"/>
      <c r="D230" s="43"/>
      <c r="E230" s="43"/>
      <c r="F230" s="43"/>
      <c r="G230" s="4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43"/>
      <c r="D231" s="43"/>
      <c r="E231" s="43"/>
      <c r="F231" s="43"/>
      <c r="G231" s="4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43"/>
      <c r="D232" s="43"/>
      <c r="E232" s="43"/>
      <c r="F232" s="43"/>
      <c r="G232" s="4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43"/>
      <c r="D233" s="43"/>
      <c r="E233" s="43"/>
      <c r="F233" s="43"/>
      <c r="G233" s="4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43"/>
      <c r="D234" s="43"/>
      <c r="E234" s="43"/>
      <c r="F234" s="43"/>
      <c r="G234" s="4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43"/>
      <c r="D235" s="43"/>
      <c r="E235" s="43"/>
      <c r="F235" s="43"/>
      <c r="G235" s="4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43"/>
      <c r="D236" s="43"/>
      <c r="E236" s="43"/>
      <c r="F236" s="43"/>
      <c r="G236" s="4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43"/>
      <c r="D237" s="43"/>
      <c r="E237" s="43"/>
      <c r="F237" s="43"/>
      <c r="G237" s="4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43"/>
      <c r="D238" s="43"/>
      <c r="E238" s="43"/>
      <c r="F238" s="43"/>
      <c r="G238" s="4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43"/>
      <c r="D239" s="43"/>
      <c r="E239" s="43"/>
      <c r="F239" s="43"/>
      <c r="G239" s="4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43"/>
      <c r="D240" s="43"/>
      <c r="E240" s="43"/>
      <c r="F240" s="43"/>
      <c r="G240" s="4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43"/>
      <c r="D241" s="43"/>
      <c r="E241" s="43"/>
      <c r="F241" s="43"/>
      <c r="G241" s="4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43"/>
      <c r="D242" s="43"/>
      <c r="E242" s="43"/>
      <c r="F242" s="43"/>
      <c r="G242" s="4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43"/>
      <c r="D243" s="43"/>
      <c r="E243" s="43"/>
      <c r="F243" s="43"/>
      <c r="G243" s="4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43"/>
      <c r="D244" s="43"/>
      <c r="E244" s="43"/>
      <c r="F244" s="43"/>
      <c r="G244" s="4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43"/>
      <c r="D245" s="43"/>
      <c r="E245" s="43"/>
      <c r="F245" s="43"/>
      <c r="G245" s="4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43"/>
      <c r="D246" s="43"/>
      <c r="E246" s="43"/>
      <c r="F246" s="43"/>
      <c r="G246" s="4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43"/>
      <c r="D247" s="43"/>
      <c r="E247" s="43"/>
      <c r="F247" s="43"/>
      <c r="G247" s="4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43"/>
      <c r="D248" s="43"/>
      <c r="E248" s="43"/>
      <c r="F248" s="43"/>
      <c r="G248" s="4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43"/>
      <c r="D249" s="43"/>
      <c r="E249" s="43"/>
      <c r="F249" s="43"/>
      <c r="G249" s="4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43"/>
      <c r="D250" s="43"/>
      <c r="E250" s="43"/>
      <c r="F250" s="43"/>
      <c r="G250" s="4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43"/>
      <c r="D251" s="43"/>
      <c r="E251" s="43"/>
      <c r="F251" s="43"/>
      <c r="G251" s="4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43"/>
      <c r="D252" s="43"/>
      <c r="E252" s="43"/>
      <c r="F252" s="43"/>
      <c r="G252" s="4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43"/>
      <c r="D253" s="43"/>
      <c r="E253" s="43"/>
      <c r="F253" s="43"/>
      <c r="G253" s="4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43"/>
      <c r="D254" s="43"/>
      <c r="E254" s="43"/>
      <c r="F254" s="43"/>
      <c r="G254" s="4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43"/>
      <c r="D255" s="43"/>
      <c r="E255" s="43"/>
      <c r="F255" s="43"/>
      <c r="G255" s="4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43"/>
      <c r="D256" s="43"/>
      <c r="E256" s="43"/>
      <c r="F256" s="43"/>
      <c r="G256" s="4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43"/>
      <c r="D257" s="43"/>
      <c r="E257" s="43"/>
      <c r="F257" s="43"/>
      <c r="G257" s="4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43"/>
      <c r="D258" s="43"/>
      <c r="E258" s="43"/>
      <c r="F258" s="43"/>
      <c r="G258" s="4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43"/>
      <c r="D259" s="43"/>
      <c r="E259" s="43"/>
      <c r="F259" s="43"/>
      <c r="G259" s="4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43"/>
      <c r="D260" s="43"/>
      <c r="E260" s="43"/>
      <c r="F260" s="43"/>
      <c r="G260" s="4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43"/>
      <c r="D261" s="43"/>
      <c r="E261" s="43"/>
      <c r="F261" s="43"/>
      <c r="G261" s="4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43"/>
      <c r="D262" s="43"/>
      <c r="E262" s="43"/>
      <c r="F262" s="43"/>
      <c r="G262" s="4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43"/>
      <c r="D263" s="43"/>
      <c r="E263" s="43"/>
      <c r="F263" s="43"/>
      <c r="G263" s="4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43"/>
      <c r="D264" s="43"/>
      <c r="E264" s="43"/>
      <c r="F264" s="43"/>
      <c r="G264" s="4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43"/>
      <c r="D265" s="43"/>
      <c r="E265" s="43"/>
      <c r="F265" s="43"/>
      <c r="G265" s="4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43"/>
      <c r="D266" s="43"/>
      <c r="E266" s="43"/>
      <c r="F266" s="43"/>
      <c r="G266" s="4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43"/>
      <c r="D267" s="43"/>
      <c r="E267" s="43"/>
      <c r="F267" s="43"/>
      <c r="G267" s="4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43"/>
      <c r="D268" s="43"/>
      <c r="E268" s="43"/>
      <c r="F268" s="43"/>
      <c r="G268" s="4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43"/>
      <c r="D269" s="43"/>
      <c r="E269" s="43"/>
      <c r="F269" s="43"/>
      <c r="G269" s="4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43"/>
      <c r="D270" s="43"/>
      <c r="E270" s="43"/>
      <c r="F270" s="43"/>
      <c r="G270" s="4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43"/>
      <c r="D271" s="43"/>
      <c r="E271" s="43"/>
      <c r="F271" s="43"/>
      <c r="G271" s="4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43"/>
      <c r="D272" s="43"/>
      <c r="E272" s="43"/>
      <c r="F272" s="43"/>
      <c r="G272" s="4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43"/>
      <c r="D273" s="43"/>
      <c r="E273" s="43"/>
      <c r="F273" s="43"/>
      <c r="G273" s="4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43"/>
      <c r="D274" s="43"/>
      <c r="E274" s="43"/>
      <c r="F274" s="43"/>
      <c r="G274" s="4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43"/>
      <c r="D275" s="43"/>
      <c r="E275" s="43"/>
      <c r="F275" s="43"/>
      <c r="G275" s="4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43"/>
      <c r="D276" s="43"/>
      <c r="E276" s="43"/>
      <c r="F276" s="43"/>
      <c r="G276" s="4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43"/>
      <c r="D277" s="43"/>
      <c r="E277" s="43"/>
      <c r="F277" s="43"/>
      <c r="G277" s="4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43"/>
      <c r="D278" s="43"/>
      <c r="E278" s="43"/>
      <c r="F278" s="43"/>
      <c r="G278" s="4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43"/>
      <c r="D279" s="43"/>
      <c r="E279" s="43"/>
      <c r="F279" s="43"/>
      <c r="G279" s="4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43"/>
      <c r="D280" s="43"/>
      <c r="E280" s="43"/>
      <c r="F280" s="43"/>
      <c r="G280" s="4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43"/>
      <c r="D281" s="43"/>
      <c r="E281" s="43"/>
      <c r="F281" s="43"/>
      <c r="G281" s="4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43"/>
      <c r="D282" s="43"/>
      <c r="E282" s="43"/>
      <c r="F282" s="43"/>
      <c r="G282" s="4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43"/>
      <c r="D283" s="43"/>
      <c r="E283" s="43"/>
      <c r="F283" s="43"/>
      <c r="G283" s="4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43"/>
      <c r="D284" s="43"/>
      <c r="E284" s="43"/>
      <c r="F284" s="43"/>
      <c r="G284" s="4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43"/>
      <c r="D285" s="43"/>
      <c r="E285" s="43"/>
      <c r="F285" s="43"/>
      <c r="G285" s="4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43"/>
      <c r="D286" s="43"/>
      <c r="E286" s="43"/>
      <c r="F286" s="43"/>
      <c r="G286" s="4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43"/>
      <c r="D287" s="43"/>
      <c r="E287" s="43"/>
      <c r="F287" s="43"/>
      <c r="G287" s="4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43"/>
      <c r="D288" s="43"/>
      <c r="E288" s="43"/>
      <c r="F288" s="43"/>
      <c r="G288" s="4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43"/>
      <c r="D289" s="43"/>
      <c r="E289" s="43"/>
      <c r="F289" s="43"/>
      <c r="G289" s="4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43"/>
      <c r="D290" s="43"/>
      <c r="E290" s="43"/>
      <c r="F290" s="43"/>
      <c r="G290" s="4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43"/>
      <c r="D291" s="43"/>
      <c r="E291" s="43"/>
      <c r="F291" s="43"/>
      <c r="G291" s="4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43"/>
      <c r="D292" s="43"/>
      <c r="E292" s="43"/>
      <c r="F292" s="43"/>
      <c r="G292" s="4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43"/>
      <c r="D293" s="43"/>
      <c r="E293" s="43"/>
      <c r="F293" s="43"/>
      <c r="G293" s="4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43"/>
      <c r="D294" s="43"/>
      <c r="E294" s="43"/>
      <c r="F294" s="43"/>
      <c r="G294" s="4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43"/>
      <c r="D295" s="43"/>
      <c r="E295" s="43"/>
      <c r="F295" s="43"/>
      <c r="G295" s="4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43"/>
      <c r="D296" s="43"/>
      <c r="E296" s="43"/>
      <c r="F296" s="43"/>
      <c r="G296" s="4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43"/>
      <c r="D297" s="43"/>
      <c r="E297" s="43"/>
      <c r="F297" s="43"/>
      <c r="G297" s="4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43"/>
      <c r="D298" s="43"/>
      <c r="E298" s="43"/>
      <c r="F298" s="43"/>
      <c r="G298" s="4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43"/>
      <c r="D299" s="43"/>
      <c r="E299" s="43"/>
      <c r="F299" s="43"/>
      <c r="G299" s="4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43"/>
      <c r="D300" s="43"/>
      <c r="E300" s="43"/>
      <c r="F300" s="43"/>
      <c r="G300" s="4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43"/>
      <c r="D301" s="43"/>
      <c r="E301" s="43"/>
      <c r="F301" s="43"/>
      <c r="G301" s="4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43"/>
      <c r="D302" s="43"/>
      <c r="E302" s="43"/>
      <c r="F302" s="43"/>
      <c r="G302" s="4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43"/>
      <c r="D303" s="43"/>
      <c r="E303" s="43"/>
      <c r="F303" s="43"/>
      <c r="G303" s="4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43"/>
      <c r="D304" s="43"/>
      <c r="E304" s="43"/>
      <c r="F304" s="43"/>
      <c r="G304" s="4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43"/>
      <c r="D305" s="43"/>
      <c r="E305" s="43"/>
      <c r="F305" s="43"/>
      <c r="G305" s="4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43"/>
      <c r="D306" s="43"/>
      <c r="E306" s="43"/>
      <c r="F306" s="43"/>
      <c r="G306" s="4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43"/>
      <c r="D307" s="43"/>
      <c r="E307" s="43"/>
      <c r="F307" s="43"/>
      <c r="G307" s="4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43"/>
      <c r="D308" s="43"/>
      <c r="E308" s="43"/>
      <c r="F308" s="43"/>
      <c r="G308" s="4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43"/>
      <c r="D309" s="43"/>
      <c r="E309" s="43"/>
      <c r="F309" s="43"/>
      <c r="G309" s="4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43"/>
      <c r="D310" s="43"/>
      <c r="E310" s="43"/>
      <c r="F310" s="43"/>
      <c r="G310" s="4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43"/>
      <c r="D311" s="43"/>
      <c r="E311" s="43"/>
      <c r="F311" s="43"/>
      <c r="G311" s="4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43"/>
      <c r="D312" s="43"/>
      <c r="E312" s="43"/>
      <c r="F312" s="43"/>
      <c r="G312" s="4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43"/>
      <c r="D313" s="43"/>
      <c r="E313" s="43"/>
      <c r="F313" s="43"/>
      <c r="G313" s="4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43"/>
      <c r="D314" s="43"/>
      <c r="E314" s="43"/>
      <c r="F314" s="43"/>
      <c r="G314" s="4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43"/>
      <c r="D315" s="43"/>
      <c r="E315" s="43"/>
      <c r="F315" s="43"/>
      <c r="G315" s="4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43"/>
      <c r="D316" s="43"/>
      <c r="E316" s="43"/>
      <c r="F316" s="43"/>
      <c r="G316" s="4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43"/>
      <c r="D317" s="43"/>
      <c r="E317" s="43"/>
      <c r="F317" s="43"/>
      <c r="G317" s="4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43"/>
      <c r="D318" s="43"/>
      <c r="E318" s="43"/>
      <c r="F318" s="43"/>
      <c r="G318" s="4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43"/>
      <c r="D319" s="43"/>
      <c r="E319" s="43"/>
      <c r="F319" s="43"/>
      <c r="G319" s="4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43"/>
      <c r="D320" s="43"/>
      <c r="E320" s="43"/>
      <c r="F320" s="43"/>
      <c r="G320" s="4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43"/>
      <c r="D321" s="43"/>
      <c r="E321" s="43"/>
      <c r="F321" s="43"/>
      <c r="G321" s="4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43"/>
      <c r="D322" s="43"/>
      <c r="E322" s="43"/>
      <c r="F322" s="43"/>
      <c r="G322" s="4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43"/>
      <c r="D323" s="43"/>
      <c r="E323" s="43"/>
      <c r="F323" s="43"/>
      <c r="G323" s="4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43"/>
      <c r="D324" s="43"/>
      <c r="E324" s="43"/>
      <c r="F324" s="43"/>
      <c r="G324" s="4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43"/>
      <c r="D325" s="43"/>
      <c r="E325" s="43"/>
      <c r="F325" s="43"/>
      <c r="G325" s="4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43"/>
      <c r="D326" s="43"/>
      <c r="E326" s="43"/>
      <c r="F326" s="43"/>
      <c r="G326" s="4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43"/>
      <c r="D327" s="43"/>
      <c r="E327" s="43"/>
      <c r="F327" s="43"/>
      <c r="G327" s="4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43"/>
      <c r="D328" s="43"/>
      <c r="E328" s="43"/>
      <c r="F328" s="43"/>
      <c r="G328" s="4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43"/>
      <c r="D329" s="43"/>
      <c r="E329" s="43"/>
      <c r="F329" s="43"/>
      <c r="G329" s="4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43"/>
      <c r="D330" s="43"/>
      <c r="E330" s="43"/>
      <c r="F330" s="43"/>
      <c r="G330" s="4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43"/>
      <c r="D331" s="43"/>
      <c r="E331" s="43"/>
      <c r="F331" s="43"/>
      <c r="G331" s="4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43"/>
      <c r="D332" s="43"/>
      <c r="E332" s="43"/>
      <c r="F332" s="43"/>
      <c r="G332" s="4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43"/>
      <c r="D333" s="43"/>
      <c r="E333" s="43"/>
      <c r="F333" s="43"/>
      <c r="G333" s="4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43"/>
      <c r="D334" s="43"/>
      <c r="E334" s="43"/>
      <c r="F334" s="43"/>
      <c r="G334" s="4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43"/>
      <c r="D335" s="43"/>
      <c r="E335" s="43"/>
      <c r="F335" s="43"/>
      <c r="G335" s="4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43"/>
      <c r="D336" s="43"/>
      <c r="E336" s="43"/>
      <c r="F336" s="43"/>
      <c r="G336" s="4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43"/>
      <c r="D337" s="43"/>
      <c r="E337" s="43"/>
      <c r="F337" s="43"/>
      <c r="G337" s="4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43"/>
      <c r="D338" s="43"/>
      <c r="E338" s="43"/>
      <c r="F338" s="43"/>
      <c r="G338" s="4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43"/>
      <c r="D339" s="43"/>
      <c r="E339" s="43"/>
      <c r="F339" s="43"/>
      <c r="G339" s="4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43"/>
      <c r="D340" s="43"/>
      <c r="E340" s="43"/>
      <c r="F340" s="43"/>
      <c r="G340" s="4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43"/>
      <c r="D341" s="43"/>
      <c r="E341" s="43"/>
      <c r="F341" s="43"/>
      <c r="G341" s="4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43"/>
      <c r="D342" s="43"/>
      <c r="E342" s="43"/>
      <c r="F342" s="43"/>
      <c r="G342" s="4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43"/>
      <c r="D343" s="43"/>
      <c r="E343" s="43"/>
      <c r="F343" s="43"/>
      <c r="G343" s="4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43"/>
      <c r="D344" s="43"/>
      <c r="E344" s="43"/>
      <c r="F344" s="43"/>
      <c r="G344" s="4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43"/>
      <c r="D345" s="43"/>
      <c r="E345" s="43"/>
      <c r="F345" s="43"/>
      <c r="G345" s="4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43"/>
      <c r="D346" s="43"/>
      <c r="E346" s="43"/>
      <c r="F346" s="43"/>
      <c r="G346" s="4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43"/>
      <c r="D347" s="43"/>
      <c r="E347" s="43"/>
      <c r="F347" s="43"/>
      <c r="G347" s="4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43"/>
      <c r="D348" s="43"/>
      <c r="E348" s="43"/>
      <c r="F348" s="43"/>
      <c r="G348" s="4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43"/>
      <c r="D349" s="43"/>
      <c r="E349" s="43"/>
      <c r="F349" s="43"/>
      <c r="G349" s="4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43"/>
      <c r="D350" s="43"/>
      <c r="E350" s="43"/>
      <c r="F350" s="43"/>
      <c r="G350" s="4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43"/>
      <c r="D351" s="43"/>
      <c r="E351" s="43"/>
      <c r="F351" s="43"/>
      <c r="G351" s="4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43"/>
      <c r="D352" s="43"/>
      <c r="E352" s="43"/>
      <c r="F352" s="43"/>
      <c r="G352" s="4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43"/>
      <c r="D353" s="43"/>
      <c r="E353" s="43"/>
      <c r="F353" s="43"/>
      <c r="G353" s="4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43"/>
      <c r="D354" s="43"/>
      <c r="E354" s="43"/>
      <c r="F354" s="43"/>
      <c r="G354" s="4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43"/>
      <c r="D355" s="43"/>
      <c r="E355" s="43"/>
      <c r="F355" s="43"/>
      <c r="G355" s="4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43"/>
      <c r="D356" s="43"/>
      <c r="E356" s="43"/>
      <c r="F356" s="43"/>
      <c r="G356" s="4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43"/>
      <c r="D357" s="43"/>
      <c r="E357" s="43"/>
      <c r="F357" s="43"/>
      <c r="G357" s="4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43"/>
      <c r="D358" s="43"/>
      <c r="E358" s="43"/>
      <c r="F358" s="43"/>
      <c r="G358" s="4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43"/>
      <c r="D359" s="43"/>
      <c r="E359" s="43"/>
      <c r="F359" s="43"/>
      <c r="G359" s="4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43"/>
      <c r="D360" s="43"/>
      <c r="E360" s="43"/>
      <c r="F360" s="43"/>
      <c r="G360" s="4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43"/>
      <c r="D361" s="43"/>
      <c r="E361" s="43"/>
      <c r="F361" s="43"/>
      <c r="G361" s="4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43"/>
      <c r="D362" s="43"/>
      <c r="E362" s="43"/>
      <c r="F362" s="43"/>
      <c r="G362" s="4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43"/>
      <c r="D363" s="43"/>
      <c r="E363" s="43"/>
      <c r="F363" s="43"/>
      <c r="G363" s="4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43"/>
      <c r="D364" s="43"/>
      <c r="E364" s="43"/>
      <c r="F364" s="43"/>
      <c r="G364" s="4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43"/>
      <c r="D365" s="43"/>
      <c r="E365" s="43"/>
      <c r="F365" s="43"/>
      <c r="G365" s="4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43"/>
      <c r="D366" s="43"/>
      <c r="E366" s="43"/>
      <c r="F366" s="43"/>
      <c r="G366" s="4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43"/>
      <c r="D367" s="43"/>
      <c r="E367" s="43"/>
      <c r="F367" s="43"/>
      <c r="G367" s="4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43"/>
      <c r="D368" s="43"/>
      <c r="E368" s="43"/>
      <c r="F368" s="43"/>
      <c r="G368" s="4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43"/>
      <c r="D369" s="43"/>
      <c r="E369" s="43"/>
      <c r="F369" s="43"/>
      <c r="G369" s="4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43"/>
      <c r="D370" s="43"/>
      <c r="E370" s="43"/>
      <c r="F370" s="43"/>
      <c r="G370" s="4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43"/>
      <c r="D371" s="43"/>
      <c r="E371" s="43"/>
      <c r="F371" s="43"/>
      <c r="G371" s="4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43"/>
      <c r="D372" s="43"/>
      <c r="E372" s="43"/>
      <c r="F372" s="43"/>
      <c r="G372" s="4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43"/>
      <c r="D373" s="43"/>
      <c r="E373" s="43"/>
      <c r="F373" s="43"/>
      <c r="G373" s="4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43"/>
      <c r="D374" s="43"/>
      <c r="E374" s="43"/>
      <c r="F374" s="43"/>
      <c r="G374" s="4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43"/>
      <c r="D375" s="43"/>
      <c r="E375" s="43"/>
      <c r="F375" s="43"/>
      <c r="G375" s="4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43"/>
      <c r="D376" s="43"/>
      <c r="E376" s="43"/>
      <c r="F376" s="43"/>
      <c r="G376" s="4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43"/>
      <c r="D377" s="43"/>
      <c r="E377" s="43"/>
      <c r="F377" s="43"/>
      <c r="G377" s="4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43"/>
      <c r="D378" s="43"/>
      <c r="E378" s="43"/>
      <c r="F378" s="43"/>
      <c r="G378" s="4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43"/>
      <c r="D379" s="43"/>
      <c r="E379" s="43"/>
      <c r="F379" s="43"/>
      <c r="G379" s="4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43"/>
      <c r="D380" s="43"/>
      <c r="E380" s="43"/>
      <c r="F380" s="43"/>
      <c r="G380" s="4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43"/>
      <c r="D381" s="43"/>
      <c r="E381" s="43"/>
      <c r="F381" s="43"/>
      <c r="G381" s="4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43"/>
      <c r="D382" s="43"/>
      <c r="E382" s="43"/>
      <c r="F382" s="43"/>
      <c r="G382" s="4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43"/>
      <c r="D383" s="43"/>
      <c r="E383" s="43"/>
      <c r="F383" s="43"/>
      <c r="G383" s="4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43"/>
      <c r="D384" s="43"/>
      <c r="E384" s="43"/>
      <c r="F384" s="43"/>
      <c r="G384" s="4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43"/>
      <c r="D385" s="43"/>
      <c r="E385" s="43"/>
      <c r="F385" s="43"/>
      <c r="G385" s="4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43"/>
      <c r="D386" s="43"/>
      <c r="E386" s="43"/>
      <c r="F386" s="43"/>
      <c r="G386" s="4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43"/>
      <c r="D387" s="43"/>
      <c r="E387" s="43"/>
      <c r="F387" s="43"/>
      <c r="G387" s="4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43"/>
      <c r="D388" s="43"/>
      <c r="E388" s="43"/>
      <c r="F388" s="43"/>
      <c r="G388" s="4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43"/>
      <c r="D389" s="43"/>
      <c r="E389" s="43"/>
      <c r="F389" s="43"/>
      <c r="G389" s="4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43"/>
      <c r="D390" s="43"/>
      <c r="E390" s="43"/>
      <c r="F390" s="43"/>
      <c r="G390" s="4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43"/>
      <c r="D391" s="43"/>
      <c r="E391" s="43"/>
      <c r="F391" s="43"/>
      <c r="G391" s="4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43"/>
      <c r="D392" s="43"/>
      <c r="E392" s="43"/>
      <c r="F392" s="43"/>
      <c r="G392" s="4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43"/>
      <c r="D393" s="43"/>
      <c r="E393" s="43"/>
      <c r="F393" s="43"/>
      <c r="G393" s="4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43"/>
      <c r="D394" s="43"/>
      <c r="E394" s="43"/>
      <c r="F394" s="43"/>
      <c r="G394" s="4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43"/>
      <c r="D395" s="43"/>
      <c r="E395" s="43"/>
      <c r="F395" s="43"/>
      <c r="G395" s="4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43"/>
      <c r="D396" s="43"/>
      <c r="E396" s="43"/>
      <c r="F396" s="43"/>
      <c r="G396" s="4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43"/>
      <c r="D397" s="43"/>
      <c r="E397" s="43"/>
      <c r="F397" s="43"/>
      <c r="G397" s="4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43"/>
      <c r="D398" s="43"/>
      <c r="E398" s="43"/>
      <c r="F398" s="43"/>
      <c r="G398" s="4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43"/>
      <c r="D399" s="43"/>
      <c r="E399" s="43"/>
      <c r="F399" s="43"/>
      <c r="G399" s="4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43"/>
      <c r="D400" s="43"/>
      <c r="E400" s="43"/>
      <c r="F400" s="43"/>
      <c r="G400" s="4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43"/>
      <c r="D401" s="43"/>
      <c r="E401" s="43"/>
      <c r="F401" s="43"/>
      <c r="G401" s="4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43"/>
      <c r="D402" s="43"/>
      <c r="E402" s="43"/>
      <c r="F402" s="43"/>
      <c r="G402" s="4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43"/>
      <c r="D403" s="43"/>
      <c r="E403" s="43"/>
      <c r="F403" s="43"/>
      <c r="G403" s="4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43"/>
      <c r="D404" s="43"/>
      <c r="E404" s="43"/>
      <c r="F404" s="43"/>
      <c r="G404" s="4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43"/>
      <c r="D405" s="43"/>
      <c r="E405" s="43"/>
      <c r="F405" s="43"/>
      <c r="G405" s="4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43"/>
      <c r="D406" s="43"/>
      <c r="E406" s="43"/>
      <c r="F406" s="43"/>
      <c r="G406" s="4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43"/>
      <c r="D407" s="43"/>
      <c r="E407" s="43"/>
      <c r="F407" s="43"/>
      <c r="G407" s="4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43"/>
      <c r="D408" s="43"/>
      <c r="E408" s="43"/>
      <c r="F408" s="43"/>
      <c r="G408" s="4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43"/>
      <c r="D409" s="43"/>
      <c r="E409" s="43"/>
      <c r="F409" s="43"/>
      <c r="G409" s="4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43"/>
      <c r="D410" s="43"/>
      <c r="E410" s="43"/>
      <c r="F410" s="43"/>
      <c r="G410" s="4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43"/>
      <c r="D411" s="43"/>
      <c r="E411" s="43"/>
      <c r="F411" s="43"/>
      <c r="G411" s="4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43"/>
      <c r="D412" s="43"/>
      <c r="E412" s="43"/>
      <c r="F412" s="43"/>
      <c r="G412" s="4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43"/>
      <c r="D413" s="43"/>
      <c r="E413" s="43"/>
      <c r="F413" s="43"/>
      <c r="G413" s="4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43"/>
      <c r="D414" s="43"/>
      <c r="E414" s="43"/>
      <c r="F414" s="43"/>
      <c r="G414" s="4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43"/>
      <c r="D415" s="43"/>
      <c r="E415" s="43"/>
      <c r="F415" s="43"/>
      <c r="G415" s="4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43"/>
      <c r="D416" s="43"/>
      <c r="E416" s="43"/>
      <c r="F416" s="43"/>
      <c r="G416" s="4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43"/>
      <c r="D417" s="43"/>
      <c r="E417" s="43"/>
      <c r="F417" s="43"/>
      <c r="G417" s="4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43"/>
      <c r="D418" s="43"/>
      <c r="E418" s="43"/>
      <c r="F418" s="43"/>
      <c r="G418" s="4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43"/>
      <c r="D419" s="43"/>
      <c r="E419" s="43"/>
      <c r="F419" s="43"/>
      <c r="G419" s="4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43"/>
      <c r="D420" s="43"/>
      <c r="E420" s="43"/>
      <c r="F420" s="43"/>
      <c r="G420" s="4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43"/>
      <c r="D421" s="43"/>
      <c r="E421" s="43"/>
      <c r="F421" s="43"/>
      <c r="G421" s="4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43"/>
      <c r="D422" s="43"/>
      <c r="E422" s="43"/>
      <c r="F422" s="43"/>
      <c r="G422" s="4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43"/>
      <c r="D423" s="43"/>
      <c r="E423" s="43"/>
      <c r="F423" s="43"/>
      <c r="G423" s="4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43"/>
      <c r="D424" s="43"/>
      <c r="E424" s="43"/>
      <c r="F424" s="43"/>
      <c r="G424" s="4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43"/>
      <c r="D425" s="43"/>
      <c r="E425" s="43"/>
      <c r="F425" s="43"/>
      <c r="G425" s="4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43"/>
      <c r="D426" s="43"/>
      <c r="E426" s="43"/>
      <c r="F426" s="43"/>
      <c r="G426" s="4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43"/>
      <c r="D427" s="43"/>
      <c r="E427" s="43"/>
      <c r="F427" s="43"/>
      <c r="G427" s="4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43"/>
      <c r="D428" s="43"/>
      <c r="E428" s="43"/>
      <c r="F428" s="43"/>
      <c r="G428" s="4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43"/>
      <c r="D429" s="43"/>
      <c r="E429" s="43"/>
      <c r="F429" s="43"/>
      <c r="G429" s="4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43"/>
      <c r="D430" s="43"/>
      <c r="E430" s="43"/>
      <c r="F430" s="43"/>
      <c r="G430" s="4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43"/>
      <c r="D431" s="43"/>
      <c r="E431" s="43"/>
      <c r="F431" s="43"/>
      <c r="G431" s="4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43"/>
      <c r="D432" s="43"/>
      <c r="E432" s="43"/>
      <c r="F432" s="43"/>
      <c r="G432" s="4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43"/>
      <c r="D433" s="43"/>
      <c r="E433" s="43"/>
      <c r="F433" s="43"/>
      <c r="G433" s="4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43"/>
      <c r="D434" s="43"/>
      <c r="E434" s="43"/>
      <c r="F434" s="43"/>
      <c r="G434" s="4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43"/>
      <c r="D435" s="43"/>
      <c r="E435" s="43"/>
      <c r="F435" s="43"/>
      <c r="G435" s="4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43"/>
      <c r="D436" s="43"/>
      <c r="E436" s="43"/>
      <c r="F436" s="43"/>
      <c r="G436" s="4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43"/>
      <c r="D437" s="43"/>
      <c r="E437" s="43"/>
      <c r="F437" s="43"/>
      <c r="G437" s="4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43"/>
      <c r="D438" s="43"/>
      <c r="E438" s="43"/>
      <c r="F438" s="43"/>
      <c r="G438" s="4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43"/>
      <c r="D439" s="43"/>
      <c r="E439" s="43"/>
      <c r="F439" s="43"/>
      <c r="G439" s="4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43"/>
      <c r="D440" s="43"/>
      <c r="E440" s="43"/>
      <c r="F440" s="43"/>
      <c r="G440" s="4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43"/>
      <c r="D441" s="43"/>
      <c r="E441" s="43"/>
      <c r="F441" s="43"/>
      <c r="G441" s="4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43"/>
      <c r="D442" s="43"/>
      <c r="E442" s="43"/>
      <c r="F442" s="43"/>
      <c r="G442" s="4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43"/>
      <c r="D443" s="43"/>
      <c r="E443" s="43"/>
      <c r="F443" s="43"/>
      <c r="G443" s="4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43"/>
      <c r="D444" s="43"/>
      <c r="E444" s="43"/>
      <c r="F444" s="43"/>
      <c r="G444" s="4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43"/>
      <c r="D445" s="43"/>
      <c r="E445" s="43"/>
      <c r="F445" s="43"/>
      <c r="G445" s="4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43"/>
      <c r="D446" s="43"/>
      <c r="E446" s="43"/>
      <c r="F446" s="43"/>
      <c r="G446" s="4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43"/>
      <c r="D447" s="43"/>
      <c r="E447" s="43"/>
      <c r="F447" s="43"/>
      <c r="G447" s="4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43"/>
      <c r="D448" s="43"/>
      <c r="E448" s="43"/>
      <c r="F448" s="43"/>
      <c r="G448" s="4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43"/>
      <c r="D449" s="43"/>
      <c r="E449" s="43"/>
      <c r="F449" s="43"/>
      <c r="G449" s="4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43"/>
      <c r="D450" s="43"/>
      <c r="E450" s="43"/>
      <c r="F450" s="43"/>
      <c r="G450" s="4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43"/>
      <c r="D451" s="43"/>
      <c r="E451" s="43"/>
      <c r="F451" s="43"/>
      <c r="G451" s="4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43"/>
      <c r="D452" s="43"/>
      <c r="E452" s="43"/>
      <c r="F452" s="43"/>
      <c r="G452" s="4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43"/>
      <c r="D453" s="43"/>
      <c r="E453" s="43"/>
      <c r="F453" s="43"/>
      <c r="G453" s="4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43"/>
      <c r="D454" s="43"/>
      <c r="E454" s="43"/>
      <c r="F454" s="43"/>
      <c r="G454" s="4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43"/>
      <c r="D455" s="43"/>
      <c r="E455" s="43"/>
      <c r="F455" s="43"/>
      <c r="G455" s="4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43"/>
      <c r="D456" s="43"/>
      <c r="E456" s="43"/>
      <c r="F456" s="43"/>
      <c r="G456" s="4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43"/>
      <c r="D457" s="43"/>
      <c r="E457" s="43"/>
      <c r="F457" s="43"/>
      <c r="G457" s="4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43"/>
      <c r="D458" s="43"/>
      <c r="E458" s="43"/>
      <c r="F458" s="43"/>
      <c r="G458" s="4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43"/>
      <c r="D459" s="43"/>
      <c r="E459" s="43"/>
      <c r="F459" s="43"/>
      <c r="G459" s="4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43"/>
      <c r="D460" s="43"/>
      <c r="E460" s="43"/>
      <c r="F460" s="43"/>
      <c r="G460" s="4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43"/>
      <c r="D461" s="43"/>
      <c r="E461" s="43"/>
      <c r="F461" s="43"/>
      <c r="G461" s="4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43"/>
      <c r="D462" s="43"/>
      <c r="E462" s="43"/>
      <c r="F462" s="43"/>
      <c r="G462" s="4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43"/>
      <c r="D463" s="43"/>
      <c r="E463" s="43"/>
      <c r="F463" s="43"/>
      <c r="G463" s="4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43"/>
      <c r="D464" s="43"/>
      <c r="E464" s="43"/>
      <c r="F464" s="43"/>
      <c r="G464" s="4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43"/>
      <c r="D465" s="43"/>
      <c r="E465" s="43"/>
      <c r="F465" s="43"/>
      <c r="G465" s="4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43"/>
      <c r="D466" s="43"/>
      <c r="E466" s="43"/>
      <c r="F466" s="43"/>
      <c r="G466" s="4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43"/>
      <c r="D467" s="43"/>
      <c r="E467" s="43"/>
      <c r="F467" s="43"/>
      <c r="G467" s="4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43"/>
      <c r="D468" s="43"/>
      <c r="E468" s="43"/>
      <c r="F468" s="43"/>
      <c r="G468" s="4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43"/>
      <c r="D469" s="43"/>
      <c r="E469" s="43"/>
      <c r="F469" s="43"/>
      <c r="G469" s="4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43"/>
      <c r="D470" s="43"/>
      <c r="E470" s="43"/>
      <c r="F470" s="43"/>
      <c r="G470" s="4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43"/>
      <c r="D471" s="43"/>
      <c r="E471" s="43"/>
      <c r="F471" s="43"/>
      <c r="G471" s="4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43"/>
      <c r="D472" s="43"/>
      <c r="E472" s="43"/>
      <c r="F472" s="43"/>
      <c r="G472" s="4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43"/>
      <c r="D473" s="43"/>
      <c r="E473" s="43"/>
      <c r="F473" s="43"/>
      <c r="G473" s="4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43"/>
      <c r="D474" s="43"/>
      <c r="E474" s="43"/>
      <c r="F474" s="43"/>
      <c r="G474" s="4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43"/>
      <c r="D475" s="43"/>
      <c r="E475" s="43"/>
      <c r="F475" s="43"/>
      <c r="G475" s="4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43"/>
      <c r="D476" s="43"/>
      <c r="E476" s="43"/>
      <c r="F476" s="43"/>
      <c r="G476" s="4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43"/>
      <c r="D477" s="43"/>
      <c r="E477" s="43"/>
      <c r="F477" s="43"/>
      <c r="G477" s="4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43"/>
      <c r="D478" s="43"/>
      <c r="E478" s="43"/>
      <c r="F478" s="43"/>
      <c r="G478" s="4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43"/>
      <c r="D479" s="43"/>
      <c r="E479" s="43"/>
      <c r="F479" s="43"/>
      <c r="G479" s="4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43"/>
      <c r="D480" s="43"/>
      <c r="E480" s="43"/>
      <c r="F480" s="43"/>
      <c r="G480" s="4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43"/>
      <c r="D481" s="43"/>
      <c r="E481" s="43"/>
      <c r="F481" s="43"/>
      <c r="G481" s="4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43"/>
      <c r="D482" s="43"/>
      <c r="E482" s="43"/>
      <c r="F482" s="43"/>
      <c r="G482" s="4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43"/>
      <c r="D483" s="43"/>
      <c r="E483" s="43"/>
      <c r="F483" s="43"/>
      <c r="G483" s="4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43"/>
      <c r="D484" s="43"/>
      <c r="E484" s="43"/>
      <c r="F484" s="43"/>
      <c r="G484" s="4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43"/>
      <c r="D485" s="43"/>
      <c r="E485" s="43"/>
      <c r="F485" s="43"/>
      <c r="G485" s="4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43"/>
      <c r="D486" s="43"/>
      <c r="E486" s="43"/>
      <c r="F486" s="43"/>
      <c r="G486" s="4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43"/>
      <c r="D487" s="43"/>
      <c r="E487" s="43"/>
      <c r="F487" s="43"/>
      <c r="G487" s="4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43"/>
      <c r="D488" s="43"/>
      <c r="E488" s="43"/>
      <c r="F488" s="43"/>
      <c r="G488" s="4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43"/>
      <c r="D489" s="43"/>
      <c r="E489" s="43"/>
      <c r="F489" s="43"/>
      <c r="G489" s="4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43"/>
      <c r="D490" s="43"/>
      <c r="E490" s="43"/>
      <c r="F490" s="43"/>
      <c r="G490" s="4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43"/>
      <c r="D491" s="43"/>
      <c r="E491" s="43"/>
      <c r="F491" s="43"/>
      <c r="G491" s="4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43"/>
      <c r="D492" s="43"/>
      <c r="E492" s="43"/>
      <c r="F492" s="43"/>
      <c r="G492" s="4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43"/>
      <c r="D493" s="43"/>
      <c r="E493" s="43"/>
      <c r="F493" s="43"/>
      <c r="G493" s="4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43"/>
      <c r="D494" s="43"/>
      <c r="E494" s="43"/>
      <c r="F494" s="43"/>
      <c r="G494" s="4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43"/>
      <c r="D495" s="43"/>
      <c r="E495" s="43"/>
      <c r="F495" s="43"/>
      <c r="G495" s="4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43"/>
      <c r="D496" s="43"/>
      <c r="E496" s="43"/>
      <c r="F496" s="43"/>
      <c r="G496" s="4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43"/>
      <c r="D497" s="43"/>
      <c r="E497" s="43"/>
      <c r="F497" s="43"/>
      <c r="G497" s="4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43"/>
      <c r="D498" s="43"/>
      <c r="E498" s="43"/>
      <c r="F498" s="43"/>
      <c r="G498" s="4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43"/>
      <c r="D499" s="43"/>
      <c r="E499" s="43"/>
      <c r="F499" s="43"/>
      <c r="G499" s="4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43"/>
      <c r="D500" s="43"/>
      <c r="E500" s="43"/>
      <c r="F500" s="43"/>
      <c r="G500" s="4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43"/>
      <c r="D501" s="43"/>
      <c r="E501" s="43"/>
      <c r="F501" s="43"/>
      <c r="G501" s="4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43"/>
      <c r="D502" s="43"/>
      <c r="E502" s="43"/>
      <c r="F502" s="43"/>
      <c r="G502" s="4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43"/>
      <c r="D503" s="43"/>
      <c r="E503" s="43"/>
      <c r="F503" s="43"/>
      <c r="G503" s="4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43"/>
      <c r="D504" s="43"/>
      <c r="E504" s="43"/>
      <c r="F504" s="43"/>
      <c r="G504" s="4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43"/>
      <c r="D505" s="43"/>
      <c r="E505" s="43"/>
      <c r="F505" s="43"/>
      <c r="G505" s="4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43"/>
      <c r="D506" s="43"/>
      <c r="E506" s="43"/>
      <c r="F506" s="43"/>
      <c r="G506" s="4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43"/>
      <c r="D507" s="43"/>
      <c r="E507" s="43"/>
      <c r="F507" s="43"/>
      <c r="G507" s="4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43"/>
      <c r="D508" s="43"/>
      <c r="E508" s="43"/>
      <c r="F508" s="43"/>
      <c r="G508" s="4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43"/>
      <c r="D509" s="43"/>
      <c r="E509" s="43"/>
      <c r="F509" s="43"/>
      <c r="G509" s="4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43"/>
      <c r="D510" s="43"/>
      <c r="E510" s="43"/>
      <c r="F510" s="43"/>
      <c r="G510" s="4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43"/>
      <c r="D511" s="43"/>
      <c r="E511" s="43"/>
      <c r="F511" s="43"/>
      <c r="G511" s="4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43"/>
      <c r="D512" s="43"/>
      <c r="E512" s="43"/>
      <c r="F512" s="43"/>
      <c r="G512" s="4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43"/>
      <c r="D513" s="43"/>
      <c r="E513" s="43"/>
      <c r="F513" s="43"/>
      <c r="G513" s="4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43"/>
      <c r="D514" s="43"/>
      <c r="E514" s="43"/>
      <c r="F514" s="43"/>
      <c r="G514" s="4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43"/>
      <c r="D515" s="43"/>
      <c r="E515" s="43"/>
      <c r="F515" s="43"/>
      <c r="G515" s="4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43"/>
      <c r="D516" s="43"/>
      <c r="E516" s="43"/>
      <c r="F516" s="43"/>
      <c r="G516" s="4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43"/>
      <c r="D517" s="43"/>
      <c r="E517" s="43"/>
      <c r="F517" s="43"/>
      <c r="G517" s="4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43"/>
      <c r="D518" s="43"/>
      <c r="E518" s="43"/>
      <c r="F518" s="43"/>
      <c r="G518" s="4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43"/>
      <c r="D519" s="43"/>
      <c r="E519" s="43"/>
      <c r="F519" s="43"/>
      <c r="G519" s="4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43"/>
      <c r="D520" s="43"/>
      <c r="E520" s="43"/>
      <c r="F520" s="43"/>
      <c r="G520" s="4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43"/>
      <c r="D521" s="43"/>
      <c r="E521" s="43"/>
      <c r="F521" s="43"/>
      <c r="G521" s="4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43"/>
      <c r="D522" s="43"/>
      <c r="E522" s="43"/>
      <c r="F522" s="43"/>
      <c r="G522" s="4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43"/>
      <c r="D523" s="43"/>
      <c r="E523" s="43"/>
      <c r="F523" s="43"/>
      <c r="G523" s="4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43"/>
      <c r="D524" s="43"/>
      <c r="E524" s="43"/>
      <c r="F524" s="43"/>
      <c r="G524" s="4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43"/>
      <c r="D525" s="43"/>
      <c r="E525" s="43"/>
      <c r="F525" s="43"/>
      <c r="G525" s="4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43"/>
      <c r="D526" s="43"/>
      <c r="E526" s="43"/>
      <c r="F526" s="43"/>
      <c r="G526" s="4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43"/>
      <c r="D527" s="43"/>
      <c r="E527" s="43"/>
      <c r="F527" s="43"/>
      <c r="G527" s="4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43"/>
      <c r="D528" s="43"/>
      <c r="E528" s="43"/>
      <c r="F528" s="43"/>
      <c r="G528" s="4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43"/>
      <c r="D529" s="43"/>
      <c r="E529" s="43"/>
      <c r="F529" s="43"/>
      <c r="G529" s="4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43"/>
      <c r="D530" s="43"/>
      <c r="E530" s="43"/>
      <c r="F530" s="43"/>
      <c r="G530" s="4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43"/>
      <c r="D531" s="43"/>
      <c r="E531" s="43"/>
      <c r="F531" s="43"/>
      <c r="G531" s="4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43"/>
      <c r="D532" s="43"/>
      <c r="E532" s="43"/>
      <c r="F532" s="43"/>
      <c r="G532" s="4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43"/>
      <c r="D533" s="43"/>
      <c r="E533" s="43"/>
      <c r="F533" s="43"/>
      <c r="G533" s="4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43"/>
      <c r="D534" s="43"/>
      <c r="E534" s="43"/>
      <c r="F534" s="43"/>
      <c r="G534" s="4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43"/>
      <c r="D535" s="43"/>
      <c r="E535" s="43"/>
      <c r="F535" s="43"/>
      <c r="G535" s="4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43"/>
      <c r="D536" s="43"/>
      <c r="E536" s="43"/>
      <c r="F536" s="43"/>
      <c r="G536" s="4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43"/>
      <c r="D537" s="43"/>
      <c r="E537" s="43"/>
      <c r="F537" s="43"/>
      <c r="G537" s="4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43"/>
      <c r="D538" s="43"/>
      <c r="E538" s="43"/>
      <c r="F538" s="43"/>
      <c r="G538" s="4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43"/>
      <c r="D539" s="43"/>
      <c r="E539" s="43"/>
      <c r="F539" s="43"/>
      <c r="G539" s="4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43"/>
      <c r="D540" s="43"/>
      <c r="E540" s="43"/>
      <c r="F540" s="43"/>
      <c r="G540" s="4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43"/>
      <c r="D541" s="43"/>
      <c r="E541" s="43"/>
      <c r="F541" s="43"/>
      <c r="G541" s="4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43"/>
      <c r="D542" s="43"/>
      <c r="E542" s="43"/>
      <c r="F542" s="43"/>
      <c r="G542" s="4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43"/>
      <c r="D543" s="43"/>
      <c r="E543" s="43"/>
      <c r="F543" s="43"/>
      <c r="G543" s="4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43"/>
      <c r="D544" s="43"/>
      <c r="E544" s="43"/>
      <c r="F544" s="43"/>
      <c r="G544" s="4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43"/>
      <c r="D545" s="43"/>
      <c r="E545" s="43"/>
      <c r="F545" s="43"/>
      <c r="G545" s="4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43"/>
      <c r="D546" s="43"/>
      <c r="E546" s="43"/>
      <c r="F546" s="43"/>
      <c r="G546" s="4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43"/>
      <c r="D547" s="43"/>
      <c r="E547" s="43"/>
      <c r="F547" s="43"/>
      <c r="G547" s="4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43"/>
      <c r="D548" s="43"/>
      <c r="E548" s="43"/>
      <c r="F548" s="43"/>
      <c r="G548" s="4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43"/>
      <c r="D549" s="43"/>
      <c r="E549" s="43"/>
      <c r="F549" s="43"/>
      <c r="G549" s="4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43"/>
      <c r="D550" s="43"/>
      <c r="E550" s="43"/>
      <c r="F550" s="43"/>
      <c r="G550" s="4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43"/>
      <c r="D551" s="43"/>
      <c r="E551" s="43"/>
      <c r="F551" s="43"/>
      <c r="G551" s="4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43"/>
      <c r="D552" s="43"/>
      <c r="E552" s="43"/>
      <c r="F552" s="43"/>
      <c r="G552" s="4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43"/>
      <c r="D553" s="43"/>
      <c r="E553" s="43"/>
      <c r="F553" s="43"/>
      <c r="G553" s="4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43"/>
      <c r="D554" s="43"/>
      <c r="E554" s="43"/>
      <c r="F554" s="43"/>
      <c r="G554" s="4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43"/>
      <c r="D555" s="43"/>
      <c r="E555" s="43"/>
      <c r="F555" s="43"/>
      <c r="G555" s="4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43"/>
      <c r="D556" s="43"/>
      <c r="E556" s="43"/>
      <c r="F556" s="43"/>
      <c r="G556" s="4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43"/>
      <c r="D557" s="43"/>
      <c r="E557" s="43"/>
      <c r="F557" s="43"/>
      <c r="G557" s="4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43"/>
      <c r="D558" s="43"/>
      <c r="E558" s="43"/>
      <c r="F558" s="43"/>
      <c r="G558" s="4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43"/>
      <c r="D559" s="43"/>
      <c r="E559" s="43"/>
      <c r="F559" s="43"/>
      <c r="G559" s="4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43"/>
      <c r="D560" s="43"/>
      <c r="E560" s="43"/>
      <c r="F560" s="43"/>
      <c r="G560" s="4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43"/>
      <c r="D561" s="43"/>
      <c r="E561" s="43"/>
      <c r="F561" s="43"/>
      <c r="G561" s="4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43"/>
      <c r="D562" s="43"/>
      <c r="E562" s="43"/>
      <c r="F562" s="43"/>
      <c r="G562" s="4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43"/>
      <c r="D563" s="43"/>
      <c r="E563" s="43"/>
      <c r="F563" s="43"/>
      <c r="G563" s="4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43"/>
      <c r="D564" s="43"/>
      <c r="E564" s="43"/>
      <c r="F564" s="43"/>
      <c r="G564" s="4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43"/>
      <c r="D565" s="43"/>
      <c r="E565" s="43"/>
      <c r="F565" s="43"/>
      <c r="G565" s="4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43"/>
      <c r="D566" s="43"/>
      <c r="E566" s="43"/>
      <c r="F566" s="43"/>
      <c r="G566" s="4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43"/>
      <c r="D567" s="43"/>
      <c r="E567" s="43"/>
      <c r="F567" s="43"/>
      <c r="G567" s="4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43"/>
      <c r="D568" s="43"/>
      <c r="E568" s="43"/>
      <c r="F568" s="43"/>
      <c r="G568" s="4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43"/>
      <c r="D569" s="43"/>
      <c r="E569" s="43"/>
      <c r="F569" s="43"/>
      <c r="G569" s="4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43"/>
      <c r="D570" s="43"/>
      <c r="E570" s="43"/>
      <c r="F570" s="43"/>
      <c r="G570" s="4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43"/>
      <c r="D571" s="43"/>
      <c r="E571" s="43"/>
      <c r="F571" s="43"/>
      <c r="G571" s="4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43"/>
      <c r="D572" s="43"/>
      <c r="E572" s="43"/>
      <c r="F572" s="43"/>
      <c r="G572" s="4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43"/>
      <c r="D573" s="43"/>
      <c r="E573" s="43"/>
      <c r="F573" s="43"/>
      <c r="G573" s="4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43"/>
      <c r="D574" s="43"/>
      <c r="E574" s="43"/>
      <c r="F574" s="43"/>
      <c r="G574" s="4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43"/>
      <c r="D575" s="43"/>
      <c r="E575" s="43"/>
      <c r="F575" s="43"/>
      <c r="G575" s="4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43"/>
      <c r="D576" s="43"/>
      <c r="E576" s="43"/>
      <c r="F576" s="43"/>
      <c r="G576" s="4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43"/>
      <c r="D577" s="43"/>
      <c r="E577" s="43"/>
      <c r="F577" s="43"/>
      <c r="G577" s="4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43"/>
      <c r="D578" s="43"/>
      <c r="E578" s="43"/>
      <c r="F578" s="43"/>
      <c r="G578" s="4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43"/>
      <c r="D579" s="43"/>
      <c r="E579" s="43"/>
      <c r="F579" s="43"/>
      <c r="G579" s="4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43"/>
      <c r="D580" s="43"/>
      <c r="E580" s="43"/>
      <c r="F580" s="43"/>
      <c r="G580" s="4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43"/>
      <c r="D581" s="43"/>
      <c r="E581" s="43"/>
      <c r="F581" s="43"/>
      <c r="G581" s="4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43"/>
      <c r="D582" s="43"/>
      <c r="E582" s="43"/>
      <c r="F582" s="43"/>
      <c r="G582" s="4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43"/>
      <c r="D583" s="43"/>
      <c r="E583" s="43"/>
      <c r="F583" s="43"/>
      <c r="G583" s="4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43"/>
      <c r="D584" s="43"/>
      <c r="E584" s="43"/>
      <c r="F584" s="43"/>
      <c r="G584" s="4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43"/>
      <c r="D585" s="43"/>
      <c r="E585" s="43"/>
      <c r="F585" s="43"/>
      <c r="G585" s="4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43"/>
      <c r="D586" s="43"/>
      <c r="E586" s="43"/>
      <c r="F586" s="43"/>
      <c r="G586" s="4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43"/>
      <c r="D587" s="43"/>
      <c r="E587" s="43"/>
      <c r="F587" s="43"/>
      <c r="G587" s="4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43"/>
      <c r="D588" s="43"/>
      <c r="E588" s="43"/>
      <c r="F588" s="43"/>
      <c r="G588" s="4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43"/>
      <c r="D589" s="43"/>
      <c r="E589" s="43"/>
      <c r="F589" s="43"/>
      <c r="G589" s="4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43"/>
      <c r="D590" s="43"/>
      <c r="E590" s="43"/>
      <c r="F590" s="43"/>
      <c r="G590" s="4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43"/>
      <c r="D591" s="43"/>
      <c r="E591" s="43"/>
      <c r="F591" s="43"/>
      <c r="G591" s="4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43"/>
      <c r="D592" s="43"/>
      <c r="E592" s="43"/>
      <c r="F592" s="43"/>
      <c r="G592" s="4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43"/>
      <c r="D593" s="43"/>
      <c r="E593" s="43"/>
      <c r="F593" s="43"/>
      <c r="G593" s="4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43"/>
      <c r="D594" s="43"/>
      <c r="E594" s="43"/>
      <c r="F594" s="43"/>
      <c r="G594" s="4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43"/>
      <c r="D595" s="43"/>
      <c r="E595" s="43"/>
      <c r="F595" s="43"/>
      <c r="G595" s="4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43"/>
      <c r="D596" s="43"/>
      <c r="E596" s="43"/>
      <c r="F596" s="43"/>
      <c r="G596" s="4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43"/>
      <c r="D597" s="43"/>
      <c r="E597" s="43"/>
      <c r="F597" s="43"/>
      <c r="G597" s="4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43"/>
      <c r="D598" s="43"/>
      <c r="E598" s="43"/>
      <c r="F598" s="43"/>
      <c r="G598" s="4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43"/>
      <c r="D599" s="43"/>
      <c r="E599" s="43"/>
      <c r="F599" s="43"/>
      <c r="G599" s="4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43"/>
      <c r="D600" s="43"/>
      <c r="E600" s="43"/>
      <c r="F600" s="43"/>
      <c r="G600" s="4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43"/>
      <c r="D601" s="43"/>
      <c r="E601" s="43"/>
      <c r="F601" s="43"/>
      <c r="G601" s="4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43"/>
      <c r="D602" s="43"/>
      <c r="E602" s="43"/>
      <c r="F602" s="43"/>
      <c r="G602" s="4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43"/>
      <c r="D603" s="43"/>
      <c r="E603" s="43"/>
      <c r="F603" s="43"/>
      <c r="G603" s="4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43"/>
      <c r="D604" s="43"/>
      <c r="E604" s="43"/>
      <c r="F604" s="43"/>
      <c r="G604" s="4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43"/>
      <c r="D605" s="43"/>
      <c r="E605" s="43"/>
      <c r="F605" s="43"/>
      <c r="G605" s="4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43"/>
      <c r="D606" s="43"/>
      <c r="E606" s="43"/>
      <c r="F606" s="43"/>
      <c r="G606" s="4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43"/>
      <c r="D607" s="43"/>
      <c r="E607" s="43"/>
      <c r="F607" s="43"/>
      <c r="G607" s="4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43"/>
      <c r="D608" s="43"/>
      <c r="E608" s="43"/>
      <c r="F608" s="43"/>
      <c r="G608" s="4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43"/>
      <c r="D609" s="43"/>
      <c r="E609" s="43"/>
      <c r="F609" s="43"/>
      <c r="G609" s="4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43"/>
      <c r="D610" s="43"/>
      <c r="E610" s="43"/>
      <c r="F610" s="43"/>
      <c r="G610" s="4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43"/>
      <c r="D611" s="43"/>
      <c r="E611" s="43"/>
      <c r="F611" s="43"/>
      <c r="G611" s="4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43"/>
      <c r="D612" s="43"/>
      <c r="E612" s="43"/>
      <c r="F612" s="43"/>
      <c r="G612" s="4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43"/>
      <c r="D613" s="43"/>
      <c r="E613" s="43"/>
      <c r="F613" s="43"/>
      <c r="G613" s="4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43"/>
      <c r="D614" s="43"/>
      <c r="E614" s="43"/>
      <c r="F614" s="43"/>
      <c r="G614" s="4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43"/>
      <c r="D615" s="43"/>
      <c r="E615" s="43"/>
      <c r="F615" s="43"/>
      <c r="G615" s="4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43"/>
      <c r="D616" s="43"/>
      <c r="E616" s="43"/>
      <c r="F616" s="43"/>
      <c r="G616" s="4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43"/>
      <c r="D617" s="43"/>
      <c r="E617" s="43"/>
      <c r="F617" s="43"/>
      <c r="G617" s="4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43"/>
      <c r="D618" s="43"/>
      <c r="E618" s="43"/>
      <c r="F618" s="43"/>
      <c r="G618" s="4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43"/>
      <c r="D619" s="43"/>
      <c r="E619" s="43"/>
      <c r="F619" s="43"/>
      <c r="G619" s="4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43"/>
      <c r="D620" s="43"/>
      <c r="E620" s="43"/>
      <c r="F620" s="43"/>
      <c r="G620" s="4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43"/>
      <c r="D621" s="43"/>
      <c r="E621" s="43"/>
      <c r="F621" s="43"/>
      <c r="G621" s="4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43"/>
      <c r="D622" s="43"/>
      <c r="E622" s="43"/>
      <c r="F622" s="43"/>
      <c r="G622" s="4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43"/>
      <c r="D623" s="43"/>
      <c r="E623" s="43"/>
      <c r="F623" s="43"/>
      <c r="G623" s="4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43"/>
      <c r="D624" s="43"/>
      <c r="E624" s="43"/>
      <c r="F624" s="43"/>
      <c r="G624" s="4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43"/>
      <c r="D625" s="43"/>
      <c r="E625" s="43"/>
      <c r="F625" s="43"/>
      <c r="G625" s="4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43"/>
      <c r="D626" s="43"/>
      <c r="E626" s="43"/>
      <c r="F626" s="43"/>
      <c r="G626" s="4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43"/>
      <c r="D627" s="43"/>
      <c r="E627" s="43"/>
      <c r="F627" s="43"/>
      <c r="G627" s="4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43"/>
      <c r="D628" s="43"/>
      <c r="E628" s="43"/>
      <c r="F628" s="43"/>
      <c r="G628" s="4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43"/>
      <c r="D629" s="43"/>
      <c r="E629" s="43"/>
      <c r="F629" s="43"/>
      <c r="G629" s="4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43"/>
      <c r="D630" s="43"/>
      <c r="E630" s="43"/>
      <c r="F630" s="43"/>
      <c r="G630" s="4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spans="2:48" s="2" customFormat="1" ht="15.75" customHeight="1">
      <c r="B640"/>
      <c r="C640" s="51"/>
      <c r="D640" s="51"/>
      <c r="E640" s="51"/>
      <c r="F640" s="51"/>
      <c r="G640" s="11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</row>
    <row r="641" spans="2:48" s="2" customFormat="1" ht="15.75" customHeight="1">
      <c r="B641"/>
      <c r="C641" s="51"/>
      <c r="D641" s="51"/>
      <c r="E641" s="51"/>
      <c r="F641" s="5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</row>
    <row r="642" spans="2:48" s="2" customFormat="1" ht="15.75" customHeight="1">
      <c r="B642"/>
      <c r="C642" s="51"/>
      <c r="D642" s="51"/>
      <c r="E642" s="51"/>
      <c r="F642" s="5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</row>
    <row r="643" spans="2:48" s="2" customFormat="1" ht="15.75" customHeight="1">
      <c r="B643"/>
      <c r="C643" s="51"/>
      <c r="D643" s="51"/>
      <c r="E643" s="51"/>
      <c r="F643" s="5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</row>
    <row r="644" spans="2:48" s="2" customFormat="1" ht="15.75" customHeight="1">
      <c r="B644"/>
      <c r="C644" s="51"/>
      <c r="D644" s="51"/>
      <c r="E644" s="51"/>
      <c r="F644" s="5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</row>
    <row r="645" spans="2:48" s="2" customFormat="1" ht="15.75" customHeight="1">
      <c r="B645"/>
      <c r="C645" s="51"/>
      <c r="D645" s="51"/>
      <c r="E645" s="51"/>
      <c r="F645" s="5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</row>
    <row r="646" spans="2:48" s="2" customFormat="1" ht="15.75" customHeight="1">
      <c r="B646"/>
      <c r="C646" s="51"/>
      <c r="D646" s="51"/>
      <c r="E646" s="51"/>
      <c r="F646" s="5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</row>
    <row r="647" spans="2:48" s="2" customFormat="1" ht="15.75" customHeight="1">
      <c r="B647"/>
      <c r="C647" s="51"/>
      <c r="D647" s="51"/>
      <c r="E647" s="51"/>
      <c r="F647" s="5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</row>
    <row r="648" spans="2:48" s="2" customFormat="1" ht="15.75" customHeight="1">
      <c r="B648"/>
      <c r="C648" s="51"/>
      <c r="D648" s="51"/>
      <c r="E648" s="51"/>
      <c r="F648" s="5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</row>
    <row r="649" spans="2:48" s="2" customFormat="1" ht="15.75" customHeight="1">
      <c r="B649"/>
      <c r="C649" s="51"/>
      <c r="D649" s="51"/>
      <c r="E649" s="51"/>
      <c r="F649" s="5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</row>
    <row r="650" spans="2:48" s="2" customFormat="1" ht="15.75" customHeight="1">
      <c r="B650"/>
      <c r="C650" s="51"/>
      <c r="D650" s="51"/>
      <c r="E650" s="51"/>
      <c r="F650" s="5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</row>
    <row r="651" spans="2:48" s="2" customFormat="1" ht="15.75" customHeight="1">
      <c r="B651"/>
      <c r="C651" s="51"/>
      <c r="D651" s="51"/>
      <c r="E651" s="51"/>
      <c r="F651" s="5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</row>
    <row r="652" spans="2:48" s="2" customFormat="1" ht="15.75" customHeight="1">
      <c r="B652"/>
      <c r="C652" s="51"/>
      <c r="D652" s="51"/>
      <c r="E652" s="51"/>
      <c r="F652" s="5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</row>
    <row r="653" spans="2:48" s="2" customFormat="1" ht="15.75" customHeight="1">
      <c r="B653"/>
      <c r="C653" s="51"/>
      <c r="D653" s="51"/>
      <c r="E653" s="51"/>
      <c r="F653" s="5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</row>
    <row r="654" spans="2:48" s="2" customFormat="1" ht="15.75" customHeight="1">
      <c r="B654"/>
      <c r="C654" s="51"/>
      <c r="D654" s="51"/>
      <c r="E654" s="51"/>
      <c r="F654" s="5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</row>
    <row r="655" spans="2:48" s="2" customFormat="1" ht="15.75" customHeight="1">
      <c r="B655"/>
      <c r="C655" s="51"/>
      <c r="D655" s="51"/>
      <c r="E655" s="51"/>
      <c r="F655" s="5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</row>
    <row r="656" spans="2:48" s="2" customFormat="1" ht="15.75" customHeight="1">
      <c r="B656"/>
      <c r="C656" s="51"/>
      <c r="D656" s="51"/>
      <c r="E656" s="51"/>
      <c r="F656" s="5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</row>
    <row r="657" spans="2:48" s="2" customFormat="1" ht="15.75" customHeight="1">
      <c r="B657"/>
      <c r="C657" s="51"/>
      <c r="D657" s="51"/>
      <c r="E657" s="51"/>
      <c r="F657" s="5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</row>
    <row r="658" spans="2:48" s="2" customFormat="1" ht="15.75" customHeight="1">
      <c r="B658"/>
      <c r="C658" s="51"/>
      <c r="D658" s="51"/>
      <c r="E658" s="51"/>
      <c r="F658" s="5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</row>
    <row r="659" spans="2:48" s="2" customFormat="1" ht="15.75" customHeight="1">
      <c r="B659"/>
      <c r="C659" s="51"/>
      <c r="D659" s="51"/>
      <c r="E659" s="51"/>
      <c r="F659" s="5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</row>
    <row r="660" spans="2:48" s="2" customFormat="1" ht="15.75" customHeight="1">
      <c r="B660"/>
      <c r="C660" s="51"/>
      <c r="D660" s="51"/>
      <c r="E660" s="51"/>
      <c r="F660" s="5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</row>
    <row r="661" spans="2:48" s="2" customFormat="1" ht="15.75" customHeight="1">
      <c r="B661"/>
      <c r="C661" s="51"/>
      <c r="D661" s="51"/>
      <c r="E661" s="51"/>
      <c r="F661" s="5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</row>
    <row r="662" spans="2:48" s="2" customFormat="1" ht="15.75" customHeight="1">
      <c r="B662"/>
      <c r="C662" s="51"/>
      <c r="D662" s="51"/>
      <c r="E662" s="51"/>
      <c r="F662" s="5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</row>
    <row r="663" spans="2:48" s="2" customFormat="1" ht="15.75" customHeight="1">
      <c r="B663"/>
      <c r="C663" s="51"/>
      <c r="D663" s="51"/>
      <c r="E663" s="51"/>
      <c r="F663" s="5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</row>
    <row r="664" spans="2:48" s="2" customFormat="1" ht="15.75" customHeight="1">
      <c r="B664"/>
      <c r="C664" s="51"/>
      <c r="D664" s="51"/>
      <c r="E664" s="51"/>
      <c r="F664" s="5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</row>
    <row r="665" spans="2:48" s="2" customFormat="1" ht="15.75" customHeight="1">
      <c r="B665"/>
      <c r="C665" s="51"/>
      <c r="D665" s="51"/>
      <c r="E665" s="51"/>
      <c r="F665" s="5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</row>
    <row r="666" spans="2:48" s="2" customFormat="1" ht="15.75" customHeight="1">
      <c r="B666"/>
      <c r="C666" s="51"/>
      <c r="D666" s="51"/>
      <c r="E666" s="51"/>
      <c r="F666" s="5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</row>
    <row r="667" spans="2:48" s="2" customFormat="1" ht="15.75" customHeight="1">
      <c r="B667"/>
      <c r="C667" s="51"/>
      <c r="D667" s="51"/>
      <c r="E667" s="51"/>
      <c r="F667" s="5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</row>
    <row r="668" spans="2:48" s="2" customFormat="1" ht="15.75" customHeight="1">
      <c r="B668"/>
      <c r="C668" s="51"/>
      <c r="D668" s="51"/>
      <c r="E668" s="51"/>
      <c r="F668" s="5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</row>
    <row r="669" spans="2:48" s="2" customFormat="1" ht="15.75" customHeight="1">
      <c r="B669"/>
      <c r="C669" s="51"/>
      <c r="D669" s="51"/>
      <c r="E669" s="51"/>
      <c r="F669" s="5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</row>
    <row r="670" spans="2:48" s="2" customFormat="1" ht="15.75" customHeight="1">
      <c r="B670"/>
      <c r="C670" s="51"/>
      <c r="D670" s="51"/>
      <c r="E670" s="51"/>
      <c r="F670" s="5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</row>
    <row r="671" spans="2:48" s="2" customFormat="1" ht="15.75" customHeight="1">
      <c r="B671"/>
      <c r="C671" s="51"/>
      <c r="D671" s="51"/>
      <c r="E671" s="51"/>
      <c r="F671" s="51"/>
      <c r="G671" s="1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</row>
    <row r="672" spans="2:48" s="2" customFormat="1" ht="15.75" customHeight="1">
      <c r="B672"/>
      <c r="C672" s="51"/>
      <c r="D672" s="51"/>
      <c r="E672" s="51"/>
      <c r="F672" s="51"/>
      <c r="G672" s="11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</row>
    <row r="673" spans="2:48" s="2" customFormat="1" ht="15.75" customHeight="1">
      <c r="B673"/>
      <c r="C673" s="51"/>
      <c r="D673" s="51"/>
      <c r="E673" s="51"/>
      <c r="F673" s="51"/>
      <c r="G673" s="11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</row>
    <row r="674" spans="2:48" s="2" customFormat="1" ht="15.75" customHeight="1">
      <c r="B674"/>
      <c r="C674" s="51"/>
      <c r="D674" s="51"/>
      <c r="E674" s="51"/>
      <c r="F674" s="51"/>
      <c r="G674" s="11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</row>
    <row r="675" spans="2:48" s="2" customFormat="1" ht="15.75" customHeight="1">
      <c r="B675"/>
      <c r="C675" s="51"/>
      <c r="D675" s="51"/>
      <c r="E675" s="51"/>
      <c r="F675" s="51"/>
      <c r="G675" s="11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</row>
    <row r="676" spans="2:48" s="2" customFormat="1" ht="15.75" customHeight="1">
      <c r="B676"/>
      <c r="C676" s="51"/>
      <c r="D676" s="51"/>
      <c r="E676" s="51"/>
      <c r="F676" s="51"/>
      <c r="G676" s="11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</row>
    <row r="677" spans="2:48" s="2" customFormat="1" ht="15.75" customHeight="1">
      <c r="B677"/>
      <c r="C677" s="51"/>
      <c r="D677" s="51"/>
      <c r="E677" s="51"/>
      <c r="F677" s="51"/>
      <c r="G677" s="11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</row>
    <row r="678" spans="2:48" s="2" customFormat="1" ht="15.75" customHeight="1">
      <c r="B678"/>
      <c r="C678" s="51"/>
      <c r="D678" s="51"/>
      <c r="E678" s="51"/>
      <c r="F678" s="51"/>
      <c r="G678" s="11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</row>
    <row r="679" spans="2:48" s="2" customFormat="1" ht="15.75" customHeight="1">
      <c r="B679"/>
      <c r="C679" s="51"/>
      <c r="D679" s="51"/>
      <c r="E679" s="51"/>
      <c r="F679" s="51"/>
      <c r="G679" s="11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</row>
    <row r="680" spans="2:48" s="2" customFormat="1" ht="15.75" customHeight="1">
      <c r="B680"/>
      <c r="C680" s="51"/>
      <c r="D680" s="51"/>
      <c r="E680" s="51"/>
      <c r="F680" s="51"/>
      <c r="G680" s="11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</row>
    <row r="681" spans="2:48" s="2" customFormat="1" ht="15.75" customHeight="1">
      <c r="B681"/>
      <c r="C681" s="51"/>
      <c r="D681" s="51"/>
      <c r="E681" s="51"/>
      <c r="F681" s="51"/>
      <c r="G681" s="1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</row>
    <row r="682" spans="2:48" s="2" customFormat="1" ht="15.75" customHeight="1">
      <c r="B682"/>
      <c r="C682" s="51"/>
      <c r="D682" s="51"/>
      <c r="E682" s="51"/>
      <c r="F682" s="51"/>
      <c r="G682" s="11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</row>
    <row r="683" spans="2:48" s="2" customFormat="1" ht="15.75" customHeight="1">
      <c r="B683"/>
      <c r="C683" s="51"/>
      <c r="D683" s="51"/>
      <c r="E683" s="51"/>
      <c r="F683" s="51"/>
      <c r="G683" s="11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</row>
    <row r="684" spans="2:48" s="2" customFormat="1" ht="15.75" customHeight="1">
      <c r="B684"/>
      <c r="C684" s="51"/>
      <c r="D684" s="51"/>
      <c r="E684" s="51"/>
      <c r="F684" s="51"/>
      <c r="G684" s="11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</row>
    <row r="685" spans="2:48" s="2" customFormat="1" ht="15.75" customHeight="1">
      <c r="B685"/>
      <c r="C685" s="51"/>
      <c r="D685" s="51"/>
      <c r="E685" s="51"/>
      <c r="F685" s="51"/>
      <c r="G685" s="11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</row>
    <row r="686" spans="2:48" s="2" customFormat="1" ht="15.75" customHeight="1">
      <c r="B686"/>
      <c r="C686" s="51"/>
      <c r="D686" s="51"/>
      <c r="E686" s="51"/>
      <c r="F686" s="51"/>
      <c r="G686" s="11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</row>
    <row r="687" spans="2:48" s="2" customFormat="1" ht="15.75" customHeight="1">
      <c r="B687"/>
      <c r="C687" s="51"/>
      <c r="D687" s="51"/>
      <c r="E687" s="51"/>
      <c r="F687" s="51"/>
      <c r="G687" s="11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</row>
    <row r="688" spans="2:48" s="2" customFormat="1" ht="15.75" customHeight="1">
      <c r="B688"/>
      <c r="C688" s="51"/>
      <c r="D688" s="51"/>
      <c r="E688" s="51"/>
      <c r="F688" s="51"/>
      <c r="G688" s="11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</row>
    <row r="689" spans="2:48" s="2" customFormat="1" ht="15.75" customHeight="1">
      <c r="B689"/>
      <c r="C689" s="51"/>
      <c r="D689" s="51"/>
      <c r="E689" s="51"/>
      <c r="F689" s="51"/>
      <c r="G689" s="11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</row>
    <row r="690" spans="2:48" s="2" customFormat="1" ht="15.75" customHeight="1">
      <c r="B690"/>
      <c r="C690" s="51"/>
      <c r="D690" s="51"/>
      <c r="E690" s="51"/>
      <c r="F690" s="51"/>
      <c r="G690" s="11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</row>
    <row r="691" spans="2:48" s="2" customFormat="1" ht="15.75" customHeight="1">
      <c r="B691"/>
      <c r="C691" s="51"/>
      <c r="D691" s="51"/>
      <c r="E691" s="51"/>
      <c r="F691" s="51"/>
      <c r="G691" s="1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</row>
    <row r="692" spans="2:48" s="2" customFormat="1" ht="15.75" customHeight="1">
      <c r="B692"/>
      <c r="C692" s="51"/>
      <c r="D692" s="51"/>
      <c r="E692" s="51"/>
      <c r="F692" s="51"/>
      <c r="G692" s="11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</row>
    <row r="693" spans="2:48" s="2" customFormat="1" ht="15.75" customHeight="1">
      <c r="B693"/>
      <c r="C693" s="51"/>
      <c r="D693" s="51"/>
      <c r="E693" s="51"/>
      <c r="F693" s="51"/>
      <c r="G693" s="11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</row>
    <row r="694" spans="2:48" s="2" customFormat="1" ht="15.75" customHeight="1">
      <c r="B694"/>
      <c r="C694" s="51"/>
      <c r="D694" s="51"/>
      <c r="E694" s="51"/>
      <c r="F694" s="51"/>
      <c r="G694" s="11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</row>
    <row r="695" spans="2:48" s="2" customFormat="1" ht="15.75" customHeight="1">
      <c r="B695"/>
      <c r="C695" s="51"/>
      <c r="D695" s="51"/>
      <c r="E695" s="51"/>
      <c r="F695" s="51"/>
      <c r="G695" s="11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</row>
    <row r="696" spans="2:48" s="2" customFormat="1" ht="15.75" customHeight="1">
      <c r="B696"/>
      <c r="C696" s="51"/>
      <c r="D696" s="51"/>
      <c r="E696" s="51"/>
      <c r="F696" s="51"/>
      <c r="G696" s="11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</row>
    <row r="697" spans="2:48" s="2" customFormat="1" ht="15.75" customHeight="1">
      <c r="B697"/>
      <c r="C697" s="51"/>
      <c r="D697" s="51"/>
      <c r="E697" s="51"/>
      <c r="F697" s="51"/>
      <c r="G697" s="11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</row>
    <row r="698" spans="2:48" s="2" customFormat="1" ht="15.75" customHeight="1">
      <c r="B698"/>
      <c r="C698" s="51"/>
      <c r="D698" s="51"/>
      <c r="E698" s="51"/>
      <c r="F698" s="51"/>
      <c r="G698" s="11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</row>
    <row r="699" spans="2:48" s="2" customFormat="1" ht="15.75" customHeight="1">
      <c r="B699"/>
      <c r="C699" s="51"/>
      <c r="D699" s="51"/>
      <c r="E699" s="51"/>
      <c r="F699" s="51"/>
      <c r="G699" s="11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</row>
    <row r="700" spans="2:48" s="2" customFormat="1" ht="15.75" customHeight="1">
      <c r="B700"/>
      <c r="C700" s="51"/>
      <c r="D700" s="51"/>
      <c r="E700" s="51"/>
      <c r="F700" s="51"/>
      <c r="G700" s="11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</row>
    <row r="701" spans="2:48" s="2" customFormat="1" ht="15.75" customHeight="1">
      <c r="B701"/>
      <c r="C701" s="51"/>
      <c r="D701" s="51"/>
      <c r="E701" s="51"/>
      <c r="F701" s="51"/>
      <c r="G701" s="1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</row>
    <row r="702" spans="2:48" s="2" customFormat="1" ht="15.75" customHeight="1">
      <c r="B702"/>
      <c r="C702" s="51"/>
      <c r="D702" s="51"/>
      <c r="E702" s="51"/>
      <c r="F702" s="51"/>
      <c r="G702" s="11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</row>
    <row r="703" spans="2:48" s="2" customFormat="1" ht="15.75" customHeight="1">
      <c r="B703"/>
      <c r="C703" s="51"/>
      <c r="D703" s="51"/>
      <c r="E703" s="51"/>
      <c r="F703" s="51"/>
      <c r="G703" s="11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</row>
    <row r="704" spans="2:48" s="2" customFormat="1" ht="15.75" customHeight="1">
      <c r="B704"/>
      <c r="C704" s="51"/>
      <c r="D704" s="51"/>
      <c r="E704" s="51"/>
      <c r="F704" s="51"/>
      <c r="G704" s="11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</row>
    <row r="705" spans="2:48" s="2" customFormat="1" ht="15.75" customHeight="1">
      <c r="B705"/>
      <c r="C705" s="51"/>
      <c r="D705" s="51"/>
      <c r="E705" s="51"/>
      <c r="F705" s="51"/>
      <c r="G705" s="11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</row>
    <row r="706" spans="2:48" s="2" customFormat="1" ht="15.75" customHeight="1">
      <c r="B706"/>
      <c r="C706" s="51"/>
      <c r="D706" s="51"/>
      <c r="E706" s="51"/>
      <c r="F706" s="51"/>
      <c r="G706" s="11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</row>
    <row r="707" spans="2:48" s="2" customFormat="1" ht="15.75" customHeight="1">
      <c r="B707"/>
      <c r="C707" s="51"/>
      <c r="D707" s="51"/>
      <c r="E707" s="51"/>
      <c r="F707" s="51"/>
      <c r="G707" s="11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</row>
    <row r="708" spans="2:48" s="2" customFormat="1" ht="15.75" customHeight="1">
      <c r="B708"/>
      <c r="C708" s="51"/>
      <c r="D708" s="51"/>
      <c r="E708" s="51"/>
      <c r="F708" s="51"/>
      <c r="G708" s="11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</row>
    <row r="709" spans="2:48" s="2" customFormat="1" ht="15.75" customHeight="1">
      <c r="B709"/>
      <c r="C709" s="51"/>
      <c r="D709" s="51"/>
      <c r="E709" s="51"/>
      <c r="F709" s="51"/>
      <c r="G709" s="11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</row>
    <row r="710" spans="2:48" s="2" customFormat="1" ht="15.75" customHeight="1">
      <c r="B710"/>
      <c r="C710" s="51"/>
      <c r="D710" s="51"/>
      <c r="E710" s="51"/>
      <c r="F710" s="51"/>
      <c r="G710" s="11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</row>
    <row r="711" spans="2:48" s="2" customFormat="1" ht="15.75" customHeight="1">
      <c r="B711"/>
      <c r="C711" s="51"/>
      <c r="D711" s="51"/>
      <c r="E711" s="51"/>
      <c r="F711" s="51"/>
      <c r="G711" s="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</row>
    <row r="712" spans="2:48" s="2" customFormat="1" ht="15.75" customHeight="1">
      <c r="B712"/>
      <c r="C712" s="51"/>
      <c r="D712" s="51"/>
      <c r="E712" s="51"/>
      <c r="F712" s="51"/>
      <c r="G712" s="11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</row>
    <row r="713" spans="2:48" s="2" customFormat="1" ht="15.75" customHeight="1">
      <c r="B713"/>
      <c r="C713" s="51"/>
      <c r="D713" s="51"/>
      <c r="E713" s="51"/>
      <c r="F713" s="51"/>
      <c r="G713" s="11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</row>
    <row r="714" spans="2:48" s="2" customFormat="1" ht="15.75" customHeight="1">
      <c r="B714"/>
      <c r="C714" s="51"/>
      <c r="D714" s="51"/>
      <c r="E714" s="51"/>
      <c r="F714" s="51"/>
      <c r="G714" s="11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</row>
    <row r="715" spans="2:48" s="2" customFormat="1" ht="15.75" customHeight="1">
      <c r="B715"/>
      <c r="C715" s="51"/>
      <c r="D715" s="51"/>
      <c r="E715" s="51"/>
      <c r="F715" s="51"/>
      <c r="G715" s="11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</row>
    <row r="716" spans="2:48" s="2" customFormat="1" ht="15.75" customHeight="1">
      <c r="B716"/>
      <c r="C716" s="51"/>
      <c r="D716" s="51"/>
      <c r="E716" s="51"/>
      <c r="F716" s="51"/>
      <c r="G716" s="11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</row>
    <row r="717" spans="2:48" s="2" customFormat="1" ht="15.75" customHeight="1">
      <c r="B717"/>
      <c r="C717" s="51"/>
      <c r="D717" s="51"/>
      <c r="E717" s="51"/>
      <c r="F717" s="51"/>
      <c r="G717" s="11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</row>
    <row r="718" spans="2:48" s="2" customFormat="1" ht="15.75" customHeight="1">
      <c r="B718"/>
      <c r="C718" s="51"/>
      <c r="D718" s="51"/>
      <c r="E718" s="51"/>
      <c r="F718" s="51"/>
      <c r="G718" s="11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</row>
    <row r="719" spans="2:48" s="2" customFormat="1" ht="15.75" customHeight="1">
      <c r="B719"/>
      <c r="C719" s="51"/>
      <c r="D719" s="51"/>
      <c r="E719" s="51"/>
      <c r="F719" s="51"/>
      <c r="G719" s="11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</row>
    <row r="720" spans="2:48" s="2" customFormat="1" ht="15.75" customHeight="1">
      <c r="B720"/>
      <c r="C720" s="51"/>
      <c r="D720" s="51"/>
      <c r="E720" s="51"/>
      <c r="F720" s="51"/>
      <c r="G720" s="11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</row>
    <row r="721" spans="2:48" s="2" customFormat="1" ht="15.75" customHeight="1">
      <c r="B721"/>
      <c r="C721" s="51"/>
      <c r="D721" s="51"/>
      <c r="E721" s="51"/>
      <c r="F721" s="51"/>
      <c r="G721" s="1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</row>
    <row r="722" spans="2:48" s="2" customFormat="1" ht="15.75" customHeight="1">
      <c r="B722"/>
      <c r="C722" s="51"/>
      <c r="D722" s="51"/>
      <c r="E722" s="51"/>
      <c r="F722" s="51"/>
      <c r="G722" s="11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</row>
    <row r="723" spans="2:48" s="2" customFormat="1" ht="15.75" customHeight="1">
      <c r="B723"/>
      <c r="C723" s="51"/>
      <c r="D723" s="51"/>
      <c r="E723" s="51"/>
      <c r="F723" s="51"/>
      <c r="G723" s="11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</row>
    <row r="724" spans="2:48" s="2" customFormat="1" ht="15.75" customHeight="1">
      <c r="B724"/>
      <c r="C724" s="51"/>
      <c r="D724" s="51"/>
      <c r="E724" s="51"/>
      <c r="F724" s="51"/>
      <c r="G724" s="11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</row>
    <row r="725" spans="2:48" s="2" customFormat="1" ht="15.75" customHeight="1">
      <c r="B725"/>
      <c r="C725" s="51"/>
      <c r="D725" s="51"/>
      <c r="E725" s="51"/>
      <c r="F725" s="51"/>
      <c r="G725" s="11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</row>
    <row r="726" spans="2:48" s="2" customFormat="1" ht="15.75" customHeight="1">
      <c r="B726"/>
      <c r="C726" s="51"/>
      <c r="D726" s="51"/>
      <c r="E726" s="51"/>
      <c r="F726" s="51"/>
      <c r="G726" s="11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</row>
    <row r="727" spans="2:48" s="2" customFormat="1" ht="15.75" customHeight="1">
      <c r="B727"/>
      <c r="C727" s="51"/>
      <c r="D727" s="51"/>
      <c r="E727" s="51"/>
      <c r="F727" s="51"/>
      <c r="G727" s="11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</row>
    <row r="728" spans="2:48" s="2" customFormat="1" ht="15.75" customHeight="1">
      <c r="B728"/>
      <c r="C728" s="51"/>
      <c r="D728" s="51"/>
      <c r="E728" s="51"/>
      <c r="F728" s="51"/>
      <c r="G728" s="11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</row>
    <row r="729" spans="2:48" s="2" customFormat="1" ht="15.75" customHeight="1">
      <c r="B729"/>
      <c r="C729" s="51"/>
      <c r="D729" s="51"/>
      <c r="E729" s="51"/>
      <c r="F729" s="51"/>
      <c r="G729" s="11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</row>
    <row r="730" spans="2:48" s="2" customFormat="1" ht="15.75" customHeight="1">
      <c r="B730"/>
      <c r="C730" s="51"/>
      <c r="D730" s="51"/>
      <c r="E730" s="51"/>
      <c r="F730" s="51"/>
      <c r="G730" s="11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</row>
    <row r="731" spans="2:48" s="2" customFormat="1" ht="15.75" customHeight="1">
      <c r="B731"/>
      <c r="C731" s="51"/>
      <c r="D731" s="51"/>
      <c r="E731" s="51"/>
      <c r="F731" s="51"/>
      <c r="G731" s="1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</row>
    <row r="732" spans="2:48" s="2" customFormat="1" ht="15.75" customHeight="1">
      <c r="B732"/>
      <c r="C732" s="51"/>
      <c r="D732" s="51"/>
      <c r="E732" s="51"/>
      <c r="F732" s="51"/>
      <c r="G732" s="11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</row>
    <row r="733" spans="2:48" s="2" customFormat="1" ht="15.75" customHeight="1">
      <c r="B733"/>
      <c r="C733" s="51"/>
      <c r="D733" s="51"/>
      <c r="E733" s="51"/>
      <c r="F733" s="51"/>
      <c r="G733" s="11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</row>
    <row r="734" spans="2:48" s="2" customFormat="1" ht="15.75" customHeight="1">
      <c r="B734"/>
      <c r="C734" s="51"/>
      <c r="D734" s="51"/>
      <c r="E734" s="51"/>
      <c r="F734" s="51"/>
      <c r="G734" s="11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</row>
  </sheetData>
  <sheetProtection/>
  <mergeCells count="2">
    <mergeCell ref="B2:F2"/>
    <mergeCell ref="B3:F3"/>
  </mergeCells>
  <printOptions/>
  <pageMargins left="0.42" right="0.15748031496062992" top="0.15748031496062992" bottom="0.15748031496062992" header="0.15748031496062992" footer="0.15748031496062992"/>
  <pageSetup horizontalDpi="300" verticalDpi="3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1.875" style="0" customWidth="1"/>
    <col min="2" max="2" width="13.375" style="0" customWidth="1"/>
    <col min="3" max="3" width="10.625" style="0" customWidth="1"/>
    <col min="4" max="4" width="9.125" style="0" customWidth="1"/>
    <col min="5" max="5" width="10.75390625" style="0" customWidth="1"/>
    <col min="6" max="6" width="7.00390625" style="0" customWidth="1"/>
    <col min="7" max="7" width="11.875" style="0" customWidth="1"/>
    <col min="8" max="8" width="10.125" style="0" customWidth="1"/>
    <col min="9" max="9" width="9.125" style="0" customWidth="1"/>
    <col min="10" max="10" width="11.25390625" style="163" customWidth="1"/>
    <col min="11" max="11" width="10.625" style="163" customWidth="1"/>
    <col min="12" max="12" width="10.875" style="163" customWidth="1"/>
    <col min="13" max="13" width="10.75390625" style="163" customWidth="1"/>
    <col min="14" max="14" width="12.25390625" style="163" customWidth="1"/>
    <col min="15" max="15" width="11.00390625" style="163" customWidth="1"/>
    <col min="16" max="18" width="12.75390625" style="0" customWidth="1"/>
    <col min="19" max="19" width="10.25390625" style="0" customWidth="1"/>
  </cols>
  <sheetData>
    <row r="1" spans="1:15" ht="12.75">
      <c r="A1" s="157"/>
      <c r="B1" s="157"/>
      <c r="C1" s="157"/>
      <c r="D1" s="157"/>
      <c r="E1" s="157"/>
      <c r="F1" s="157"/>
      <c r="G1" s="157"/>
      <c r="H1" s="157"/>
      <c r="I1" s="157"/>
      <c r="J1" s="254"/>
      <c r="K1" s="254"/>
      <c r="L1" s="254"/>
      <c r="M1" s="254"/>
      <c r="N1" s="254"/>
      <c r="O1" s="254"/>
    </row>
    <row r="2" spans="1:15" ht="12.75">
      <c r="A2" s="157"/>
      <c r="B2" s="157"/>
      <c r="C2" s="157"/>
      <c r="D2" s="157"/>
      <c r="E2" s="157"/>
      <c r="F2" s="157"/>
      <c r="G2" s="157"/>
      <c r="H2" s="157"/>
      <c r="I2" s="157"/>
      <c r="J2" s="254"/>
      <c r="K2" s="254"/>
      <c r="L2" s="254"/>
      <c r="M2" s="254"/>
      <c r="N2" s="254"/>
      <c r="O2" s="139" t="s">
        <v>1102</v>
      </c>
    </row>
    <row r="3" spans="1:15" ht="16.5" customHeight="1">
      <c r="A3" s="1075" t="s">
        <v>154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</row>
    <row r="4" spans="1:16" ht="30.75" customHeight="1">
      <c r="A4" s="1076" t="s">
        <v>1097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255"/>
    </row>
    <row r="5" spans="1:15" ht="12" customHeight="1">
      <c r="A5" s="1063"/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</row>
    <row r="6" spans="1:15" ht="12.75" customHeight="1" thickBot="1">
      <c r="A6" s="5"/>
      <c r="B6" s="5"/>
      <c r="C6" s="5"/>
      <c r="D6" s="5"/>
      <c r="E6" s="5"/>
      <c r="F6" s="5"/>
      <c r="G6" s="5"/>
      <c r="H6" s="5"/>
      <c r="I6" s="5"/>
      <c r="J6" s="159"/>
      <c r="K6" s="159"/>
      <c r="L6" s="159"/>
      <c r="M6" s="159"/>
      <c r="N6" s="159"/>
      <c r="O6" s="139" t="s">
        <v>0</v>
      </c>
    </row>
    <row r="7" spans="1:15" ht="43.5" customHeight="1">
      <c r="A7" s="1085" t="s">
        <v>144</v>
      </c>
      <c r="B7" s="1088" t="s">
        <v>145</v>
      </c>
      <c r="C7" s="1088" t="s">
        <v>146</v>
      </c>
      <c r="D7" s="1080" t="s">
        <v>153</v>
      </c>
      <c r="E7" s="1088" t="s">
        <v>147</v>
      </c>
      <c r="F7" s="945"/>
      <c r="G7" s="1080" t="s">
        <v>1125</v>
      </c>
      <c r="H7" s="1072" t="s">
        <v>148</v>
      </c>
      <c r="I7" s="1073"/>
      <c r="J7" s="1073"/>
      <c r="K7" s="1074"/>
      <c r="L7" s="1080" t="s">
        <v>469</v>
      </c>
      <c r="M7" s="944"/>
      <c r="N7" s="944"/>
      <c r="O7" s="1077" t="s">
        <v>490</v>
      </c>
    </row>
    <row r="8" spans="1:15" ht="51" customHeight="1">
      <c r="A8" s="1086"/>
      <c r="B8" s="1070"/>
      <c r="C8" s="1070"/>
      <c r="D8" s="1081"/>
      <c r="E8" s="1070"/>
      <c r="F8" s="332" t="s">
        <v>470</v>
      </c>
      <c r="G8" s="1081"/>
      <c r="H8" s="1083" t="s">
        <v>150</v>
      </c>
      <c r="I8" s="1084"/>
      <c r="J8" s="1070" t="s">
        <v>149</v>
      </c>
      <c r="K8" s="1070" t="s">
        <v>471</v>
      </c>
      <c r="L8" s="1081"/>
      <c r="M8" s="321" t="s">
        <v>1099</v>
      </c>
      <c r="N8" s="321" t="s">
        <v>1121</v>
      </c>
      <c r="O8" s="1078"/>
    </row>
    <row r="9" spans="1:15" ht="41.25" customHeight="1" thickBot="1">
      <c r="A9" s="1087"/>
      <c r="B9" s="1071"/>
      <c r="C9" s="1071"/>
      <c r="D9" s="1082"/>
      <c r="E9" s="1071"/>
      <c r="F9" s="946"/>
      <c r="G9" s="1082"/>
      <c r="H9" s="947" t="s">
        <v>151</v>
      </c>
      <c r="I9" s="947" t="s">
        <v>152</v>
      </c>
      <c r="J9" s="1071"/>
      <c r="K9" s="1071"/>
      <c r="L9" s="1082"/>
      <c r="M9" s="946"/>
      <c r="N9" s="946"/>
      <c r="O9" s="1079"/>
    </row>
    <row r="10" spans="1:15" ht="28.5" customHeight="1">
      <c r="A10" s="938" t="s">
        <v>872</v>
      </c>
      <c r="B10" s="939" t="s">
        <v>875</v>
      </c>
      <c r="C10" s="940">
        <v>120000</v>
      </c>
      <c r="D10" s="941" t="s">
        <v>879</v>
      </c>
      <c r="E10" s="940">
        <v>120000</v>
      </c>
      <c r="F10" s="940">
        <v>0</v>
      </c>
      <c r="G10" s="940">
        <v>115800</v>
      </c>
      <c r="H10" s="940">
        <v>115800</v>
      </c>
      <c r="I10" s="942">
        <v>0</v>
      </c>
      <c r="J10" s="940">
        <v>3408</v>
      </c>
      <c r="K10" s="940">
        <f>(J10+H10)</f>
        <v>119208</v>
      </c>
      <c r="L10" s="940">
        <v>0</v>
      </c>
      <c r="M10" s="940">
        <f>SUM(K10-4020)</f>
        <v>115188</v>
      </c>
      <c r="N10" s="940">
        <v>0</v>
      </c>
      <c r="O10" s="943" t="s">
        <v>86</v>
      </c>
    </row>
    <row r="11" spans="1:15" ht="51">
      <c r="A11" s="934" t="s">
        <v>873</v>
      </c>
      <c r="B11" s="935" t="s">
        <v>876</v>
      </c>
      <c r="C11" s="120">
        <v>150000</v>
      </c>
      <c r="D11" s="260" t="s">
        <v>879</v>
      </c>
      <c r="E11" s="120">
        <v>150000</v>
      </c>
      <c r="F11" s="120">
        <v>0</v>
      </c>
      <c r="G11" s="120">
        <v>144750</v>
      </c>
      <c r="H11" s="120">
        <v>144750</v>
      </c>
      <c r="I11" s="15">
        <v>0</v>
      </c>
      <c r="J11" s="120">
        <v>0</v>
      </c>
      <c r="K11" s="120">
        <v>144750</v>
      </c>
      <c r="L11" s="120">
        <v>0</v>
      </c>
      <c r="M11" s="120">
        <f>SUM(K11-5061)</f>
        <v>139689</v>
      </c>
      <c r="N11" s="120">
        <v>0</v>
      </c>
      <c r="O11" s="928" t="s">
        <v>86</v>
      </c>
    </row>
    <row r="12" spans="1:15" ht="25.5">
      <c r="A12" s="934" t="s">
        <v>874</v>
      </c>
      <c r="B12" s="935" t="s">
        <v>877</v>
      </c>
      <c r="C12" s="120">
        <v>680000</v>
      </c>
      <c r="D12" s="260" t="s">
        <v>879</v>
      </c>
      <c r="E12" s="120">
        <v>680000</v>
      </c>
      <c r="F12" s="120">
        <v>0</v>
      </c>
      <c r="G12" s="120">
        <v>665000</v>
      </c>
      <c r="H12" s="120">
        <v>665000</v>
      </c>
      <c r="I12" s="15">
        <v>0</v>
      </c>
      <c r="J12" s="120">
        <v>0</v>
      </c>
      <c r="K12" s="120">
        <v>665000</v>
      </c>
      <c r="L12" s="120">
        <v>0</v>
      </c>
      <c r="M12" s="120">
        <f>SUM(K12-36294-'3.felh'!C76)</f>
        <v>329506</v>
      </c>
      <c r="N12" s="120">
        <v>0</v>
      </c>
      <c r="O12" s="928" t="s">
        <v>86</v>
      </c>
    </row>
    <row r="13" spans="1:15" ht="51">
      <c r="A13" s="934" t="s">
        <v>1122</v>
      </c>
      <c r="B13" s="936" t="s">
        <v>878</v>
      </c>
      <c r="C13" s="14">
        <v>234795</v>
      </c>
      <c r="D13" s="929" t="s">
        <v>879</v>
      </c>
      <c r="E13" s="14">
        <v>234795</v>
      </c>
      <c r="F13" s="14">
        <v>0</v>
      </c>
      <c r="G13" s="14">
        <v>229295</v>
      </c>
      <c r="H13" s="14">
        <v>229295</v>
      </c>
      <c r="I13" s="10">
        <v>0</v>
      </c>
      <c r="J13" s="14">
        <v>0</v>
      </c>
      <c r="K13" s="14">
        <v>229295</v>
      </c>
      <c r="L13" s="14">
        <v>0</v>
      </c>
      <c r="M13" s="120">
        <f>SUM(K13-8795)</f>
        <v>220500</v>
      </c>
      <c r="N13" s="14">
        <v>0</v>
      </c>
      <c r="O13" s="930" t="s">
        <v>86</v>
      </c>
    </row>
    <row r="14" spans="1:15" ht="46.5" customHeight="1" thickBot="1">
      <c r="A14" s="937" t="s">
        <v>1124</v>
      </c>
      <c r="B14" s="340" t="s">
        <v>1123</v>
      </c>
      <c r="C14" s="120">
        <v>249999</v>
      </c>
      <c r="D14" s="260" t="s">
        <v>879</v>
      </c>
      <c r="E14" s="120">
        <v>118573</v>
      </c>
      <c r="F14" s="120">
        <v>0</v>
      </c>
      <c r="G14" s="120">
        <v>118573</v>
      </c>
      <c r="H14" s="120">
        <v>118573</v>
      </c>
      <c r="I14" s="15">
        <v>0</v>
      </c>
      <c r="J14" s="120">
        <v>0</v>
      </c>
      <c r="K14" s="120">
        <v>118573</v>
      </c>
      <c r="L14" s="120">
        <v>0</v>
      </c>
      <c r="M14" s="120">
        <v>118573</v>
      </c>
      <c r="N14" s="120">
        <v>0</v>
      </c>
      <c r="O14" s="928" t="s">
        <v>86</v>
      </c>
    </row>
    <row r="15" spans="1:15" ht="19.5" customHeight="1" thickBot="1">
      <c r="A15" s="256" t="s">
        <v>91</v>
      </c>
      <c r="B15" s="257"/>
      <c r="C15" s="258">
        <f>SUM(C10:C14)</f>
        <v>1434794</v>
      </c>
      <c r="D15" s="257"/>
      <c r="E15" s="258">
        <f>SUM(E10:E14)</f>
        <v>1303368</v>
      </c>
      <c r="F15" s="258">
        <f>SUM(F10:F14)</f>
        <v>0</v>
      </c>
      <c r="G15" s="341">
        <f>SUM(E15:F15)</f>
        <v>1303368</v>
      </c>
      <c r="H15" s="258">
        <f>SUM(H10:H14)</f>
        <v>1273418</v>
      </c>
      <c r="I15" s="258">
        <f>SUM(I10:I14)</f>
        <v>0</v>
      </c>
      <c r="J15" s="258">
        <f>SUM(J10:J14)</f>
        <v>3408</v>
      </c>
      <c r="K15" s="258">
        <f>SUM(K10:K14)</f>
        <v>1276826</v>
      </c>
      <c r="L15" s="258">
        <f>SUM(L13:L13)</f>
        <v>0</v>
      </c>
      <c r="M15" s="258">
        <f>SUM(M10:M13)</f>
        <v>804883</v>
      </c>
      <c r="N15" s="258">
        <f>SUM(N13:N13)</f>
        <v>0</v>
      </c>
      <c r="O15" s="259"/>
    </row>
    <row r="16" spans="10:19" ht="12.75" customHeight="1">
      <c r="J16"/>
      <c r="K16" s="51">
        <f>SUM(H15:J15)</f>
        <v>1276826</v>
      </c>
      <c r="L16" s="105"/>
      <c r="M16"/>
      <c r="N16"/>
      <c r="O16"/>
      <c r="P16" s="4"/>
      <c r="Q16" s="4"/>
      <c r="R16" s="4"/>
      <c r="S16" s="4"/>
    </row>
    <row r="17" spans="2:19" ht="12.75" customHeight="1">
      <c r="B17" s="105"/>
      <c r="C17" s="105"/>
      <c r="D17" s="105"/>
      <c r="E17" s="105"/>
      <c r="F17" s="105"/>
      <c r="G17" s="105"/>
      <c r="H17" s="105"/>
      <c r="I17" s="105"/>
      <c r="J17" s="162"/>
      <c r="K17" s="162"/>
      <c r="L17" s="162"/>
      <c r="M17" s="162"/>
      <c r="N17" s="162"/>
      <c r="O17" s="162"/>
      <c r="P17" s="4"/>
      <c r="Q17" s="4"/>
      <c r="R17" s="4"/>
      <c r="S17" s="4"/>
    </row>
    <row r="18" spans="2:19" ht="12.75" customHeight="1">
      <c r="B18" s="105"/>
      <c r="C18" s="105"/>
      <c r="D18" s="105"/>
      <c r="E18" s="105"/>
      <c r="F18" s="105"/>
      <c r="G18" s="105"/>
      <c r="H18" s="105"/>
      <c r="I18" s="105"/>
      <c r="J18" s="162"/>
      <c r="K18" s="162"/>
      <c r="L18" s="162"/>
      <c r="M18" s="162"/>
      <c r="N18" s="162"/>
      <c r="O18" s="162"/>
      <c r="P18" s="4"/>
      <c r="Q18" s="4"/>
      <c r="R18" s="4"/>
      <c r="S18" s="4"/>
    </row>
    <row r="19" spans="2:19" ht="12.75" customHeight="1">
      <c r="B19" s="105"/>
      <c r="C19" s="105"/>
      <c r="D19" s="105"/>
      <c r="E19" s="105"/>
      <c r="F19" s="105"/>
      <c r="G19" s="105"/>
      <c r="H19" s="105"/>
      <c r="I19" s="105"/>
      <c r="J19" s="162"/>
      <c r="K19" s="162"/>
      <c r="L19" s="162"/>
      <c r="M19" s="162"/>
      <c r="N19" s="162"/>
      <c r="O19" s="162"/>
      <c r="P19" s="4"/>
      <c r="Q19" s="4"/>
      <c r="R19" s="4"/>
      <c r="S19" s="4"/>
    </row>
    <row r="20" spans="2:19" ht="12.75" customHeight="1">
      <c r="B20" s="105"/>
      <c r="C20" s="105"/>
      <c r="D20" s="105"/>
      <c r="E20" s="105"/>
      <c r="F20" s="105"/>
      <c r="G20" s="105"/>
      <c r="H20" s="105"/>
      <c r="I20" s="105"/>
      <c r="J20" s="162"/>
      <c r="K20" s="162"/>
      <c r="L20" s="162"/>
      <c r="M20" s="162"/>
      <c r="N20" s="162"/>
      <c r="O20" s="162"/>
      <c r="P20" s="4"/>
      <c r="Q20" s="4"/>
      <c r="R20" s="4"/>
      <c r="S20" s="4"/>
    </row>
    <row r="21" spans="2:19" ht="12.75" customHeight="1">
      <c r="B21" s="105"/>
      <c r="C21" s="105"/>
      <c r="D21" s="105"/>
      <c r="E21" s="105"/>
      <c r="F21" s="105"/>
      <c r="G21" s="105"/>
      <c r="H21" s="105"/>
      <c r="I21" s="105"/>
      <c r="J21" s="162"/>
      <c r="K21" s="162"/>
      <c r="L21" s="162"/>
      <c r="M21" s="162"/>
      <c r="N21" s="162"/>
      <c r="O21" s="162"/>
      <c r="P21" s="4"/>
      <c r="Q21" s="4"/>
      <c r="R21" s="4"/>
      <c r="S21" s="4"/>
    </row>
    <row r="22" spans="2:19" ht="12.75" customHeight="1">
      <c r="B22" s="105"/>
      <c r="C22" s="105"/>
      <c r="D22" s="105"/>
      <c r="E22" s="105"/>
      <c r="F22" s="105"/>
      <c r="G22" s="105"/>
      <c r="H22" s="105"/>
      <c r="I22" s="105"/>
      <c r="J22" s="162"/>
      <c r="K22" s="162"/>
      <c r="L22" s="162"/>
      <c r="M22" s="162"/>
      <c r="N22" s="162"/>
      <c r="O22" s="162"/>
      <c r="P22" s="4"/>
      <c r="Q22" s="4"/>
      <c r="R22" s="4"/>
      <c r="S22" s="4"/>
    </row>
    <row r="23" spans="2:19" ht="12.75" customHeight="1">
      <c r="B23" s="105"/>
      <c r="C23" s="105"/>
      <c r="D23" s="105"/>
      <c r="E23" s="105"/>
      <c r="F23" s="105"/>
      <c r="G23" s="105"/>
      <c r="H23" s="105"/>
      <c r="I23" s="105"/>
      <c r="J23" s="162"/>
      <c r="K23" s="162"/>
      <c r="L23" s="162"/>
      <c r="M23" s="162"/>
      <c r="N23" s="162"/>
      <c r="O23" s="162"/>
      <c r="P23" s="4"/>
      <c r="Q23" s="4"/>
      <c r="R23" s="4"/>
      <c r="S23" s="4"/>
    </row>
    <row r="24" spans="2:19" ht="12.75" customHeight="1">
      <c r="B24" s="105"/>
      <c r="C24" s="105"/>
      <c r="D24" s="105"/>
      <c r="E24" s="105"/>
      <c r="F24" s="105"/>
      <c r="G24" s="105"/>
      <c r="H24" s="105"/>
      <c r="I24" s="105"/>
      <c r="J24" s="162"/>
      <c r="K24" s="162"/>
      <c r="L24" s="162"/>
      <c r="M24" s="162"/>
      <c r="N24" s="162"/>
      <c r="O24" s="162"/>
      <c r="P24" s="4"/>
      <c r="Q24" s="4"/>
      <c r="R24" s="4"/>
      <c r="S24" s="4"/>
    </row>
    <row r="25" spans="2:19" ht="12.75" customHeight="1">
      <c r="B25" s="105"/>
      <c r="C25" s="105"/>
      <c r="D25" s="105"/>
      <c r="E25" s="105"/>
      <c r="F25" s="105"/>
      <c r="G25" s="105"/>
      <c r="H25" s="105"/>
      <c r="I25" s="105"/>
      <c r="J25" s="162"/>
      <c r="K25" s="162"/>
      <c r="L25" s="162"/>
      <c r="M25" s="162"/>
      <c r="N25" s="162"/>
      <c r="O25" s="162"/>
      <c r="P25" s="4"/>
      <c r="Q25" s="4"/>
      <c r="R25" s="4"/>
      <c r="S25" s="4"/>
    </row>
    <row r="26" spans="2:19" ht="12.75" customHeight="1">
      <c r="B26" s="105"/>
      <c r="C26" s="105"/>
      <c r="D26" s="105"/>
      <c r="E26" s="105"/>
      <c r="F26" s="105"/>
      <c r="G26" s="105"/>
      <c r="H26" s="105"/>
      <c r="I26" s="105"/>
      <c r="J26" s="162"/>
      <c r="K26" s="162"/>
      <c r="L26" s="162"/>
      <c r="M26" s="162"/>
      <c r="N26" s="162"/>
      <c r="O26" s="162"/>
      <c r="P26" s="4"/>
      <c r="Q26" s="4"/>
      <c r="R26" s="4"/>
      <c r="S26" s="4"/>
    </row>
    <row r="27" spans="2:19" ht="12.75" customHeight="1">
      <c r="B27" s="105"/>
      <c r="C27" s="105"/>
      <c r="D27" s="105"/>
      <c r="E27" s="105"/>
      <c r="F27" s="105"/>
      <c r="G27" s="105"/>
      <c r="H27" s="105"/>
      <c r="I27" s="105"/>
      <c r="J27" s="162"/>
      <c r="K27" s="162"/>
      <c r="L27" s="162"/>
      <c r="M27" s="162"/>
      <c r="N27" s="162"/>
      <c r="O27" s="162"/>
      <c r="P27" s="4"/>
      <c r="Q27" s="4"/>
      <c r="R27" s="4"/>
      <c r="S27" s="4"/>
    </row>
    <row r="28" spans="2:19" ht="12.75" customHeight="1">
      <c r="B28" s="105"/>
      <c r="C28" s="105"/>
      <c r="D28" s="105"/>
      <c r="E28" s="105"/>
      <c r="F28" s="105"/>
      <c r="G28" s="105"/>
      <c r="H28" s="105"/>
      <c r="I28" s="105"/>
      <c r="J28" s="162"/>
      <c r="K28" s="162"/>
      <c r="L28" s="162"/>
      <c r="M28" s="162"/>
      <c r="N28" s="162"/>
      <c r="O28" s="162"/>
      <c r="P28" s="4"/>
      <c r="Q28" s="4"/>
      <c r="R28" s="4"/>
      <c r="S28" s="4"/>
    </row>
    <row r="29" spans="2:19" ht="12.75" customHeight="1">
      <c r="B29" s="105"/>
      <c r="C29" s="105"/>
      <c r="D29" s="105"/>
      <c r="E29" s="105"/>
      <c r="F29" s="105"/>
      <c r="G29" s="105"/>
      <c r="H29" s="105"/>
      <c r="I29" s="105"/>
      <c r="J29" s="162"/>
      <c r="K29" s="162"/>
      <c r="L29" s="162"/>
      <c r="M29" s="162"/>
      <c r="N29" s="162"/>
      <c r="O29" s="162"/>
      <c r="P29" s="4"/>
      <c r="Q29" s="4"/>
      <c r="R29" s="4"/>
      <c r="S29" s="4"/>
    </row>
    <row r="30" spans="2:19" ht="12.75" customHeight="1">
      <c r="B30" s="105"/>
      <c r="C30" s="105"/>
      <c r="D30" s="105"/>
      <c r="E30" s="105"/>
      <c r="F30" s="105"/>
      <c r="G30" s="105"/>
      <c r="H30" s="105"/>
      <c r="I30" s="105"/>
      <c r="J30" s="162"/>
      <c r="K30" s="162"/>
      <c r="L30" s="162"/>
      <c r="M30" s="162"/>
      <c r="N30" s="162"/>
      <c r="O30" s="162"/>
      <c r="P30" s="4"/>
      <c r="Q30" s="4"/>
      <c r="R30" s="4"/>
      <c r="S30" s="4"/>
    </row>
    <row r="31" spans="2:19" ht="12.75" customHeight="1">
      <c r="B31" s="105"/>
      <c r="C31" s="105"/>
      <c r="D31" s="105"/>
      <c r="E31" s="105"/>
      <c r="F31" s="105"/>
      <c r="G31" s="105"/>
      <c r="H31" s="105"/>
      <c r="I31" s="105"/>
      <c r="J31" s="162"/>
      <c r="K31" s="162"/>
      <c r="L31" s="162"/>
      <c r="M31" s="162"/>
      <c r="N31" s="162"/>
      <c r="O31" s="162"/>
      <c r="P31" s="4"/>
      <c r="Q31" s="4"/>
      <c r="R31" s="4"/>
      <c r="S31" s="4"/>
    </row>
    <row r="32" spans="2:19" ht="12.75" customHeight="1">
      <c r="B32" s="105"/>
      <c r="C32" s="105"/>
      <c r="D32" s="105"/>
      <c r="E32" s="105"/>
      <c r="F32" s="105"/>
      <c r="G32" s="105"/>
      <c r="H32" s="105"/>
      <c r="I32" s="105"/>
      <c r="J32" s="162"/>
      <c r="K32" s="162"/>
      <c r="L32" s="162"/>
      <c r="M32" s="162"/>
      <c r="N32" s="162"/>
      <c r="O32" s="162"/>
      <c r="P32" s="4"/>
      <c r="Q32" s="4"/>
      <c r="R32" s="4"/>
      <c r="S32" s="4"/>
    </row>
    <row r="33" spans="2:19" ht="12.75" customHeight="1">
      <c r="B33" s="105"/>
      <c r="C33" s="105"/>
      <c r="D33" s="105"/>
      <c r="E33" s="105"/>
      <c r="F33" s="105"/>
      <c r="G33" s="105"/>
      <c r="H33" s="105"/>
      <c r="I33" s="105"/>
      <c r="J33" s="162"/>
      <c r="K33" s="162"/>
      <c r="L33" s="162"/>
      <c r="M33" s="162"/>
      <c r="N33" s="162"/>
      <c r="O33" s="162"/>
      <c r="P33" s="4"/>
      <c r="Q33" s="4"/>
      <c r="R33" s="4"/>
      <c r="S33" s="4"/>
    </row>
    <row r="34" spans="2:19" ht="12.75" customHeight="1">
      <c r="B34" s="105"/>
      <c r="C34" s="105"/>
      <c r="D34" s="105"/>
      <c r="E34" s="105"/>
      <c r="F34" s="105"/>
      <c r="G34" s="105"/>
      <c r="H34" s="105"/>
      <c r="I34" s="105"/>
      <c r="J34" s="162"/>
      <c r="K34" s="162"/>
      <c r="L34" s="162"/>
      <c r="M34" s="162"/>
      <c r="N34" s="162"/>
      <c r="O34" s="162"/>
      <c r="P34" s="4"/>
      <c r="Q34" s="4"/>
      <c r="R34" s="4"/>
      <c r="S34" s="4"/>
    </row>
    <row r="35" spans="2:19" ht="12.75" customHeight="1">
      <c r="B35" s="105"/>
      <c r="C35" s="105"/>
      <c r="D35" s="105"/>
      <c r="E35" s="105"/>
      <c r="F35" s="105"/>
      <c r="G35" s="105"/>
      <c r="H35" s="105"/>
      <c r="I35" s="105"/>
      <c r="J35" s="162"/>
      <c r="K35" s="162"/>
      <c r="L35" s="162"/>
      <c r="M35" s="162"/>
      <c r="N35" s="162"/>
      <c r="O35" s="162"/>
      <c r="P35" s="4"/>
      <c r="Q35" s="4"/>
      <c r="R35" s="4"/>
      <c r="S35" s="4"/>
    </row>
    <row r="36" spans="2:19" ht="12.75" customHeight="1">
      <c r="B36" s="105"/>
      <c r="C36" s="105"/>
      <c r="D36" s="105"/>
      <c r="E36" s="105"/>
      <c r="F36" s="105"/>
      <c r="G36" s="105"/>
      <c r="H36" s="105"/>
      <c r="I36" s="105"/>
      <c r="J36" s="162"/>
      <c r="K36" s="162"/>
      <c r="L36" s="162"/>
      <c r="M36" s="162"/>
      <c r="N36" s="162"/>
      <c r="O36" s="162"/>
      <c r="P36" s="4"/>
      <c r="Q36" s="4"/>
      <c r="R36" s="4"/>
      <c r="S36" s="4"/>
    </row>
    <row r="37" spans="2:19" ht="12.75" customHeight="1">
      <c r="B37" s="105"/>
      <c r="C37" s="105"/>
      <c r="D37" s="105"/>
      <c r="E37" s="105"/>
      <c r="F37" s="105"/>
      <c r="G37" s="105"/>
      <c r="H37" s="105"/>
      <c r="I37" s="105"/>
      <c r="J37" s="162"/>
      <c r="K37" s="162"/>
      <c r="L37" s="162"/>
      <c r="M37" s="162"/>
      <c r="N37" s="162"/>
      <c r="O37" s="162"/>
      <c r="P37" s="4"/>
      <c r="Q37" s="4"/>
      <c r="R37" s="4"/>
      <c r="S37" s="4"/>
    </row>
    <row r="38" spans="2:19" ht="12.75" customHeight="1">
      <c r="B38" s="105"/>
      <c r="C38" s="105"/>
      <c r="D38" s="105"/>
      <c r="E38" s="105"/>
      <c r="F38" s="105"/>
      <c r="G38" s="105"/>
      <c r="H38" s="105"/>
      <c r="I38" s="105"/>
      <c r="J38" s="162"/>
      <c r="K38" s="162"/>
      <c r="L38" s="162"/>
      <c r="M38" s="162"/>
      <c r="N38" s="162"/>
      <c r="O38" s="162"/>
      <c r="P38" s="4"/>
      <c r="Q38" s="4"/>
      <c r="R38" s="4"/>
      <c r="S38" s="4"/>
    </row>
    <row r="39" spans="2:19" ht="12.75" customHeight="1">
      <c r="B39" s="105"/>
      <c r="C39" s="105"/>
      <c r="D39" s="105"/>
      <c r="E39" s="105"/>
      <c r="F39" s="105"/>
      <c r="G39" s="105"/>
      <c r="H39" s="105"/>
      <c r="I39" s="105"/>
      <c r="J39" s="162"/>
      <c r="K39" s="162"/>
      <c r="L39" s="162"/>
      <c r="M39" s="162"/>
      <c r="N39" s="162"/>
      <c r="O39" s="162"/>
      <c r="P39" s="4"/>
      <c r="Q39" s="4"/>
      <c r="R39" s="4"/>
      <c r="S39" s="4"/>
    </row>
    <row r="40" spans="2:19" ht="12.75" customHeight="1">
      <c r="B40" s="105"/>
      <c r="C40" s="105"/>
      <c r="D40" s="105"/>
      <c r="E40" s="105"/>
      <c r="F40" s="105"/>
      <c r="G40" s="105"/>
      <c r="H40" s="105"/>
      <c r="I40" s="105"/>
      <c r="J40" s="162"/>
      <c r="K40" s="162"/>
      <c r="L40" s="162"/>
      <c r="M40" s="162"/>
      <c r="N40" s="162"/>
      <c r="O40" s="162"/>
      <c r="P40" s="4"/>
      <c r="Q40" s="4"/>
      <c r="R40" s="4"/>
      <c r="S40" s="4"/>
    </row>
    <row r="41" spans="2:19" ht="12.75" customHeight="1">
      <c r="B41" s="105"/>
      <c r="C41" s="105"/>
      <c r="D41" s="105"/>
      <c r="E41" s="105"/>
      <c r="F41" s="105"/>
      <c r="G41" s="105"/>
      <c r="H41" s="105"/>
      <c r="I41" s="105"/>
      <c r="J41" s="162"/>
      <c r="K41" s="162"/>
      <c r="L41" s="162"/>
      <c r="M41" s="162"/>
      <c r="N41" s="162"/>
      <c r="O41" s="162"/>
      <c r="P41" s="4"/>
      <c r="Q41" s="4"/>
      <c r="R41" s="4"/>
      <c r="S41" s="4"/>
    </row>
    <row r="42" spans="2:19" ht="12.75" customHeight="1">
      <c r="B42" s="105"/>
      <c r="C42" s="105"/>
      <c r="D42" s="105"/>
      <c r="E42" s="105"/>
      <c r="F42" s="105"/>
      <c r="G42" s="105"/>
      <c r="H42" s="105"/>
      <c r="I42" s="105"/>
      <c r="J42" s="162"/>
      <c r="K42" s="162"/>
      <c r="L42" s="162"/>
      <c r="M42" s="162"/>
      <c r="N42" s="162"/>
      <c r="O42" s="162"/>
      <c r="P42" s="4"/>
      <c r="Q42" s="4"/>
      <c r="R42" s="4"/>
      <c r="S42" s="4"/>
    </row>
    <row r="43" spans="2:19" ht="12.75" customHeight="1">
      <c r="B43" s="105"/>
      <c r="C43" s="105"/>
      <c r="D43" s="105"/>
      <c r="E43" s="105"/>
      <c r="F43" s="105"/>
      <c r="G43" s="105"/>
      <c r="H43" s="105"/>
      <c r="I43" s="105"/>
      <c r="J43" s="162"/>
      <c r="K43" s="162"/>
      <c r="L43" s="162"/>
      <c r="M43" s="162"/>
      <c r="N43" s="162"/>
      <c r="O43" s="162"/>
      <c r="P43" s="4"/>
      <c r="Q43" s="4"/>
      <c r="R43" s="4"/>
      <c r="S43" s="4"/>
    </row>
    <row r="44" spans="2:19" ht="12.75" customHeight="1">
      <c r="B44" s="105"/>
      <c r="C44" s="105"/>
      <c r="D44" s="105"/>
      <c r="E44" s="105"/>
      <c r="F44" s="105"/>
      <c r="G44" s="105"/>
      <c r="H44" s="105"/>
      <c r="I44" s="105"/>
      <c r="J44" s="162"/>
      <c r="K44" s="162"/>
      <c r="L44" s="162"/>
      <c r="M44" s="162"/>
      <c r="N44" s="162"/>
      <c r="O44" s="162"/>
      <c r="P44" s="4"/>
      <c r="Q44" s="4"/>
      <c r="R44" s="4"/>
      <c r="S44" s="4"/>
    </row>
    <row r="45" spans="2:19" ht="12.75" customHeight="1">
      <c r="B45" s="105"/>
      <c r="C45" s="105"/>
      <c r="D45" s="105"/>
      <c r="E45" s="105"/>
      <c r="F45" s="105"/>
      <c r="G45" s="105"/>
      <c r="H45" s="105"/>
      <c r="I45" s="105"/>
      <c r="J45" s="162"/>
      <c r="K45" s="162"/>
      <c r="L45" s="162"/>
      <c r="M45" s="162"/>
      <c r="N45" s="162"/>
      <c r="O45" s="162"/>
      <c r="P45" s="4"/>
      <c r="Q45" s="4"/>
      <c r="R45" s="4"/>
      <c r="S45" s="4"/>
    </row>
    <row r="46" spans="2:19" ht="12.75" customHeight="1">
      <c r="B46" s="105"/>
      <c r="C46" s="105"/>
      <c r="D46" s="105"/>
      <c r="E46" s="105"/>
      <c r="F46" s="105"/>
      <c r="G46" s="105"/>
      <c r="H46" s="105"/>
      <c r="I46" s="105"/>
      <c r="J46" s="162"/>
      <c r="K46" s="162"/>
      <c r="L46" s="162"/>
      <c r="M46" s="162"/>
      <c r="N46" s="162"/>
      <c r="O46" s="162"/>
      <c r="P46" s="4"/>
      <c r="Q46" s="4"/>
      <c r="R46" s="4"/>
      <c r="S46" s="4"/>
    </row>
    <row r="47" spans="2:19" ht="12.75" customHeight="1">
      <c r="B47" s="105"/>
      <c r="C47" s="105"/>
      <c r="D47" s="105"/>
      <c r="E47" s="105"/>
      <c r="F47" s="105"/>
      <c r="G47" s="105"/>
      <c r="H47" s="105"/>
      <c r="I47" s="105"/>
      <c r="J47" s="162"/>
      <c r="K47" s="162"/>
      <c r="L47" s="162"/>
      <c r="M47" s="162"/>
      <c r="N47" s="162"/>
      <c r="O47" s="162"/>
      <c r="P47" s="4"/>
      <c r="Q47" s="4"/>
      <c r="R47" s="4"/>
      <c r="S47" s="4"/>
    </row>
    <row r="48" spans="2:15" ht="12.75" customHeight="1">
      <c r="B48" s="105"/>
      <c r="C48" s="105"/>
      <c r="D48" s="105"/>
      <c r="E48" s="105"/>
      <c r="F48" s="105"/>
      <c r="G48" s="105"/>
      <c r="H48" s="105"/>
      <c r="I48" s="105"/>
      <c r="J48" s="162"/>
      <c r="K48" s="162"/>
      <c r="L48" s="162"/>
      <c r="M48" s="162"/>
      <c r="N48" s="162"/>
      <c r="O48" s="162"/>
    </row>
    <row r="49" spans="2:15" ht="12.75" customHeight="1">
      <c r="B49" s="105"/>
      <c r="C49" s="105"/>
      <c r="D49" s="105"/>
      <c r="E49" s="105"/>
      <c r="F49" s="105"/>
      <c r="G49" s="105"/>
      <c r="H49" s="105"/>
      <c r="I49" s="105"/>
      <c r="J49" s="162"/>
      <c r="K49" s="162"/>
      <c r="L49" s="162"/>
      <c r="M49" s="162"/>
      <c r="N49" s="162"/>
      <c r="O49" s="162"/>
    </row>
    <row r="50" spans="2:15" ht="12.75" customHeight="1">
      <c r="B50" s="105"/>
      <c r="C50" s="105"/>
      <c r="D50" s="105"/>
      <c r="E50" s="105"/>
      <c r="F50" s="105"/>
      <c r="G50" s="105"/>
      <c r="H50" s="105"/>
      <c r="I50" s="105"/>
      <c r="J50" s="162"/>
      <c r="K50" s="162"/>
      <c r="L50" s="162"/>
      <c r="M50" s="162"/>
      <c r="N50" s="162"/>
      <c r="O50" s="162"/>
    </row>
    <row r="51" spans="2:15" ht="12.75" customHeight="1">
      <c r="B51" s="105"/>
      <c r="C51" s="105"/>
      <c r="D51" s="105"/>
      <c r="E51" s="105"/>
      <c r="F51" s="105"/>
      <c r="G51" s="105"/>
      <c r="H51" s="105"/>
      <c r="I51" s="105"/>
      <c r="J51" s="162"/>
      <c r="K51" s="162"/>
      <c r="L51" s="162"/>
      <c r="M51" s="162"/>
      <c r="N51" s="162"/>
      <c r="O51" s="162"/>
    </row>
    <row r="52" spans="2:15" ht="12.75" customHeight="1">
      <c r="B52" s="105"/>
      <c r="C52" s="105"/>
      <c r="D52" s="105"/>
      <c r="E52" s="105"/>
      <c r="F52" s="105"/>
      <c r="G52" s="105"/>
      <c r="H52" s="105"/>
      <c r="I52" s="105"/>
      <c r="J52" s="162"/>
      <c r="K52" s="162"/>
      <c r="L52" s="162"/>
      <c r="M52" s="162"/>
      <c r="N52" s="162"/>
      <c r="O52" s="162"/>
    </row>
    <row r="53" spans="2:15" ht="12.75" customHeight="1">
      <c r="B53" s="105"/>
      <c r="C53" s="105"/>
      <c r="D53" s="105"/>
      <c r="E53" s="105"/>
      <c r="F53" s="105"/>
      <c r="G53" s="105"/>
      <c r="H53" s="105"/>
      <c r="I53" s="105"/>
      <c r="J53" s="162"/>
      <c r="K53" s="162"/>
      <c r="L53" s="162"/>
      <c r="M53" s="162"/>
      <c r="N53" s="162"/>
      <c r="O53" s="162"/>
    </row>
    <row r="54" spans="2:15" ht="12.75" customHeight="1">
      <c r="B54" s="105"/>
      <c r="C54" s="105"/>
      <c r="D54" s="105"/>
      <c r="E54" s="105"/>
      <c r="F54" s="105"/>
      <c r="G54" s="105"/>
      <c r="H54" s="105"/>
      <c r="I54" s="105"/>
      <c r="J54" s="162"/>
      <c r="K54" s="162"/>
      <c r="L54" s="162"/>
      <c r="M54" s="162"/>
      <c r="N54" s="162"/>
      <c r="O54" s="162"/>
    </row>
    <row r="55" spans="2:15" ht="12.75" customHeight="1">
      <c r="B55" s="105"/>
      <c r="C55" s="105"/>
      <c r="D55" s="105"/>
      <c r="E55" s="105"/>
      <c r="F55" s="105"/>
      <c r="G55" s="105"/>
      <c r="H55" s="105"/>
      <c r="I55" s="105"/>
      <c r="J55" s="162"/>
      <c r="K55" s="162"/>
      <c r="L55" s="162"/>
      <c r="M55" s="162"/>
      <c r="N55" s="162"/>
      <c r="O55" s="162"/>
    </row>
    <row r="56" spans="2:15" ht="12.75" customHeight="1">
      <c r="B56" s="105"/>
      <c r="C56" s="105"/>
      <c r="D56" s="105"/>
      <c r="E56" s="105"/>
      <c r="F56" s="105"/>
      <c r="G56" s="105"/>
      <c r="H56" s="105"/>
      <c r="I56" s="105"/>
      <c r="J56" s="162"/>
      <c r="K56" s="162"/>
      <c r="L56" s="162"/>
      <c r="M56" s="162"/>
      <c r="N56" s="162"/>
      <c r="O56" s="162"/>
    </row>
    <row r="57" spans="2:15" ht="12.75">
      <c r="B57" s="105"/>
      <c r="C57" s="105"/>
      <c r="D57" s="105"/>
      <c r="E57" s="105"/>
      <c r="F57" s="105"/>
      <c r="G57" s="105"/>
      <c r="H57" s="105"/>
      <c r="I57" s="105"/>
      <c r="J57" s="162"/>
      <c r="K57" s="162"/>
      <c r="L57" s="162"/>
      <c r="M57" s="162"/>
      <c r="N57" s="162"/>
      <c r="O57" s="162"/>
    </row>
    <row r="58" spans="2:15" ht="12.75">
      <c r="B58" s="105"/>
      <c r="C58" s="105"/>
      <c r="D58" s="105"/>
      <c r="E58" s="105"/>
      <c r="F58" s="105"/>
      <c r="G58" s="105"/>
      <c r="H58" s="105"/>
      <c r="I58" s="105"/>
      <c r="J58" s="162"/>
      <c r="K58" s="162"/>
      <c r="L58" s="162"/>
      <c r="M58" s="162"/>
      <c r="N58" s="162"/>
      <c r="O58" s="162"/>
    </row>
    <row r="59" spans="2:15" ht="12.75">
      <c r="B59" s="105"/>
      <c r="C59" s="105"/>
      <c r="D59" s="105"/>
      <c r="E59" s="105"/>
      <c r="F59" s="105"/>
      <c r="G59" s="105"/>
      <c r="H59" s="105"/>
      <c r="I59" s="105"/>
      <c r="J59" s="162"/>
      <c r="K59" s="162"/>
      <c r="L59" s="162"/>
      <c r="M59" s="162"/>
      <c r="N59" s="162"/>
      <c r="O59" s="162"/>
    </row>
    <row r="60" spans="2:15" ht="12.75">
      <c r="B60" s="105"/>
      <c r="C60" s="105"/>
      <c r="D60" s="105"/>
      <c r="E60" s="105"/>
      <c r="F60" s="105"/>
      <c r="G60" s="105"/>
      <c r="H60" s="105"/>
      <c r="I60" s="105"/>
      <c r="J60" s="162"/>
      <c r="K60" s="162"/>
      <c r="L60" s="162"/>
      <c r="M60" s="162"/>
      <c r="N60" s="162"/>
      <c r="O60" s="162"/>
    </row>
    <row r="61" spans="2:15" ht="12.75">
      <c r="B61" s="105"/>
      <c r="C61" s="105"/>
      <c r="D61" s="105"/>
      <c r="E61" s="105"/>
      <c r="F61" s="105"/>
      <c r="G61" s="105"/>
      <c r="H61" s="105"/>
      <c r="I61" s="105"/>
      <c r="J61" s="162"/>
      <c r="K61" s="162"/>
      <c r="L61" s="162"/>
      <c r="M61" s="162"/>
      <c r="N61" s="162"/>
      <c r="O61" s="162"/>
    </row>
    <row r="62" spans="2:15" ht="12.75">
      <c r="B62" s="105"/>
      <c r="C62" s="105"/>
      <c r="D62" s="105"/>
      <c r="E62" s="105"/>
      <c r="F62" s="105"/>
      <c r="G62" s="105"/>
      <c r="H62" s="105"/>
      <c r="I62" s="105"/>
      <c r="J62" s="162"/>
      <c r="K62" s="162"/>
      <c r="L62" s="162"/>
      <c r="M62" s="162"/>
      <c r="N62" s="162"/>
      <c r="O62" s="162"/>
    </row>
    <row r="63" spans="2:15" ht="12.75">
      <c r="B63" s="105"/>
      <c r="C63" s="105"/>
      <c r="D63" s="105"/>
      <c r="E63" s="105"/>
      <c r="F63" s="105"/>
      <c r="G63" s="105"/>
      <c r="H63" s="105"/>
      <c r="I63" s="105"/>
      <c r="J63" s="162"/>
      <c r="K63" s="162"/>
      <c r="L63" s="162"/>
      <c r="M63" s="162"/>
      <c r="N63" s="162"/>
      <c r="O63" s="162"/>
    </row>
    <row r="64" spans="2:15" ht="12.75">
      <c r="B64" s="105"/>
      <c r="C64" s="105"/>
      <c r="D64" s="105"/>
      <c r="E64" s="105"/>
      <c r="F64" s="105"/>
      <c r="G64" s="105"/>
      <c r="H64" s="105"/>
      <c r="I64" s="105"/>
      <c r="J64" s="162"/>
      <c r="K64" s="162"/>
      <c r="L64" s="162"/>
      <c r="M64" s="162"/>
      <c r="N64" s="162"/>
      <c r="O64" s="162"/>
    </row>
    <row r="65" spans="2:15" ht="12.75">
      <c r="B65" s="105"/>
      <c r="C65" s="105"/>
      <c r="D65" s="105"/>
      <c r="E65" s="105"/>
      <c r="F65" s="105"/>
      <c r="G65" s="105"/>
      <c r="H65" s="105"/>
      <c r="I65" s="105"/>
      <c r="J65" s="162"/>
      <c r="K65" s="162"/>
      <c r="L65" s="162"/>
      <c r="M65" s="162"/>
      <c r="N65" s="162"/>
      <c r="O65" s="162"/>
    </row>
    <row r="66" spans="2:15" ht="12.75">
      <c r="B66" s="105"/>
      <c r="C66" s="105"/>
      <c r="D66" s="105"/>
      <c r="E66" s="105"/>
      <c r="F66" s="105"/>
      <c r="G66" s="105"/>
      <c r="H66" s="105"/>
      <c r="I66" s="105"/>
      <c r="J66" s="162"/>
      <c r="K66" s="162"/>
      <c r="L66" s="162"/>
      <c r="M66" s="162"/>
      <c r="N66" s="162"/>
      <c r="O66" s="162"/>
    </row>
    <row r="67" spans="2:15" ht="12.75">
      <c r="B67" s="105"/>
      <c r="C67" s="105"/>
      <c r="D67" s="105"/>
      <c r="E67" s="105"/>
      <c r="F67" s="105"/>
      <c r="G67" s="105"/>
      <c r="H67" s="105"/>
      <c r="I67" s="105"/>
      <c r="J67" s="162"/>
      <c r="K67" s="162"/>
      <c r="L67" s="162"/>
      <c r="M67" s="162"/>
      <c r="N67" s="162"/>
      <c r="O67" s="162"/>
    </row>
    <row r="68" spans="2:15" ht="12.75">
      <c r="B68" s="105"/>
      <c r="C68" s="105"/>
      <c r="D68" s="105"/>
      <c r="E68" s="105"/>
      <c r="F68" s="105"/>
      <c r="G68" s="105"/>
      <c r="H68" s="105"/>
      <c r="I68" s="105"/>
      <c r="J68" s="162"/>
      <c r="K68" s="162"/>
      <c r="L68" s="162"/>
      <c r="M68" s="162"/>
      <c r="N68" s="162"/>
      <c r="O68" s="162"/>
    </row>
    <row r="69" spans="2:15" ht="12.75">
      <c r="B69" s="105"/>
      <c r="C69" s="105"/>
      <c r="D69" s="105"/>
      <c r="E69" s="105"/>
      <c r="F69" s="105"/>
      <c r="G69" s="105"/>
      <c r="H69" s="105"/>
      <c r="I69" s="105"/>
      <c r="J69" s="162"/>
      <c r="K69" s="162"/>
      <c r="L69" s="162"/>
      <c r="M69" s="162"/>
      <c r="N69" s="162"/>
      <c r="O69" s="162"/>
    </row>
    <row r="70" spans="2:15" ht="12.75">
      <c r="B70" s="105"/>
      <c r="C70" s="105"/>
      <c r="D70" s="105"/>
      <c r="E70" s="105"/>
      <c r="F70" s="105"/>
      <c r="G70" s="105"/>
      <c r="H70" s="105"/>
      <c r="I70" s="105"/>
      <c r="J70" s="162"/>
      <c r="K70" s="162"/>
      <c r="L70" s="162"/>
      <c r="M70" s="162"/>
      <c r="N70" s="162"/>
      <c r="O70" s="162"/>
    </row>
    <row r="71" spans="2:15" ht="12.75">
      <c r="B71" s="105"/>
      <c r="C71" s="105"/>
      <c r="D71" s="105"/>
      <c r="E71" s="105"/>
      <c r="F71" s="105"/>
      <c r="G71" s="105"/>
      <c r="H71" s="105"/>
      <c r="I71" s="105"/>
      <c r="J71" s="162"/>
      <c r="K71" s="162"/>
      <c r="L71" s="162"/>
      <c r="M71" s="162"/>
      <c r="N71" s="162"/>
      <c r="O71" s="162"/>
    </row>
    <row r="72" spans="2:15" ht="12.75">
      <c r="B72" s="105"/>
      <c r="C72" s="105"/>
      <c r="D72" s="105"/>
      <c r="E72" s="105"/>
      <c r="F72" s="105"/>
      <c r="G72" s="105"/>
      <c r="H72" s="105"/>
      <c r="I72" s="105"/>
      <c r="J72" s="162"/>
      <c r="K72" s="162"/>
      <c r="L72" s="162"/>
      <c r="M72" s="162"/>
      <c r="N72" s="162"/>
      <c r="O72" s="162"/>
    </row>
    <row r="73" spans="2:15" ht="12.75">
      <c r="B73" s="105"/>
      <c r="C73" s="105"/>
      <c r="D73" s="105"/>
      <c r="E73" s="105"/>
      <c r="F73" s="105"/>
      <c r="G73" s="105"/>
      <c r="H73" s="105"/>
      <c r="I73" s="105"/>
      <c r="J73" s="162"/>
      <c r="K73" s="162"/>
      <c r="L73" s="162"/>
      <c r="M73" s="162"/>
      <c r="N73" s="162"/>
      <c r="O73" s="162"/>
    </row>
    <row r="74" spans="2:15" ht="12.75">
      <c r="B74" s="105"/>
      <c r="C74" s="105"/>
      <c r="D74" s="105"/>
      <c r="E74" s="105"/>
      <c r="F74" s="105"/>
      <c r="G74" s="105"/>
      <c r="H74" s="105"/>
      <c r="I74" s="105"/>
      <c r="J74" s="162"/>
      <c r="K74" s="162"/>
      <c r="L74" s="162"/>
      <c r="M74" s="162"/>
      <c r="N74" s="162"/>
      <c r="O74" s="162"/>
    </row>
    <row r="75" ht="12.75">
      <c r="I75" s="105"/>
    </row>
  </sheetData>
  <sheetProtection/>
  <mergeCells count="15">
    <mergeCell ref="A7:A9"/>
    <mergeCell ref="B7:B9"/>
    <mergeCell ref="C7:C9"/>
    <mergeCell ref="D7:D9"/>
    <mergeCell ref="E7:E9"/>
    <mergeCell ref="J8:J9"/>
    <mergeCell ref="H7:K7"/>
    <mergeCell ref="K8:K9"/>
    <mergeCell ref="A3:O3"/>
    <mergeCell ref="A5:O5"/>
    <mergeCell ref="A4:O4"/>
    <mergeCell ref="O7:O9"/>
    <mergeCell ref="L7:L9"/>
    <mergeCell ref="H8:I8"/>
    <mergeCell ref="G7:G9"/>
  </mergeCells>
  <printOptions/>
  <pageMargins left="0.41" right="0.17" top="0.31" bottom="1" header="0.19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84" zoomScalePageLayoutView="0" workbookViewId="0" topLeftCell="A1">
      <selection activeCell="A1" sqref="A1"/>
    </sheetView>
  </sheetViews>
  <sheetFormatPr defaultColWidth="9.00390625" defaultRowHeight="12.75"/>
  <cols>
    <col min="1" max="1" width="14.375" style="639" customWidth="1"/>
    <col min="2" max="2" width="12.125" style="639" customWidth="1"/>
    <col min="3" max="3" width="9.375" style="639" customWidth="1"/>
    <col min="4" max="4" width="9.25390625" style="639" customWidth="1"/>
    <col min="5" max="5" width="8.625" style="639" customWidth="1"/>
    <col min="6" max="6" width="8.125" style="639" customWidth="1"/>
    <col min="7" max="7" width="9.625" style="639" customWidth="1"/>
    <col min="8" max="8" width="14.125" style="639" customWidth="1"/>
    <col min="9" max="9" width="8.00390625" style="639" customWidth="1"/>
    <col min="10" max="10" width="9.125" style="639" hidden="1" customWidth="1"/>
    <col min="11" max="11" width="5.875" style="639" customWidth="1"/>
    <col min="12" max="12" width="10.625" style="639" customWidth="1"/>
    <col min="13" max="13" width="9.25390625" style="639" bestFit="1" customWidth="1"/>
    <col min="14" max="14" width="10.00390625" style="639" customWidth="1"/>
    <col min="15" max="15" width="12.25390625" style="710" customWidth="1"/>
    <col min="16" max="17" width="11.375" style="639" customWidth="1"/>
    <col min="18" max="18" width="8.00390625" style="638" customWidth="1"/>
    <col min="19" max="19" width="8.375" style="639" customWidth="1"/>
    <col min="20" max="20" width="9.00390625" style="639" hidden="1" customWidth="1"/>
    <col min="21" max="21" width="10.125" style="639" customWidth="1"/>
    <col min="22" max="16384" width="9.125" style="639" customWidth="1"/>
  </cols>
  <sheetData>
    <row r="1" spans="1:17" ht="12.75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7"/>
      <c r="P1" s="636"/>
      <c r="Q1" s="727"/>
    </row>
    <row r="2" spans="1:17" ht="12.75">
      <c r="A2" s="640" t="s">
        <v>786</v>
      </c>
      <c r="B2" s="636"/>
      <c r="C2" s="636"/>
      <c r="D2" s="636"/>
      <c r="E2" s="636"/>
      <c r="F2" s="641"/>
      <c r="G2" s="636"/>
      <c r="H2" s="636"/>
      <c r="I2" s="636"/>
      <c r="J2" s="636"/>
      <c r="K2" s="636"/>
      <c r="L2" s="636"/>
      <c r="M2" s="636"/>
      <c r="N2" s="636"/>
      <c r="O2" s="637"/>
      <c r="P2" s="636"/>
      <c r="Q2" s="636"/>
    </row>
    <row r="3" spans="1:17" ht="13.5" thickBot="1">
      <c r="A3" s="640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7"/>
      <c r="Q3" s="642" t="s">
        <v>581</v>
      </c>
    </row>
    <row r="4" spans="1:20" ht="13.5" thickBot="1">
      <c r="A4" s="1089" t="s">
        <v>582</v>
      </c>
      <c r="B4" s="1091" t="s">
        <v>583</v>
      </c>
      <c r="C4" s="1093" t="s">
        <v>584</v>
      </c>
      <c r="D4" s="1093"/>
      <c r="E4" s="1093"/>
      <c r="F4" s="1093"/>
      <c r="G4" s="1093"/>
      <c r="H4" s="1089" t="s">
        <v>582</v>
      </c>
      <c r="I4" s="1095" t="s">
        <v>50</v>
      </c>
      <c r="J4" s="1096"/>
      <c r="K4" s="1096"/>
      <c r="L4" s="1096"/>
      <c r="M4" s="1096"/>
      <c r="N4" s="1096"/>
      <c r="O4" s="1097"/>
      <c r="P4" s="1098" t="s">
        <v>585</v>
      </c>
      <c r="Q4" s="1102" t="s">
        <v>778</v>
      </c>
      <c r="S4" s="1104" t="s">
        <v>779</v>
      </c>
      <c r="T4" s="1102" t="s">
        <v>588</v>
      </c>
    </row>
    <row r="5" spans="1:20" s="648" customFormat="1" ht="51.75" thickBot="1">
      <c r="A5" s="1090"/>
      <c r="B5" s="1092"/>
      <c r="C5" s="643" t="s">
        <v>589</v>
      </c>
      <c r="D5" s="644" t="s">
        <v>590</v>
      </c>
      <c r="E5" s="644" t="s">
        <v>591</v>
      </c>
      <c r="F5" s="645" t="s">
        <v>592</v>
      </c>
      <c r="G5" s="646" t="s">
        <v>593</v>
      </c>
      <c r="H5" s="1094"/>
      <c r="I5" s="647" t="s">
        <v>594</v>
      </c>
      <c r="K5" s="649" t="s">
        <v>596</v>
      </c>
      <c r="L5" s="644" t="s">
        <v>597</v>
      </c>
      <c r="M5" s="649" t="s">
        <v>598</v>
      </c>
      <c r="N5" s="650" t="s">
        <v>599</v>
      </c>
      <c r="O5" s="651" t="s">
        <v>600</v>
      </c>
      <c r="P5" s="1099"/>
      <c r="Q5" s="1103"/>
      <c r="R5" s="652" t="s">
        <v>601</v>
      </c>
      <c r="S5" s="1105"/>
      <c r="T5" s="1103"/>
    </row>
    <row r="6" spans="1:20" ht="12.75">
      <c r="A6" s="653" t="s">
        <v>603</v>
      </c>
      <c r="B6" s="654">
        <v>2349</v>
      </c>
      <c r="C6" s="655">
        <v>1175</v>
      </c>
      <c r="D6" s="656">
        <v>1308.4106911995873</v>
      </c>
      <c r="E6" s="657">
        <v>6298.771469756819</v>
      </c>
      <c r="F6" s="658">
        <v>3796.4517926806616</v>
      </c>
      <c r="G6" s="659">
        <f>SUM(C6:F6)</f>
        <v>12578.633953637069</v>
      </c>
      <c r="H6" s="660" t="s">
        <v>603</v>
      </c>
      <c r="I6" s="661">
        <v>3250</v>
      </c>
      <c r="K6" s="656">
        <v>0</v>
      </c>
      <c r="L6" s="662">
        <v>387.9865584842743</v>
      </c>
      <c r="M6" s="663">
        <v>2959.3214285714284</v>
      </c>
      <c r="N6" s="664">
        <v>5020</v>
      </c>
      <c r="O6" s="659">
        <f>I6+L6+M6+N6</f>
        <v>11617.307987055703</v>
      </c>
      <c r="P6" s="665">
        <f>G6+O6</f>
        <v>24195.94194069277</v>
      </c>
      <c r="Q6" s="666">
        <v>60185.332852532694</v>
      </c>
      <c r="R6" s="667">
        <f>P6-Q6+B28</f>
        <v>-29354.197363452826</v>
      </c>
      <c r="S6" s="668">
        <v>617</v>
      </c>
      <c r="T6" s="668"/>
    </row>
    <row r="7" spans="1:20" ht="12.75">
      <c r="A7" s="669" t="s">
        <v>604</v>
      </c>
      <c r="B7" s="654">
        <v>529</v>
      </c>
      <c r="C7" s="655">
        <v>264</v>
      </c>
      <c r="D7" s="656">
        <v>294.65698409731016</v>
      </c>
      <c r="E7" s="657">
        <v>1141.283224441657</v>
      </c>
      <c r="F7" s="658">
        <v>854.9693479472413</v>
      </c>
      <c r="G7" s="659">
        <f aca="true" t="shared" si="0" ref="G7:G18">SUM(C7:F7)</f>
        <v>2554.9095564862087</v>
      </c>
      <c r="H7" s="670" t="s">
        <v>604</v>
      </c>
      <c r="I7" s="661">
        <v>120</v>
      </c>
      <c r="K7" s="656">
        <v>0</v>
      </c>
      <c r="L7" s="662">
        <v>430.1459204786042</v>
      </c>
      <c r="M7" s="671">
        <v>0</v>
      </c>
      <c r="N7" s="664">
        <v>0</v>
      </c>
      <c r="O7" s="659">
        <f aca="true" t="shared" si="1" ref="O7:O18">I7+L7+M7+N7</f>
        <v>550.1459204786042</v>
      </c>
      <c r="P7" s="665">
        <f aca="true" t="shared" si="2" ref="P7:P19">G7+O7</f>
        <v>3105.055476964813</v>
      </c>
      <c r="Q7" s="672">
        <v>3604.0648699426965</v>
      </c>
      <c r="R7" s="667">
        <f aca="true" t="shared" si="3" ref="R7:R18">P7-Q7+B29</f>
        <v>649.2164134737293</v>
      </c>
      <c r="S7" s="673"/>
      <c r="T7" s="673"/>
    </row>
    <row r="8" spans="1:20" ht="12.75">
      <c r="A8" s="669" t="s">
        <v>605</v>
      </c>
      <c r="B8" s="654">
        <v>2223</v>
      </c>
      <c r="C8" s="655">
        <v>1111</v>
      </c>
      <c r="D8" s="656">
        <v>656.4224872231687</v>
      </c>
      <c r="E8" s="657">
        <v>5350.606668289121</v>
      </c>
      <c r="F8" s="658">
        <v>3592.810700352963</v>
      </c>
      <c r="G8" s="659">
        <f t="shared" si="0"/>
        <v>10710.839855865253</v>
      </c>
      <c r="H8" s="670" t="s">
        <v>605</v>
      </c>
      <c r="I8" s="661">
        <v>0</v>
      </c>
      <c r="K8" s="656">
        <v>0</v>
      </c>
      <c r="L8" s="662">
        <v>1048.073382779409</v>
      </c>
      <c r="M8" s="671">
        <v>0</v>
      </c>
      <c r="N8" s="664">
        <v>0</v>
      </c>
      <c r="O8" s="659">
        <f t="shared" si="1"/>
        <v>1048.073382779409</v>
      </c>
      <c r="P8" s="665">
        <f t="shared" si="2"/>
        <v>11758.913238644662</v>
      </c>
      <c r="Q8" s="672">
        <v>10953.722118475383</v>
      </c>
      <c r="R8" s="667">
        <f t="shared" si="3"/>
        <v>805.1911201692783</v>
      </c>
      <c r="S8" s="673"/>
      <c r="T8" s="673">
        <v>28</v>
      </c>
    </row>
    <row r="9" spans="1:20" ht="12.75">
      <c r="A9" s="669" t="s">
        <v>606</v>
      </c>
      <c r="B9" s="654">
        <v>1868</v>
      </c>
      <c r="C9" s="655">
        <v>934</v>
      </c>
      <c r="D9" s="656">
        <v>551.5956842703009</v>
      </c>
      <c r="E9" s="657">
        <v>4021.8788924874098</v>
      </c>
      <c r="F9" s="658">
        <v>3019.0600037154004</v>
      </c>
      <c r="G9" s="659">
        <f t="shared" si="0"/>
        <v>8526.534580473111</v>
      </c>
      <c r="H9" s="670" t="s">
        <v>606</v>
      </c>
      <c r="I9" s="661">
        <v>0</v>
      </c>
      <c r="K9" s="656">
        <v>0</v>
      </c>
      <c r="L9" s="662">
        <v>1003.6738144500763</v>
      </c>
      <c r="M9" s="671">
        <v>0</v>
      </c>
      <c r="N9" s="664">
        <v>0</v>
      </c>
      <c r="O9" s="659">
        <f t="shared" si="1"/>
        <v>1003.6738144500763</v>
      </c>
      <c r="P9" s="665">
        <f t="shared" si="2"/>
        <v>9530.208394923187</v>
      </c>
      <c r="Q9" s="672">
        <v>7829.223420711189</v>
      </c>
      <c r="R9" s="667">
        <f t="shared" si="3"/>
        <v>1700.9849742119986</v>
      </c>
      <c r="S9" s="673">
        <v>1957</v>
      </c>
      <c r="T9" s="673"/>
    </row>
    <row r="10" spans="1:20" ht="12.75">
      <c r="A10" s="669" t="s">
        <v>607</v>
      </c>
      <c r="B10" s="654">
        <v>570</v>
      </c>
      <c r="C10" s="655">
        <v>285</v>
      </c>
      <c r="D10" s="656">
        <v>317.49429288368015</v>
      </c>
      <c r="E10" s="657">
        <v>406.4626916524702</v>
      </c>
      <c r="F10" s="658">
        <v>614.1556752740108</v>
      </c>
      <c r="G10" s="659">
        <f t="shared" si="0"/>
        <v>1623.1126598101612</v>
      </c>
      <c r="H10" s="670" t="s">
        <v>607</v>
      </c>
      <c r="I10" s="661">
        <v>120</v>
      </c>
      <c r="K10" s="656">
        <v>0</v>
      </c>
      <c r="L10" s="662">
        <v>452.6509848983199</v>
      </c>
      <c r="M10" s="671">
        <v>68.82142857142857</v>
      </c>
      <c r="N10" s="664">
        <v>121</v>
      </c>
      <c r="O10" s="659">
        <f t="shared" si="1"/>
        <v>762.4724134697484</v>
      </c>
      <c r="P10" s="665">
        <f t="shared" si="2"/>
        <v>2385.5850732799095</v>
      </c>
      <c r="Q10" s="672">
        <v>5100.354228026754</v>
      </c>
      <c r="R10" s="667">
        <f t="shared" si="3"/>
        <v>-1566.5433482952315</v>
      </c>
      <c r="S10" s="673"/>
      <c r="T10" s="673"/>
    </row>
    <row r="11" spans="1:20" ht="12.75">
      <c r="A11" s="669" t="s">
        <v>608</v>
      </c>
      <c r="B11" s="654">
        <v>533</v>
      </c>
      <c r="C11" s="655">
        <v>267</v>
      </c>
      <c r="D11" s="656">
        <v>296.8850142228097</v>
      </c>
      <c r="E11" s="657">
        <v>248.393867120954</v>
      </c>
      <c r="F11" s="658">
        <v>574.2894296860487</v>
      </c>
      <c r="G11" s="659">
        <f t="shared" si="0"/>
        <v>1386.5683110298123</v>
      </c>
      <c r="H11" s="670" t="s">
        <v>608</v>
      </c>
      <c r="I11" s="661">
        <v>120</v>
      </c>
      <c r="K11" s="656">
        <v>0</v>
      </c>
      <c r="L11" s="662">
        <v>400.9194437670835</v>
      </c>
      <c r="M11" s="671">
        <v>344.10714285714283</v>
      </c>
      <c r="N11" s="664">
        <v>0</v>
      </c>
      <c r="O11" s="659">
        <f t="shared" si="1"/>
        <v>865.0265866242264</v>
      </c>
      <c r="P11" s="665">
        <f t="shared" si="2"/>
        <v>2251.5948976540385</v>
      </c>
      <c r="Q11" s="672">
        <v>5994.142854187061</v>
      </c>
      <c r="R11" s="667">
        <f t="shared" si="3"/>
        <v>-2211.5802145975385</v>
      </c>
      <c r="S11" s="673"/>
      <c r="T11" s="673"/>
    </row>
    <row r="12" spans="1:20" ht="12.75">
      <c r="A12" s="669" t="s">
        <v>609</v>
      </c>
      <c r="B12" s="654">
        <v>1452</v>
      </c>
      <c r="C12" s="655">
        <v>726</v>
      </c>
      <c r="D12" s="656">
        <v>428.7563884156729</v>
      </c>
      <c r="E12" s="657">
        <v>1309.7131175468485</v>
      </c>
      <c r="F12" s="658">
        <v>1564.4807728032695</v>
      </c>
      <c r="G12" s="659">
        <f t="shared" si="0"/>
        <v>4028.950278765791</v>
      </c>
      <c r="H12" s="670" t="s">
        <v>609</v>
      </c>
      <c r="I12" s="661">
        <v>0</v>
      </c>
      <c r="K12" s="656">
        <v>0</v>
      </c>
      <c r="L12" s="662">
        <v>0</v>
      </c>
      <c r="M12" s="671">
        <v>0</v>
      </c>
      <c r="N12" s="664">
        <v>557</v>
      </c>
      <c r="O12" s="659">
        <f t="shared" si="1"/>
        <v>557</v>
      </c>
      <c r="P12" s="665">
        <f t="shared" si="2"/>
        <v>4585.950278765791</v>
      </c>
      <c r="Q12" s="672">
        <v>5337.713764081454</v>
      </c>
      <c r="R12" s="667">
        <f t="shared" si="3"/>
        <v>779.2042566198206</v>
      </c>
      <c r="S12" s="673"/>
      <c r="T12" s="673"/>
    </row>
    <row r="13" spans="1:20" ht="12.75">
      <c r="A13" s="669" t="s">
        <v>610</v>
      </c>
      <c r="B13" s="654">
        <v>549</v>
      </c>
      <c r="C13" s="655">
        <v>274</v>
      </c>
      <c r="D13" s="656">
        <v>162.11243611584328</v>
      </c>
      <c r="E13" s="657">
        <v>647.329471890971</v>
      </c>
      <c r="F13" s="658">
        <v>591.5288872375999</v>
      </c>
      <c r="G13" s="659">
        <f t="shared" si="0"/>
        <v>1674.9707952444141</v>
      </c>
      <c r="H13" s="670" t="s">
        <v>610</v>
      </c>
      <c r="I13" s="661">
        <v>120</v>
      </c>
      <c r="K13" s="656">
        <v>0</v>
      </c>
      <c r="L13" s="662">
        <v>642.3675571873799</v>
      </c>
      <c r="M13" s="671">
        <v>0</v>
      </c>
      <c r="N13" s="664">
        <v>0</v>
      </c>
      <c r="O13" s="659">
        <f t="shared" si="1"/>
        <v>762.3675571873799</v>
      </c>
      <c r="P13" s="665">
        <f t="shared" si="2"/>
        <v>2437.338352431794</v>
      </c>
      <c r="Q13" s="672">
        <v>3341.223724939451</v>
      </c>
      <c r="R13" s="667">
        <f t="shared" si="3"/>
        <v>371.92107910524624</v>
      </c>
      <c r="S13" s="673"/>
      <c r="T13" s="673"/>
    </row>
    <row r="14" spans="1:21" ht="12.75">
      <c r="A14" s="669" t="s">
        <v>611</v>
      </c>
      <c r="B14" s="654">
        <v>412</v>
      </c>
      <c r="C14" s="655">
        <v>206</v>
      </c>
      <c r="D14" s="656">
        <v>121.65814877910279</v>
      </c>
      <c r="E14" s="657">
        <v>240.86678023850087</v>
      </c>
      <c r="F14" s="658">
        <v>443.9160319524429</v>
      </c>
      <c r="G14" s="659">
        <f t="shared" si="0"/>
        <v>1012.4409609700465</v>
      </c>
      <c r="H14" s="670" t="s">
        <v>611</v>
      </c>
      <c r="I14" s="661">
        <v>120</v>
      </c>
      <c r="K14" s="656">
        <v>0</v>
      </c>
      <c r="L14" s="662">
        <v>507.1322819900367</v>
      </c>
      <c r="M14" s="671">
        <v>0</v>
      </c>
      <c r="N14" s="664">
        <v>0</v>
      </c>
      <c r="O14" s="659">
        <f t="shared" si="1"/>
        <v>627.1322819900367</v>
      </c>
      <c r="P14" s="665">
        <f t="shared" si="2"/>
        <v>1639.5732429600832</v>
      </c>
      <c r="Q14" s="672">
        <v>2159.0579039382947</v>
      </c>
      <c r="R14" s="667">
        <f t="shared" si="3"/>
        <v>628.7411454734015</v>
      </c>
      <c r="S14" s="673"/>
      <c r="T14" s="673"/>
      <c r="U14" s="674"/>
    </row>
    <row r="15" spans="1:21" ht="12.75">
      <c r="A15" s="669" t="s">
        <v>612</v>
      </c>
      <c r="B15" s="654">
        <v>383</v>
      </c>
      <c r="C15" s="655">
        <v>192</v>
      </c>
      <c r="D15" s="656">
        <v>213.33388451657805</v>
      </c>
      <c r="E15" s="657">
        <v>210.75843270868825</v>
      </c>
      <c r="F15" s="658">
        <v>412.66951514025635</v>
      </c>
      <c r="G15" s="659">
        <f t="shared" si="0"/>
        <v>1028.7618323655227</v>
      </c>
      <c r="H15" s="670" t="s">
        <v>612</v>
      </c>
      <c r="I15" s="661">
        <v>0</v>
      </c>
      <c r="K15" s="656">
        <v>0</v>
      </c>
      <c r="L15" s="662">
        <v>203.9968777642986</v>
      </c>
      <c r="M15" s="671">
        <v>137.64285714285714</v>
      </c>
      <c r="N15" s="664">
        <v>0</v>
      </c>
      <c r="O15" s="659">
        <f t="shared" si="1"/>
        <v>341.63973490715574</v>
      </c>
      <c r="P15" s="665">
        <f t="shared" si="2"/>
        <v>1370.4015672726784</v>
      </c>
      <c r="Q15" s="672">
        <v>2858.8015239830656</v>
      </c>
      <c r="R15" s="667">
        <f t="shared" si="3"/>
        <v>-340.17415025877426</v>
      </c>
      <c r="S15" s="673">
        <v>1983</v>
      </c>
      <c r="T15" s="673"/>
      <c r="U15" s="674"/>
    </row>
    <row r="16" spans="1:21" ht="12.75">
      <c r="A16" s="669" t="s">
        <v>614</v>
      </c>
      <c r="B16" s="654">
        <v>675</v>
      </c>
      <c r="C16" s="655">
        <v>338</v>
      </c>
      <c r="D16" s="656">
        <v>375.98008367804226</v>
      </c>
      <c r="E16" s="657">
        <v>1433.1183480914315</v>
      </c>
      <c r="F16" s="658">
        <v>1090.934423184098</v>
      </c>
      <c r="G16" s="659">
        <f t="shared" si="0"/>
        <v>3238.0328549535716</v>
      </c>
      <c r="H16" s="670" t="s">
        <v>614</v>
      </c>
      <c r="I16" s="661">
        <v>120</v>
      </c>
      <c r="K16" s="656">
        <v>0</v>
      </c>
      <c r="L16" s="662">
        <v>116.3959675452823</v>
      </c>
      <c r="M16" s="671">
        <v>344.10714285714283</v>
      </c>
      <c r="N16" s="664">
        <v>0</v>
      </c>
      <c r="O16" s="659">
        <f t="shared" si="1"/>
        <v>580.5031104024251</v>
      </c>
      <c r="P16" s="665">
        <f t="shared" si="2"/>
        <v>3818.5359653559967</v>
      </c>
      <c r="Q16" s="672">
        <v>8917.347362108103</v>
      </c>
      <c r="R16" s="667">
        <f t="shared" si="3"/>
        <v>-3950.585590300493</v>
      </c>
      <c r="S16" s="673"/>
      <c r="T16" s="673">
        <v>59</v>
      </c>
      <c r="U16" s="674"/>
    </row>
    <row r="17" spans="1:21" ht="12.75">
      <c r="A17" s="675" t="s">
        <v>616</v>
      </c>
      <c r="B17" s="654">
        <v>566</v>
      </c>
      <c r="C17" s="655">
        <v>283</v>
      </c>
      <c r="D17" s="676">
        <v>315.2662627581807</v>
      </c>
      <c r="E17" s="677">
        <v>511.8419080068143</v>
      </c>
      <c r="F17" s="678">
        <v>609.845810886123</v>
      </c>
      <c r="G17" s="679">
        <f t="shared" si="0"/>
        <v>1719.953981651118</v>
      </c>
      <c r="H17" s="670" t="s">
        <v>616</v>
      </c>
      <c r="I17" s="680">
        <v>0</v>
      </c>
      <c r="K17" s="676">
        <v>0</v>
      </c>
      <c r="L17" s="681">
        <v>674.7589033742183</v>
      </c>
      <c r="M17" s="671">
        <v>0</v>
      </c>
      <c r="N17" s="682">
        <v>0</v>
      </c>
      <c r="O17" s="659">
        <f t="shared" si="1"/>
        <v>674.7589033742183</v>
      </c>
      <c r="P17" s="683">
        <f t="shared" si="2"/>
        <v>2394.7128850253366</v>
      </c>
      <c r="Q17" s="672">
        <v>3732.1240939262893</v>
      </c>
      <c r="R17" s="667">
        <f t="shared" si="3"/>
        <v>1724.524274970015</v>
      </c>
      <c r="S17" s="673"/>
      <c r="T17" s="673"/>
      <c r="U17" s="674"/>
    </row>
    <row r="18" spans="1:20" ht="12.75">
      <c r="A18" s="675" t="s">
        <v>617</v>
      </c>
      <c r="B18" s="654">
        <v>218</v>
      </c>
      <c r="C18" s="655">
        <v>109</v>
      </c>
      <c r="D18" s="676">
        <v>121.4276418397233</v>
      </c>
      <c r="E18" s="677">
        <v>270.9751277683135</v>
      </c>
      <c r="F18" s="678">
        <v>234.88760913988483</v>
      </c>
      <c r="G18" s="679">
        <f t="shared" si="0"/>
        <v>736.2903787479216</v>
      </c>
      <c r="H18" s="670" t="s">
        <v>617</v>
      </c>
      <c r="I18" s="680">
        <v>0</v>
      </c>
      <c r="K18" s="676">
        <v>0</v>
      </c>
      <c r="L18" s="681">
        <v>522.4422272810161</v>
      </c>
      <c r="M18" s="671">
        <v>0</v>
      </c>
      <c r="N18" s="682">
        <v>0</v>
      </c>
      <c r="O18" s="659">
        <f t="shared" si="1"/>
        <v>522.4422272810161</v>
      </c>
      <c r="P18" s="683">
        <f t="shared" si="2"/>
        <v>1258.7326060289379</v>
      </c>
      <c r="Q18" s="672">
        <v>1661.7375067043522</v>
      </c>
      <c r="R18" s="667">
        <f t="shared" si="3"/>
        <v>-403.0049006754143</v>
      </c>
      <c r="S18" s="673">
        <v>172</v>
      </c>
      <c r="T18" s="673"/>
    </row>
    <row r="19" spans="1:20" ht="12.75" hidden="1">
      <c r="A19" s="675" t="s">
        <v>618</v>
      </c>
      <c r="B19" s="684"/>
      <c r="C19" s="655"/>
      <c r="D19" s="676"/>
      <c r="E19" s="677"/>
      <c r="F19" s="678"/>
      <c r="G19" s="679"/>
      <c r="H19" s="670" t="s">
        <v>618</v>
      </c>
      <c r="I19" s="680"/>
      <c r="K19" s="676">
        <v>0</v>
      </c>
      <c r="L19" s="681">
        <f>SUM('[5]Családsegítés, gyerm.jólét'!V57)</f>
        <v>0</v>
      </c>
      <c r="M19" s="671"/>
      <c r="N19" s="682"/>
      <c r="O19" s="679"/>
      <c r="P19" s="683">
        <f t="shared" si="2"/>
        <v>0</v>
      </c>
      <c r="Q19" s="672">
        <v>394.7414064432139</v>
      </c>
      <c r="R19" s="667"/>
      <c r="S19" s="673"/>
      <c r="T19" s="673"/>
    </row>
    <row r="20" spans="1:20" ht="13.5" thickBot="1">
      <c r="A20" s="685" t="s">
        <v>56</v>
      </c>
      <c r="B20" s="686">
        <f>SUM(B6:B19)</f>
        <v>12327</v>
      </c>
      <c r="C20" s="687">
        <f>SUM(C6:C18)</f>
        <v>6164</v>
      </c>
      <c r="D20" s="687">
        <f>SUM(D6:D18)</f>
        <v>5164</v>
      </c>
      <c r="E20" s="688">
        <f>SUM(E6:E18)</f>
        <v>22092</v>
      </c>
      <c r="F20" s="689">
        <f>SUM(F6:F18)</f>
        <v>17400</v>
      </c>
      <c r="G20" s="686">
        <f>SUM(G6:G18)</f>
        <v>50820.00000000001</v>
      </c>
      <c r="H20" s="690" t="s">
        <v>56</v>
      </c>
      <c r="I20" s="687">
        <f>SUM(I6:I18)</f>
        <v>3970</v>
      </c>
      <c r="K20" s="688">
        <v>0</v>
      </c>
      <c r="L20" s="688">
        <f>SUM(L6:L19)</f>
        <v>6390.543920000001</v>
      </c>
      <c r="M20" s="688">
        <f>SUM(M6:M18)</f>
        <v>3853.9999999999995</v>
      </c>
      <c r="N20" s="691">
        <f>SUM(N6:N18)</f>
        <v>5698</v>
      </c>
      <c r="O20" s="686">
        <f>SUM(I20:N20)</f>
        <v>19912.54392</v>
      </c>
      <c r="P20" s="686">
        <f>SUM(P6:P18)</f>
        <v>70732.54392</v>
      </c>
      <c r="Q20" s="692">
        <f>SUM(Q6:Q19)</f>
        <v>122069.58763000001</v>
      </c>
      <c r="R20" s="667"/>
      <c r="S20" s="693">
        <f>SUM(S6:S18)</f>
        <v>4729</v>
      </c>
      <c r="T20" s="673"/>
    </row>
    <row r="21" spans="1:20" s="697" customFormat="1" ht="13.5" thickBot="1">
      <c r="A21" s="694"/>
      <c r="B21" s="695"/>
      <c r="C21" s="695"/>
      <c r="D21" s="695"/>
      <c r="E21" s="695"/>
      <c r="F21" s="695"/>
      <c r="G21" s="695"/>
      <c r="H21" s="694"/>
      <c r="I21" s="695"/>
      <c r="J21" s="695"/>
      <c r="K21" s="695"/>
      <c r="L21" s="695"/>
      <c r="M21" s="695"/>
      <c r="N21" s="695"/>
      <c r="O21" s="695"/>
      <c r="P21" s="695"/>
      <c r="Q21" s="696"/>
      <c r="R21" s="667"/>
      <c r="S21" s="639"/>
      <c r="T21" s="673"/>
    </row>
    <row r="22" spans="1:20" s="697" customFormat="1" ht="15.75" customHeight="1" thickBot="1">
      <c r="A22" s="1106" t="s">
        <v>780</v>
      </c>
      <c r="B22" s="1107"/>
      <c r="C22" s="698"/>
      <c r="D22" s="698"/>
      <c r="E22" s="698"/>
      <c r="F22" s="698"/>
      <c r="G22" s="698"/>
      <c r="H22" s="699"/>
      <c r="I22" s="698"/>
      <c r="J22" s="698"/>
      <c r="K22" s="698"/>
      <c r="L22" s="698"/>
      <c r="M22" s="698"/>
      <c r="N22" s="698"/>
      <c r="O22" s="698"/>
      <c r="P22" s="698">
        <f>SUM(B41)</f>
        <v>19775</v>
      </c>
      <c r="Q22" s="700" t="s">
        <v>781</v>
      </c>
      <c r="R22" s="667"/>
      <c r="S22" s="639"/>
      <c r="T22" s="701"/>
    </row>
    <row r="23" spans="1:20" s="697" customFormat="1" ht="15.75" customHeight="1" thickBot="1">
      <c r="A23" s="702"/>
      <c r="B23" s="702"/>
      <c r="C23" s="695"/>
      <c r="D23" s="695"/>
      <c r="E23" s="695"/>
      <c r="F23" s="695"/>
      <c r="G23" s="695"/>
      <c r="H23" s="694"/>
      <c r="I23" s="695"/>
      <c r="J23" s="695"/>
      <c r="K23" s="695"/>
      <c r="L23" s="695"/>
      <c r="M23" s="695"/>
      <c r="N23" s="695"/>
      <c r="O23" s="695"/>
      <c r="P23" s="695"/>
      <c r="Q23" s="696"/>
      <c r="R23" s="667"/>
      <c r="S23" s="639"/>
      <c r="T23" s="701"/>
    </row>
    <row r="24" spans="1:20" s="697" customFormat="1" ht="15.75" customHeight="1" thickBot="1">
      <c r="A24" s="1108" t="s">
        <v>622</v>
      </c>
      <c r="B24" s="1107"/>
      <c r="C24" s="698"/>
      <c r="D24" s="698"/>
      <c r="E24" s="698"/>
      <c r="F24" s="698"/>
      <c r="G24" s="698"/>
      <c r="H24" s="699"/>
      <c r="I24" s="698"/>
      <c r="J24" s="698"/>
      <c r="K24" s="698"/>
      <c r="L24" s="698"/>
      <c r="M24" s="698"/>
      <c r="N24" s="698"/>
      <c r="O24" s="698"/>
      <c r="P24" s="698">
        <f>SUM(P20+P22)</f>
        <v>90507.54392</v>
      </c>
      <c r="Q24" s="700">
        <f>SUM(Q20)</f>
        <v>122069.58763000001</v>
      </c>
      <c r="R24" s="667">
        <f>SUM(Q24-P24)</f>
        <v>31562.043710000013</v>
      </c>
      <c r="S24" s="639"/>
      <c r="T24" s="701"/>
    </row>
    <row r="25" spans="1:15" ht="13.5" thickBot="1">
      <c r="A25" s="697"/>
      <c r="B25" s="697"/>
      <c r="C25" s="697"/>
      <c r="D25" s="697"/>
      <c r="E25" s="697"/>
      <c r="F25" s="697"/>
      <c r="J25" s="703"/>
      <c r="K25" s="703"/>
      <c r="L25" s="704"/>
      <c r="M25" s="704"/>
      <c r="N25" s="704"/>
      <c r="O25" s="703"/>
    </row>
    <row r="26" spans="1:15" ht="12.75">
      <c r="A26" s="1089" t="s">
        <v>582</v>
      </c>
      <c r="B26" s="1109" t="s">
        <v>782</v>
      </c>
      <c r="E26" s="705"/>
      <c r="J26" s="703"/>
      <c r="K26" s="703"/>
      <c r="L26" s="704"/>
      <c r="M26" s="704"/>
      <c r="N26" s="704"/>
      <c r="O26" s="703"/>
    </row>
    <row r="27" spans="1:18" ht="42.75" customHeight="1" thickBot="1">
      <c r="A27" s="1090"/>
      <c r="B27" s="1110"/>
      <c r="C27" s="1111" t="s">
        <v>783</v>
      </c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706"/>
      <c r="Q27" s="706"/>
      <c r="R27" s="707"/>
    </row>
    <row r="28" spans="1:18" ht="12.75">
      <c r="A28" s="653" t="s">
        <v>603</v>
      </c>
      <c r="B28" s="708">
        <v>6635.193548387097</v>
      </c>
      <c r="C28" s="1100" t="s">
        <v>787</v>
      </c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709"/>
      <c r="P28" s="706"/>
      <c r="Q28" s="706"/>
      <c r="R28" s="707"/>
    </row>
    <row r="29" spans="1:18" ht="12.75">
      <c r="A29" s="669" t="s">
        <v>604</v>
      </c>
      <c r="B29" s="708">
        <v>1148.225806451613</v>
      </c>
      <c r="H29" s="706" t="s">
        <v>784</v>
      </c>
      <c r="I29" s="706"/>
      <c r="J29" s="706"/>
      <c r="K29" s="706"/>
      <c r="L29" s="706"/>
      <c r="M29" s="706"/>
      <c r="N29" s="706"/>
      <c r="O29" s="709"/>
      <c r="P29" s="706"/>
      <c r="Q29" s="706"/>
      <c r="R29" s="707"/>
    </row>
    <row r="30" spans="1:18" ht="12.75">
      <c r="A30" s="669" t="s">
        <v>605</v>
      </c>
      <c r="B30" s="708">
        <v>0</v>
      </c>
      <c r="H30" s="707">
        <f>H28+B41</f>
        <v>19775</v>
      </c>
      <c r="I30" s="706" t="s">
        <v>785</v>
      </c>
      <c r="J30" s="706"/>
      <c r="K30" s="706"/>
      <c r="L30" s="706"/>
      <c r="M30" s="706"/>
      <c r="N30" s="706"/>
      <c r="O30" s="709"/>
      <c r="P30" s="706"/>
      <c r="Q30" s="706"/>
      <c r="R30" s="707"/>
    </row>
    <row r="31" spans="1:18" ht="12.75">
      <c r="A31" s="669" t="s">
        <v>606</v>
      </c>
      <c r="B31" s="708">
        <v>0</v>
      </c>
      <c r="H31" s="706"/>
      <c r="I31" s="706"/>
      <c r="J31" s="706"/>
      <c r="K31" s="706"/>
      <c r="L31" s="706"/>
      <c r="M31" s="706"/>
      <c r="N31" s="706"/>
      <c r="O31" s="709"/>
      <c r="P31" s="706"/>
      <c r="Q31" s="706"/>
      <c r="R31" s="707"/>
    </row>
    <row r="32" spans="1:18" ht="12.75">
      <c r="A32" s="669" t="s">
        <v>607</v>
      </c>
      <c r="B32" s="708">
        <v>1148.225806451613</v>
      </c>
      <c r="H32" s="706"/>
      <c r="I32" s="706"/>
      <c r="J32" s="706"/>
      <c r="K32" s="706"/>
      <c r="L32" s="706"/>
      <c r="M32" s="706"/>
      <c r="N32" s="706"/>
      <c r="O32" s="709"/>
      <c r="P32" s="706"/>
      <c r="Q32" s="706"/>
      <c r="R32" s="707"/>
    </row>
    <row r="33" spans="1:18" ht="12.75">
      <c r="A33" s="669" t="s">
        <v>608</v>
      </c>
      <c r="B33" s="708">
        <v>1530.967741935484</v>
      </c>
      <c r="H33" s="706"/>
      <c r="I33" s="706"/>
      <c r="J33" s="706"/>
      <c r="K33" s="706"/>
      <c r="L33" s="706"/>
      <c r="M33" s="706"/>
      <c r="N33" s="706"/>
      <c r="O33" s="709"/>
      <c r="P33" s="706"/>
      <c r="Q33" s="706"/>
      <c r="R33" s="707"/>
    </row>
    <row r="34" spans="1:18" ht="12.75">
      <c r="A34" s="669" t="s">
        <v>609</v>
      </c>
      <c r="B34" s="708">
        <v>1530.967741935484</v>
      </c>
      <c r="H34" s="706"/>
      <c r="I34" s="706"/>
      <c r="J34" s="706"/>
      <c r="K34" s="706"/>
      <c r="L34" s="706"/>
      <c r="M34" s="706"/>
      <c r="N34" s="706"/>
      <c r="O34" s="709"/>
      <c r="P34" s="706"/>
      <c r="Q34" s="706"/>
      <c r="R34" s="707"/>
    </row>
    <row r="35" spans="1:2" ht="12.75">
      <c r="A35" s="669" t="s">
        <v>610</v>
      </c>
      <c r="B35" s="708">
        <v>1275.8064516129032</v>
      </c>
    </row>
    <row r="36" spans="1:2" ht="12.75">
      <c r="A36" s="669" t="s">
        <v>611</v>
      </c>
      <c r="B36" s="708">
        <v>1148.225806451613</v>
      </c>
    </row>
    <row r="37" spans="1:2" ht="12.75">
      <c r="A37" s="669" t="s">
        <v>612</v>
      </c>
      <c r="B37" s="708">
        <v>1148.225806451613</v>
      </c>
    </row>
    <row r="38" spans="1:2" ht="12.75">
      <c r="A38" s="669" t="s">
        <v>614</v>
      </c>
      <c r="B38" s="708">
        <v>1148.225806451613</v>
      </c>
    </row>
    <row r="39" spans="1:2" ht="12.75">
      <c r="A39" s="669" t="s">
        <v>616</v>
      </c>
      <c r="B39" s="711">
        <v>3061.935483870968</v>
      </c>
    </row>
    <row r="40" spans="1:2" ht="12.75">
      <c r="A40" s="669" t="s">
        <v>617</v>
      </c>
      <c r="B40" s="711">
        <v>0</v>
      </c>
    </row>
    <row r="41" spans="1:2" ht="13.5" thickBot="1">
      <c r="A41" s="685" t="s">
        <v>56</v>
      </c>
      <c r="B41" s="712">
        <f>SUM(B28:B40)-1</f>
        <v>19775</v>
      </c>
    </row>
    <row r="42" ht="13.5" thickBot="1">
      <c r="C42" s="638"/>
    </row>
    <row r="43" spans="1:2" ht="13.5" thickBot="1">
      <c r="A43" s="713" t="s">
        <v>622</v>
      </c>
      <c r="B43" s="714">
        <f>SUM(P20+B41)</f>
        <v>90507.54392</v>
      </c>
    </row>
    <row r="44" ht="12.75">
      <c r="B44" s="638"/>
    </row>
    <row r="45" ht="12.75">
      <c r="B45" s="638"/>
    </row>
  </sheetData>
  <sheetProtection/>
  <mergeCells count="15">
    <mergeCell ref="C28:N28"/>
    <mergeCell ref="Q4:Q5"/>
    <mergeCell ref="S4:S5"/>
    <mergeCell ref="T4:T5"/>
    <mergeCell ref="A22:B22"/>
    <mergeCell ref="A24:B24"/>
    <mergeCell ref="A26:A27"/>
    <mergeCell ref="B26:B27"/>
    <mergeCell ref="C27:O27"/>
    <mergeCell ref="A4:A5"/>
    <mergeCell ref="B4:B5"/>
    <mergeCell ref="C4:G4"/>
    <mergeCell ref="H4:H5"/>
    <mergeCell ref="I4:O4"/>
    <mergeCell ref="P4:P5"/>
  </mergeCells>
  <printOptions/>
  <pageMargins left="0.29" right="0.1968503937007874" top="0.2755905511811024" bottom="0.4724409448818898" header="0.275590551181102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28"/>
  <sheetViews>
    <sheetView zoomScalePageLayoutView="0" workbookViewId="0" topLeftCell="B15">
      <selection activeCell="J25" sqref="J25"/>
    </sheetView>
  </sheetViews>
  <sheetFormatPr defaultColWidth="9.00390625" defaultRowHeight="12.75"/>
  <cols>
    <col min="1" max="1" width="9.125" style="157" customWidth="1"/>
    <col min="2" max="2" width="29.875" style="0" customWidth="1"/>
    <col min="3" max="3" width="12.75390625" style="0" customWidth="1"/>
    <col min="4" max="4" width="13.125" style="0" customWidth="1"/>
    <col min="5" max="5" width="14.75390625" style="0" hidden="1" customWidth="1"/>
    <col min="6" max="6" width="4.125" style="0" hidden="1" customWidth="1"/>
    <col min="7" max="7" width="11.125" style="0" customWidth="1"/>
    <col min="8" max="8" width="10.125" style="0" customWidth="1"/>
    <col min="9" max="11" width="11.125" style="0" customWidth="1"/>
    <col min="12" max="12" width="10.75390625" style="0" customWidth="1"/>
    <col min="13" max="13" width="14.625" style="0" customWidth="1"/>
    <col min="14" max="14" width="8.75390625" style="11" customWidth="1"/>
    <col min="15" max="15" width="0" style="0" hidden="1" customWidth="1"/>
    <col min="16" max="16" width="7.125" style="0" customWidth="1"/>
  </cols>
  <sheetData>
    <row r="1" spans="2:1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5"/>
    </row>
    <row r="2" spans="2:13" ht="38.25" customHeight="1">
      <c r="B2" s="1012" t="s">
        <v>757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</row>
    <row r="3" spans="2:13" ht="11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 t="s">
        <v>0</v>
      </c>
    </row>
    <row r="4" spans="2:14" ht="19.5" customHeight="1">
      <c r="B4" s="1013" t="s">
        <v>55</v>
      </c>
      <c r="C4" s="1113" t="s">
        <v>759</v>
      </c>
      <c r="D4" s="1113" t="s">
        <v>760</v>
      </c>
      <c r="E4" s="1114"/>
      <c r="F4" s="1114"/>
      <c r="G4" s="1117" t="s">
        <v>59</v>
      </c>
      <c r="H4" s="1118"/>
      <c r="I4" s="1119"/>
      <c r="J4" s="1113" t="s">
        <v>763</v>
      </c>
      <c r="K4" s="1120" t="s">
        <v>766</v>
      </c>
      <c r="L4" s="1120" t="s">
        <v>769</v>
      </c>
      <c r="M4" s="1122" t="s">
        <v>758</v>
      </c>
      <c r="N4" s="41"/>
    </row>
    <row r="5" spans="2:14" ht="26.25" customHeight="1" thickBot="1">
      <c r="B5" s="1014"/>
      <c r="C5" s="1115"/>
      <c r="D5" s="1115"/>
      <c r="E5" s="1115"/>
      <c r="F5" s="1115"/>
      <c r="G5" s="620" t="s">
        <v>764</v>
      </c>
      <c r="H5" s="620" t="s">
        <v>765</v>
      </c>
      <c r="I5" s="620" t="s">
        <v>56</v>
      </c>
      <c r="J5" s="1116"/>
      <c r="K5" s="1121"/>
      <c r="L5" s="1121"/>
      <c r="M5" s="1123"/>
      <c r="N5" s="41"/>
    </row>
    <row r="6" spans="2:16" ht="21.75" customHeight="1">
      <c r="B6" s="619" t="s">
        <v>562</v>
      </c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8">
        <f>SUM(C6+D6+I6+J6+K6+L6)</f>
        <v>0</v>
      </c>
      <c r="N6" s="633"/>
      <c r="O6" s="634"/>
      <c r="P6" s="634"/>
    </row>
    <row r="7" spans="2:16" ht="21.75" customHeight="1">
      <c r="B7" s="614" t="s">
        <v>572</v>
      </c>
      <c r="C7" s="567">
        <f>SUM(C8:C14)</f>
        <v>72590.66</v>
      </c>
      <c r="D7" s="567">
        <f>SUM(D9:D14)</f>
        <v>7231</v>
      </c>
      <c r="E7" s="567">
        <f>SUM(E9:E14)</f>
        <v>0</v>
      </c>
      <c r="F7" s="567">
        <f>SUM(F9:F14)</f>
        <v>0</v>
      </c>
      <c r="G7" s="567">
        <f>SUM(G9:G14)</f>
        <v>4324.35</v>
      </c>
      <c r="H7" s="567">
        <f>SUM(H8:H14)</f>
        <v>635</v>
      </c>
      <c r="I7" s="568">
        <f>SUM(G7:H7)</f>
        <v>4959.35</v>
      </c>
      <c r="J7" s="568">
        <f>SUM(J8:J14)</f>
        <v>482.6</v>
      </c>
      <c r="K7" s="568">
        <f>SUM(K8:K14)</f>
        <v>43842.44</v>
      </c>
      <c r="L7" s="568">
        <f>SUM(L8:L14)</f>
        <v>34467.8</v>
      </c>
      <c r="M7" s="624">
        <f aca="true" t="shared" si="0" ref="M7:M18">SUM(C7+D7+I7+J7+K7+L7)</f>
        <v>163573.85000000003</v>
      </c>
      <c r="N7" s="309">
        <f>SUM(M8:M14)</f>
        <v>163573.85</v>
      </c>
      <c r="O7" s="415"/>
      <c r="P7" s="634"/>
    </row>
    <row r="8" spans="2:16" ht="13.5" customHeight="1">
      <c r="B8" s="614" t="s">
        <v>772</v>
      </c>
      <c r="C8" s="569">
        <v>56158</v>
      </c>
      <c r="D8" s="569"/>
      <c r="E8" s="569"/>
      <c r="F8" s="569"/>
      <c r="G8" s="569"/>
      <c r="H8" s="569">
        <v>500</v>
      </c>
      <c r="I8" s="570">
        <f>SUM(G8:H8)</f>
        <v>500</v>
      </c>
      <c r="J8" s="568"/>
      <c r="K8" s="570">
        <v>28672</v>
      </c>
      <c r="L8" s="570">
        <v>27140</v>
      </c>
      <c r="M8" s="188">
        <f t="shared" si="0"/>
        <v>112470</v>
      </c>
      <c r="N8" s="633"/>
      <c r="O8" s="415"/>
      <c r="P8" s="634"/>
    </row>
    <row r="9" spans="2:16" ht="13.5" customHeight="1">
      <c r="B9" s="622" t="s">
        <v>770</v>
      </c>
      <c r="C9" s="569">
        <v>1000</v>
      </c>
      <c r="D9" s="570">
        <v>1800</v>
      </c>
      <c r="E9" s="569"/>
      <c r="F9" s="570"/>
      <c r="G9" s="570"/>
      <c r="H9" s="570"/>
      <c r="I9" s="570">
        <f aca="true" t="shared" si="1" ref="I9:I14">SUM(G9:H9)</f>
        <v>0</v>
      </c>
      <c r="J9" s="570">
        <v>380</v>
      </c>
      <c r="K9" s="570">
        <v>5200</v>
      </c>
      <c r="L9" s="570"/>
      <c r="M9" s="188">
        <f t="shared" si="0"/>
        <v>8380</v>
      </c>
      <c r="N9" s="633"/>
      <c r="O9" s="415"/>
      <c r="P9" s="634"/>
    </row>
    <row r="10" spans="2:16" ht="13.5" customHeight="1">
      <c r="B10" s="622" t="s">
        <v>771</v>
      </c>
      <c r="C10" s="569"/>
      <c r="D10" s="570">
        <v>3500</v>
      </c>
      <c r="E10" s="569"/>
      <c r="F10" s="570"/>
      <c r="G10" s="570"/>
      <c r="H10" s="570"/>
      <c r="I10" s="570">
        <f t="shared" si="1"/>
        <v>0</v>
      </c>
      <c r="J10" s="570"/>
      <c r="K10" s="568"/>
      <c r="L10" s="570"/>
      <c r="M10" s="188">
        <f t="shared" si="0"/>
        <v>3500</v>
      </c>
      <c r="N10" s="633"/>
      <c r="O10" s="415"/>
      <c r="P10" s="634"/>
    </row>
    <row r="11" spans="2:16" ht="13.5" customHeight="1">
      <c r="B11" s="622" t="s">
        <v>773</v>
      </c>
      <c r="C11" s="569"/>
      <c r="D11" s="570"/>
      <c r="E11" s="569"/>
      <c r="F11" s="570"/>
      <c r="G11" s="570">
        <v>3405</v>
      </c>
      <c r="H11" s="570"/>
      <c r="I11" s="570">
        <f t="shared" si="1"/>
        <v>3405</v>
      </c>
      <c r="J11" s="570"/>
      <c r="K11" s="568"/>
      <c r="L11" s="570"/>
      <c r="M11" s="188">
        <f t="shared" si="0"/>
        <v>3405</v>
      </c>
      <c r="N11" s="633"/>
      <c r="O11" s="415"/>
      <c r="P11" s="634"/>
    </row>
    <row r="12" spans="2:16" ht="13.5" customHeight="1">
      <c r="B12" s="622" t="s">
        <v>775</v>
      </c>
      <c r="C12" s="569">
        <f>SUM(C8:C11)*0.27</f>
        <v>15432.660000000002</v>
      </c>
      <c r="D12" s="569">
        <f aca="true" t="shared" si="2" ref="D12:L12">SUM(D8:D11)*0.27</f>
        <v>1431</v>
      </c>
      <c r="E12" s="569">
        <f t="shared" si="2"/>
        <v>0</v>
      </c>
      <c r="F12" s="569">
        <f t="shared" si="2"/>
        <v>0</v>
      </c>
      <c r="G12" s="569">
        <f t="shared" si="2"/>
        <v>919.35</v>
      </c>
      <c r="H12" s="569">
        <f t="shared" si="2"/>
        <v>135</v>
      </c>
      <c r="I12" s="569">
        <f t="shared" si="2"/>
        <v>1054.3500000000001</v>
      </c>
      <c r="J12" s="569">
        <f t="shared" si="2"/>
        <v>102.60000000000001</v>
      </c>
      <c r="K12" s="569">
        <f t="shared" si="2"/>
        <v>9145.44</v>
      </c>
      <c r="L12" s="569">
        <f t="shared" si="2"/>
        <v>7327.8</v>
      </c>
      <c r="M12" s="188">
        <f t="shared" si="0"/>
        <v>34493.850000000006</v>
      </c>
      <c r="N12" s="633"/>
      <c r="O12" s="415"/>
      <c r="P12" s="634"/>
    </row>
    <row r="13" spans="2:16" ht="13.5" customHeight="1">
      <c r="B13" s="622" t="s">
        <v>774</v>
      </c>
      <c r="C13" s="569"/>
      <c r="D13" s="623">
        <v>394</v>
      </c>
      <c r="E13" s="569"/>
      <c r="F13" s="570"/>
      <c r="G13" s="623"/>
      <c r="H13" s="570"/>
      <c r="I13" s="570">
        <f t="shared" si="1"/>
        <v>0</v>
      </c>
      <c r="J13" s="570"/>
      <c r="K13" s="570">
        <v>650</v>
      </c>
      <c r="L13" s="570"/>
      <c r="M13" s="188">
        <f t="shared" si="0"/>
        <v>1044</v>
      </c>
      <c r="N13" s="633"/>
      <c r="O13" s="415"/>
      <c r="P13" s="634"/>
    </row>
    <row r="14" spans="2:16" ht="13.5" customHeight="1">
      <c r="B14" s="622" t="s">
        <v>776</v>
      </c>
      <c r="C14" s="569"/>
      <c r="D14" s="623">
        <v>106</v>
      </c>
      <c r="E14" s="567"/>
      <c r="F14" s="568"/>
      <c r="G14" s="623"/>
      <c r="H14" s="570"/>
      <c r="I14" s="570">
        <f t="shared" si="1"/>
        <v>0</v>
      </c>
      <c r="J14" s="568"/>
      <c r="K14" s="570">
        <v>175</v>
      </c>
      <c r="L14" s="568"/>
      <c r="M14" s="188">
        <f t="shared" si="0"/>
        <v>281</v>
      </c>
      <c r="N14" s="633"/>
      <c r="O14" s="415"/>
      <c r="P14" s="634"/>
    </row>
    <row r="15" spans="2:16" ht="21.75" customHeight="1">
      <c r="B15" s="615" t="s">
        <v>761</v>
      </c>
      <c r="C15" s="567"/>
      <c r="D15" s="568" t="e">
        <f>SUM(D16:D17)</f>
        <v>#REF!</v>
      </c>
      <c r="E15" s="570"/>
      <c r="F15" s="570"/>
      <c r="G15" s="568">
        <f>SUM(G16+G17)</f>
        <v>87207</v>
      </c>
      <c r="H15" s="568">
        <f>SUM(H16+H17)</f>
        <v>2998</v>
      </c>
      <c r="I15" s="568">
        <f>SUM(G15:H15)</f>
        <v>90205</v>
      </c>
      <c r="J15" s="568">
        <f>SUM(J16:J17)</f>
        <v>2329</v>
      </c>
      <c r="K15" s="568"/>
      <c r="L15" s="568"/>
      <c r="M15" s="624" t="e">
        <f t="shared" si="0"/>
        <v>#REF!</v>
      </c>
      <c r="N15" s="309" t="e">
        <f>SUM(M16:M17)</f>
        <v>#REF!</v>
      </c>
      <c r="O15" s="634"/>
      <c r="P15" s="415"/>
    </row>
    <row r="16" spans="2:16" ht="27" customHeight="1">
      <c r="B16" s="621" t="s">
        <v>768</v>
      </c>
      <c r="C16" s="569"/>
      <c r="D16" s="570" t="e">
        <f>SUM('4. Átadott p.eszk.'!#REF!)</f>
        <v>#REF!</v>
      </c>
      <c r="E16" s="570"/>
      <c r="F16" s="570"/>
      <c r="G16" s="570">
        <v>13055</v>
      </c>
      <c r="H16" s="570">
        <v>100</v>
      </c>
      <c r="I16" s="568">
        <f>SUM(G16:H16)</f>
        <v>13155</v>
      </c>
      <c r="J16" s="570"/>
      <c r="K16" s="570"/>
      <c r="L16" s="570"/>
      <c r="M16" s="628" t="e">
        <f t="shared" si="0"/>
        <v>#REF!</v>
      </c>
      <c r="N16" s="635"/>
      <c r="O16" s="634"/>
      <c r="P16" s="634"/>
    </row>
    <row r="17" spans="2:16" ht="27" customHeight="1">
      <c r="B17" s="625" t="s">
        <v>767</v>
      </c>
      <c r="C17" s="626"/>
      <c r="D17" s="578" t="e">
        <f>SUM('4. Átadott p.eszk.'!#REF!)</f>
        <v>#REF!</v>
      </c>
      <c r="E17" s="578"/>
      <c r="F17" s="578"/>
      <c r="G17" s="578">
        <v>74152</v>
      </c>
      <c r="H17" s="578">
        <v>2898</v>
      </c>
      <c r="I17" s="627">
        <f>SUM(G17:H17)</f>
        <v>77050</v>
      </c>
      <c r="J17" s="578">
        <v>2329</v>
      </c>
      <c r="K17" s="578"/>
      <c r="L17" s="632"/>
      <c r="M17" s="103" t="e">
        <f t="shared" si="0"/>
        <v>#REF!</v>
      </c>
      <c r="N17" s="633"/>
      <c r="O17" s="633"/>
      <c r="P17" s="633"/>
    </row>
    <row r="18" spans="2:16" ht="29.25" customHeight="1" thickBot="1">
      <c r="B18" s="631" t="s">
        <v>777</v>
      </c>
      <c r="C18" s="626"/>
      <c r="D18" s="578">
        <v>1200</v>
      </c>
      <c r="E18" s="578"/>
      <c r="F18" s="578"/>
      <c r="G18" s="578"/>
      <c r="H18" s="578"/>
      <c r="I18" s="627"/>
      <c r="J18" s="578">
        <v>1200</v>
      </c>
      <c r="K18" s="578"/>
      <c r="L18" s="578"/>
      <c r="M18" s="628">
        <f t="shared" si="0"/>
        <v>2400</v>
      </c>
      <c r="N18" s="309">
        <f>SUM(M18)</f>
        <v>2400</v>
      </c>
      <c r="O18" s="633"/>
      <c r="P18" s="633"/>
    </row>
    <row r="19" spans="2:16" ht="21.75" customHeight="1" thickBot="1">
      <c r="B19" s="630" t="s">
        <v>62</v>
      </c>
      <c r="C19" s="576">
        <f>SUM(C6+C7+C15+C18)</f>
        <v>72590.66</v>
      </c>
      <c r="D19" s="576" t="e">
        <f aca="true" t="shared" si="3" ref="D19:L19">SUM(D6+D7+D15+D18)</f>
        <v>#REF!</v>
      </c>
      <c r="E19" s="576">
        <f t="shared" si="3"/>
        <v>0</v>
      </c>
      <c r="F19" s="576">
        <f t="shared" si="3"/>
        <v>0</v>
      </c>
      <c r="G19" s="576">
        <f t="shared" si="3"/>
        <v>91531.35</v>
      </c>
      <c r="H19" s="576">
        <f t="shared" si="3"/>
        <v>3633</v>
      </c>
      <c r="I19" s="576">
        <f t="shared" si="3"/>
        <v>95164.35</v>
      </c>
      <c r="J19" s="576">
        <f t="shared" si="3"/>
        <v>4011.6</v>
      </c>
      <c r="K19" s="576">
        <f t="shared" si="3"/>
        <v>43842.44</v>
      </c>
      <c r="L19" s="576">
        <f t="shared" si="3"/>
        <v>34467.8</v>
      </c>
      <c r="M19" s="613" t="e">
        <f>SUM(M6+M7+M15+M18)</f>
        <v>#REF!</v>
      </c>
      <c r="N19" s="309" t="e">
        <f>SUM(C19+D19+I19+J19+K19+L19)</f>
        <v>#REF!</v>
      </c>
      <c r="O19" s="415"/>
      <c r="P19" s="415" t="e">
        <f>SUM(N7+N15+N18)</f>
        <v>#REF!</v>
      </c>
    </row>
    <row r="20" spans="2:14" ht="21.75" customHeight="1" thickBot="1">
      <c r="B20" s="111" t="s">
        <v>65</v>
      </c>
      <c r="C20" s="576">
        <f>SUM(C21+C22+C23+C24+C25)</f>
        <v>0</v>
      </c>
      <c r="D20" s="576">
        <f aca="true" t="shared" si="4" ref="D20:M20">SUM(D21+D22+D23+D24+D25)</f>
        <v>0</v>
      </c>
      <c r="E20" s="576">
        <f t="shared" si="4"/>
        <v>0</v>
      </c>
      <c r="F20" s="576">
        <f t="shared" si="4"/>
        <v>0</v>
      </c>
      <c r="G20" s="576">
        <f t="shared" si="4"/>
        <v>0</v>
      </c>
      <c r="H20" s="576">
        <f t="shared" si="4"/>
        <v>0</v>
      </c>
      <c r="I20" s="576">
        <f t="shared" si="4"/>
        <v>0</v>
      </c>
      <c r="J20" s="576">
        <f t="shared" si="4"/>
        <v>0</v>
      </c>
      <c r="K20" s="576">
        <f t="shared" si="4"/>
        <v>0</v>
      </c>
      <c r="L20" s="576">
        <f t="shared" si="4"/>
        <v>0</v>
      </c>
      <c r="M20" s="613">
        <f t="shared" si="4"/>
        <v>0</v>
      </c>
      <c r="N20" s="43"/>
    </row>
    <row r="21" spans="2:14" ht="21.75" customHeight="1">
      <c r="B21" s="629" t="s">
        <v>36</v>
      </c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43"/>
    </row>
    <row r="22" spans="2:14" ht="25.5" customHeight="1">
      <c r="B22" s="616" t="s">
        <v>674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68"/>
      <c r="N22" s="41"/>
    </row>
    <row r="23" spans="2:14" ht="21.75" customHeight="1">
      <c r="B23" s="617" t="s">
        <v>43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68"/>
      <c r="N23" s="41"/>
    </row>
    <row r="24" spans="2:14" ht="25.5" customHeight="1">
      <c r="B24" s="618" t="s">
        <v>762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68"/>
      <c r="N24" s="41"/>
    </row>
    <row r="25" spans="2:14" ht="21.75" customHeight="1">
      <c r="B25" s="617" t="s">
        <v>45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68"/>
      <c r="N25" s="41"/>
    </row>
    <row r="26" spans="2:4" ht="12.75">
      <c r="B26" s="116"/>
      <c r="C26" s="11"/>
      <c r="D26" s="11"/>
    </row>
    <row r="28" ht="12.75">
      <c r="C28" s="105"/>
    </row>
  </sheetData>
  <sheetProtection/>
  <mergeCells count="9">
    <mergeCell ref="D4:F5"/>
    <mergeCell ref="J4:J5"/>
    <mergeCell ref="G4:I4"/>
    <mergeCell ref="L4:L5"/>
    <mergeCell ref="B2:M2"/>
    <mergeCell ref="B4:B5"/>
    <mergeCell ref="C4:C5"/>
    <mergeCell ref="M4:M5"/>
    <mergeCell ref="K4:K5"/>
  </mergeCells>
  <printOptions/>
  <pageMargins left="0.54" right="0.15748031496062992" top="0.2362204724409449" bottom="0.15748031496062992" header="0.15748031496062992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84" zoomScalePageLayoutView="0" workbookViewId="0" topLeftCell="A1">
      <selection activeCell="A37" sqref="A37"/>
    </sheetView>
  </sheetViews>
  <sheetFormatPr defaultColWidth="9.00390625" defaultRowHeight="12.75"/>
  <cols>
    <col min="1" max="1" width="14.375" style="429" customWidth="1"/>
    <col min="2" max="2" width="8.75390625" style="429" customWidth="1"/>
    <col min="3" max="3" width="9.375" style="429" customWidth="1"/>
    <col min="4" max="4" width="9.25390625" style="429" customWidth="1"/>
    <col min="5" max="5" width="8.625" style="429" customWidth="1"/>
    <col min="6" max="6" width="8.125" style="429" customWidth="1"/>
    <col min="7" max="7" width="9.625" style="429" customWidth="1"/>
    <col min="8" max="8" width="14.125" style="429" customWidth="1"/>
    <col min="9" max="9" width="8.00390625" style="429" customWidth="1"/>
    <col min="10" max="10" width="9.125" style="429" customWidth="1"/>
    <col min="11" max="11" width="5.875" style="429" customWidth="1"/>
    <col min="12" max="12" width="10.625" style="429" customWidth="1"/>
    <col min="13" max="13" width="9.25390625" style="429" bestFit="1" customWidth="1"/>
    <col min="14" max="14" width="10.00390625" style="429" customWidth="1"/>
    <col min="15" max="15" width="12.25390625" style="519" customWidth="1"/>
    <col min="16" max="16" width="10.625" style="429" customWidth="1"/>
    <col min="17" max="17" width="10.75390625" style="429" customWidth="1"/>
    <col min="18" max="18" width="8.00390625" style="428" customWidth="1"/>
    <col min="19" max="19" width="9.625" style="429" customWidth="1"/>
    <col min="20" max="20" width="8.375" style="429" customWidth="1"/>
    <col min="21" max="21" width="9.00390625" style="429" hidden="1" customWidth="1"/>
    <col min="22" max="22" width="10.125" style="429" customWidth="1"/>
    <col min="23" max="16384" width="9.125" style="429" customWidth="1"/>
  </cols>
  <sheetData>
    <row r="1" spans="1:17" ht="12.75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  <c r="P1" s="426"/>
      <c r="Q1" s="426"/>
    </row>
    <row r="2" spans="1:17" ht="12.75">
      <c r="A2" s="430" t="s">
        <v>580</v>
      </c>
      <c r="B2" s="426"/>
      <c r="C2" s="426"/>
      <c r="D2" s="426"/>
      <c r="E2" s="426"/>
      <c r="F2" s="431">
        <f>SUM(C20+D20)</f>
        <v>11466.5</v>
      </c>
      <c r="G2" s="426"/>
      <c r="H2" s="426"/>
      <c r="I2" s="426"/>
      <c r="J2" s="426"/>
      <c r="K2" s="426"/>
      <c r="L2" s="426"/>
      <c r="M2" s="426"/>
      <c r="N2" s="426"/>
      <c r="O2" s="427"/>
      <c r="P2" s="426"/>
      <c r="Q2" s="426"/>
    </row>
    <row r="3" spans="1:17" ht="13.5" thickBot="1">
      <c r="A3" s="430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7"/>
      <c r="P3" s="426"/>
      <c r="Q3" s="432" t="s">
        <v>581</v>
      </c>
    </row>
    <row r="4" spans="1:21" ht="13.5" thickBot="1">
      <c r="A4" s="1128" t="s">
        <v>582</v>
      </c>
      <c r="B4" s="1130" t="s">
        <v>583</v>
      </c>
      <c r="C4" s="1132" t="s">
        <v>584</v>
      </c>
      <c r="D4" s="1132"/>
      <c r="E4" s="1132"/>
      <c r="F4" s="1132"/>
      <c r="G4" s="1132"/>
      <c r="H4" s="1128" t="s">
        <v>582</v>
      </c>
      <c r="I4" s="1134" t="s">
        <v>50</v>
      </c>
      <c r="J4" s="1135"/>
      <c r="K4" s="1135"/>
      <c r="L4" s="1135"/>
      <c r="M4" s="1135"/>
      <c r="N4" s="1135"/>
      <c r="O4" s="1136"/>
      <c r="P4" s="1137" t="s">
        <v>585</v>
      </c>
      <c r="Q4" s="1124" t="s">
        <v>586</v>
      </c>
      <c r="T4" s="1126" t="s">
        <v>587</v>
      </c>
      <c r="U4" s="1124" t="s">
        <v>588</v>
      </c>
    </row>
    <row r="5" spans="1:21" s="443" customFormat="1" ht="51.75" thickBot="1">
      <c r="A5" s="1129"/>
      <c r="B5" s="1131"/>
      <c r="C5" s="433" t="s">
        <v>589</v>
      </c>
      <c r="D5" s="434" t="s">
        <v>590</v>
      </c>
      <c r="E5" s="434" t="s">
        <v>591</v>
      </c>
      <c r="F5" s="435" t="s">
        <v>592</v>
      </c>
      <c r="G5" s="436" t="s">
        <v>593</v>
      </c>
      <c r="H5" s="1133"/>
      <c r="I5" s="437" t="s">
        <v>594</v>
      </c>
      <c r="J5" s="438" t="s">
        <v>595</v>
      </c>
      <c r="K5" s="438" t="s">
        <v>596</v>
      </c>
      <c r="L5" s="434" t="s">
        <v>597</v>
      </c>
      <c r="M5" s="438" t="s">
        <v>598</v>
      </c>
      <c r="N5" s="439" t="s">
        <v>599</v>
      </c>
      <c r="O5" s="440" t="s">
        <v>600</v>
      </c>
      <c r="P5" s="1138"/>
      <c r="Q5" s="1125"/>
      <c r="R5" s="441" t="s">
        <v>601</v>
      </c>
      <c r="S5" s="442" t="s">
        <v>602</v>
      </c>
      <c r="T5" s="1127"/>
      <c r="U5" s="1125"/>
    </row>
    <row r="6" spans="1:21" ht="12.75">
      <c r="A6" s="444" t="s">
        <v>603</v>
      </c>
      <c r="B6" s="445">
        <v>2374</v>
      </c>
      <c r="C6" s="446">
        <f>'[3]Társulási hozzájár.'!F9</f>
        <v>1187</v>
      </c>
      <c r="D6" s="447">
        <f>'[3]TKT műk.'!F39</f>
        <v>4337.5680875326125</v>
      </c>
      <c r="E6" s="448">
        <f>'[3]Ügyelet'!E26</f>
        <v>6606.720913200166</v>
      </c>
      <c r="F6" s="449">
        <f>'[3]Labor'!D27</f>
        <v>3972.975485790436</v>
      </c>
      <c r="G6" s="450">
        <f>SUM(C6:F6)</f>
        <v>16104.264486523214</v>
      </c>
      <c r="H6" s="451" t="s">
        <v>603</v>
      </c>
      <c r="I6" s="452">
        <f>'[3]Püg.,TV, étkeztetés '!G19</f>
        <v>2700</v>
      </c>
      <c r="J6" s="447">
        <f>'[3]Házi segítségnyújtás'!E30</f>
        <v>4435</v>
      </c>
      <c r="K6" s="447">
        <v>0</v>
      </c>
      <c r="L6" s="523">
        <f>SUM('[3]Családsegítés, gyerm.jólét'!V41)</f>
        <v>520.3849187844162</v>
      </c>
      <c r="M6" s="448">
        <f>'[3]Óvoda'!I23+'[3]Óvoda'!I27</f>
        <v>24080.77777777778</v>
      </c>
      <c r="N6" s="521">
        <f>'[3]Püg.,TV, étkeztetés '!E19+'[3]Püg.,TV, étkeztetés '!H19+'[3]Püg.,TV, étkeztetés '!I19</f>
        <v>12344.905669447284</v>
      </c>
      <c r="O6" s="450">
        <f>I6+J6+L6+M6+N6</f>
        <v>44081.06836600948</v>
      </c>
      <c r="P6" s="453">
        <f>G6+O6</f>
        <v>60185.332852532694</v>
      </c>
      <c r="Q6" s="454">
        <v>27433</v>
      </c>
      <c r="R6" s="455">
        <f>P6-Q6</f>
        <v>32752.332852532694</v>
      </c>
      <c r="S6" s="456">
        <f>SUM('[3]Püg.,TV, étkeztetés '!E19)</f>
        <v>9217</v>
      </c>
      <c r="T6" s="457">
        <v>617</v>
      </c>
      <c r="U6" s="457"/>
    </row>
    <row r="7" spans="1:21" ht="12.75">
      <c r="A7" s="458" t="s">
        <v>604</v>
      </c>
      <c r="B7" s="459">
        <v>542</v>
      </c>
      <c r="C7" s="446">
        <f>'[3]Társulási hozzájár.'!F10</f>
        <v>271</v>
      </c>
      <c r="D7" s="447">
        <f>'[3]TKT műk.'!F40</f>
        <v>144.76196438191909</v>
      </c>
      <c r="E7" s="448">
        <f>'[3]Ügyelet'!E27</f>
        <v>1270.384851532849</v>
      </c>
      <c r="F7" s="449">
        <f>'[3]Labor'!D28</f>
        <v>907.0567452815569</v>
      </c>
      <c r="G7" s="450">
        <f aca="true" t="shared" si="0" ref="G7:G18">SUM(C7:F7)</f>
        <v>2593.203561196325</v>
      </c>
      <c r="H7" s="460" t="s">
        <v>604</v>
      </c>
      <c r="I7" s="452">
        <f>'[3]Püg.,TV, étkeztetés '!G20</f>
        <v>120</v>
      </c>
      <c r="J7" s="447">
        <f>'[3]Házi segítségnyújtás'!E31</f>
        <v>814</v>
      </c>
      <c r="K7" s="447">
        <v>0</v>
      </c>
      <c r="L7" s="523">
        <f>SUM('[3]Családsegítés, gyerm.jólét'!V54)</f>
        <v>-53.724147656776864</v>
      </c>
      <c r="M7" s="461">
        <v>0</v>
      </c>
      <c r="N7" s="521">
        <f>'[3]Püg.,TV, étkeztetés '!E20+'[3]Püg.,TV, étkeztetés '!H20+'[3]Püg.,TV, étkeztetés '!I20</f>
        <v>130.5854564031485</v>
      </c>
      <c r="O7" s="450">
        <f aca="true" t="shared" si="1" ref="O7:O19">I7+J7+L7+M7+N7</f>
        <v>1010.8613087463716</v>
      </c>
      <c r="P7" s="453">
        <f aca="true" t="shared" si="2" ref="P7:P19">G7+O7</f>
        <v>3604.0648699426965</v>
      </c>
      <c r="Q7" s="462">
        <v>2763</v>
      </c>
      <c r="R7" s="455">
        <f aca="true" t="shared" si="3" ref="R7:R19">P7-Q7</f>
        <v>841.0648699426965</v>
      </c>
      <c r="S7" s="463"/>
      <c r="T7" s="464"/>
      <c r="U7" s="464"/>
    </row>
    <row r="8" spans="1:21" ht="12.75">
      <c r="A8" s="458" t="s">
        <v>605</v>
      </c>
      <c r="B8" s="459">
        <v>2210</v>
      </c>
      <c r="C8" s="446">
        <f>'[3]Társulási hozzájár.'!F11</f>
        <v>1105</v>
      </c>
      <c r="D8" s="447">
        <f>'[3]TKT műk.'!F41</f>
        <v>15.808811575353602</v>
      </c>
      <c r="E8" s="448">
        <f>'[3]Ügyelet'!E28</f>
        <v>5140.275808284833</v>
      </c>
      <c r="F8" s="449">
        <f>'[3]Labor'!D29</f>
        <v>3698.5155112033967</v>
      </c>
      <c r="G8" s="450">
        <f t="shared" si="0"/>
        <v>9959.600131063584</v>
      </c>
      <c r="H8" s="460" t="s">
        <v>605</v>
      </c>
      <c r="I8" s="452">
        <f>'[3]Püg.,TV, étkeztetés '!G21</f>
        <v>0</v>
      </c>
      <c r="J8" s="447">
        <f>'[3]Házi segítségnyújtás'!E32</f>
        <v>0</v>
      </c>
      <c r="K8" s="447">
        <v>0</v>
      </c>
      <c r="L8" s="523">
        <f>SUM('[3]Családsegítés, gyerm.jólét'!V49)</f>
        <v>820.5843512550781</v>
      </c>
      <c r="M8" s="461">
        <v>0</v>
      </c>
      <c r="N8" s="521">
        <f>'[3]Püg.,TV, étkeztetés '!E21+'[3]Püg.,TV, étkeztetés '!H21+'[3]Püg.,TV, étkeztetés '!I21</f>
        <v>173.53763615672247</v>
      </c>
      <c r="O8" s="450">
        <f t="shared" si="1"/>
        <v>994.1219874118005</v>
      </c>
      <c r="P8" s="453">
        <f t="shared" si="2"/>
        <v>10953.722118475383</v>
      </c>
      <c r="Q8" s="462">
        <v>10669</v>
      </c>
      <c r="R8" s="455">
        <f t="shared" si="3"/>
        <v>284.72211847538347</v>
      </c>
      <c r="S8" s="463"/>
      <c r="T8" s="464"/>
      <c r="U8" s="464">
        <v>28</v>
      </c>
    </row>
    <row r="9" spans="1:21" ht="12.75">
      <c r="A9" s="458" t="s">
        <v>606</v>
      </c>
      <c r="B9" s="459">
        <v>1872</v>
      </c>
      <c r="C9" s="446">
        <f>'[3]Társulási hozzájár.'!F12</f>
        <v>936</v>
      </c>
      <c r="D9" s="447">
        <f>'[3]TKT műk.'!F42</f>
        <v>13.39099333441717</v>
      </c>
      <c r="E9" s="448">
        <f>'[3]Ügyelet'!E29</f>
        <v>3789.178076782681</v>
      </c>
      <c r="F9" s="449">
        <f>'[3]Labor'!D30</f>
        <v>3132.86019772523</v>
      </c>
      <c r="G9" s="450">
        <f t="shared" si="0"/>
        <v>7871.429267842328</v>
      </c>
      <c r="H9" s="460" t="s">
        <v>606</v>
      </c>
      <c r="I9" s="452">
        <f>'[3]Püg.,TV, étkeztetés '!G22</f>
        <v>0</v>
      </c>
      <c r="J9" s="447">
        <f>'[3]Házi segítségnyújtás'!E33</f>
        <v>0</v>
      </c>
      <c r="K9" s="447">
        <v>0</v>
      </c>
      <c r="L9" s="523">
        <f>SUM('[3]Családsegítés, gyerm.jólét'!V53)</f>
        <v>-189.20243305212784</v>
      </c>
      <c r="M9" s="461">
        <v>0</v>
      </c>
      <c r="N9" s="521">
        <f>'[3]Püg.,TV, étkeztetés '!E22+'[3]Püg.,TV, étkeztetés '!H22+'[3]Püg.,TV, étkeztetés '!I22</f>
        <v>146.99658592098845</v>
      </c>
      <c r="O9" s="450">
        <f t="shared" si="1"/>
        <v>-42.20584713113939</v>
      </c>
      <c r="P9" s="453">
        <f t="shared" si="2"/>
        <v>7829.223420711189</v>
      </c>
      <c r="Q9" s="462">
        <v>8920</v>
      </c>
      <c r="R9" s="455">
        <f t="shared" si="3"/>
        <v>-1090.7765792888113</v>
      </c>
      <c r="S9" s="463"/>
      <c r="T9" s="464">
        <v>2230</v>
      </c>
      <c r="U9" s="464"/>
    </row>
    <row r="10" spans="1:21" ht="12.75">
      <c r="A10" s="458" t="s">
        <v>607</v>
      </c>
      <c r="B10" s="459">
        <v>580</v>
      </c>
      <c r="C10" s="446">
        <f>'[3]Társulási hozzájár.'!F13</f>
        <v>290</v>
      </c>
      <c r="D10" s="447">
        <f>'[3]TKT műk.'!F43</f>
        <v>154.9113271983636</v>
      </c>
      <c r="E10" s="448">
        <f>'[3]Ügyelet'!E30</f>
        <v>366.00397614314113</v>
      </c>
      <c r="F10" s="449">
        <f>'[3]Labor'!D31</f>
        <v>647.1007530913937</v>
      </c>
      <c r="G10" s="450">
        <f t="shared" si="0"/>
        <v>1458.0160564328985</v>
      </c>
      <c r="H10" s="460" t="s">
        <v>607</v>
      </c>
      <c r="I10" s="452">
        <f>'[3]Püg.,TV, étkeztetés '!G23</f>
        <v>120</v>
      </c>
      <c r="J10" s="447">
        <f>'[3]Házi segítségnyújtás'!E34</f>
        <v>724</v>
      </c>
      <c r="K10" s="447">
        <v>0</v>
      </c>
      <c r="L10" s="523">
        <f>SUM('[3]Családsegítés, gyerm.jólét'!V42)</f>
        <v>362.1350290068098</v>
      </c>
      <c r="M10" s="461">
        <f>'[3]Óvoda'!I19</f>
        <v>1532.013888888889</v>
      </c>
      <c r="N10" s="521">
        <f>'[3]Püg.,TV, étkeztetés '!E23+'[3]Püg.,TV, étkeztetés '!H23+'[3]Püg.,TV, étkeztetés '!I23</f>
        <v>904.1892536981568</v>
      </c>
      <c r="O10" s="450">
        <f t="shared" si="1"/>
        <v>3642.338171593856</v>
      </c>
      <c r="P10" s="453">
        <f t="shared" si="2"/>
        <v>5100.354228026754</v>
      </c>
      <c r="Q10" s="462">
        <v>4845</v>
      </c>
      <c r="R10" s="455">
        <f t="shared" si="3"/>
        <v>255.35422802675384</v>
      </c>
      <c r="S10" s="465"/>
      <c r="T10" s="464"/>
      <c r="U10" s="464"/>
    </row>
    <row r="11" spans="1:21" ht="12.75">
      <c r="A11" s="458" t="s">
        <v>608</v>
      </c>
      <c r="B11" s="459">
        <v>547</v>
      </c>
      <c r="C11" s="446">
        <f>'[3]Társulási hozzájár.'!F14</f>
        <v>273</v>
      </c>
      <c r="D11" s="447">
        <f>'[3]TKT műk.'!F44</f>
        <v>146.09740685776706</v>
      </c>
      <c r="E11" s="448">
        <f>'[3]Ügyelet'!E31</f>
        <v>270.8429423459244</v>
      </c>
      <c r="F11" s="449">
        <f>'[3]Labor'!D32</f>
        <v>610.2829516224007</v>
      </c>
      <c r="G11" s="450">
        <f t="shared" si="0"/>
        <v>1300.2233008260923</v>
      </c>
      <c r="H11" s="460" t="s">
        <v>608</v>
      </c>
      <c r="I11" s="452">
        <f>'[3]Püg.,TV, étkeztetés '!G24</f>
        <v>120</v>
      </c>
      <c r="J11" s="447">
        <f>'[3]Házi segítségnyújtás'!E35</f>
        <v>1448</v>
      </c>
      <c r="K11" s="447">
        <v>0</v>
      </c>
      <c r="L11" s="523">
        <f>SUM('[3]Családsegítés, gyerm.jólét'!V43)</f>
        <v>255.1405886184342</v>
      </c>
      <c r="M11" s="461">
        <f>'[3]Óvoda'!I20</f>
        <v>2150.0694444444443</v>
      </c>
      <c r="N11" s="521">
        <f>'[3]Püg.,TV, étkeztetés '!E24+'[3]Püg.,TV, étkeztetés '!H24+'[3]Püg.,TV, étkeztetés '!I24</f>
        <v>720.7095202980892</v>
      </c>
      <c r="O11" s="450">
        <f t="shared" si="1"/>
        <v>4693.919553360968</v>
      </c>
      <c r="P11" s="453">
        <f t="shared" si="2"/>
        <v>5994.142854187061</v>
      </c>
      <c r="Q11" s="462">
        <v>3555</v>
      </c>
      <c r="R11" s="455">
        <f t="shared" si="3"/>
        <v>2439.142854187061</v>
      </c>
      <c r="S11" s="463"/>
      <c r="T11" s="464"/>
      <c r="U11" s="464"/>
    </row>
    <row r="12" spans="1:21" ht="12.75">
      <c r="A12" s="458" t="s">
        <v>609</v>
      </c>
      <c r="B12" s="459">
        <v>1419</v>
      </c>
      <c r="C12" s="446">
        <f>'[3]Társulási hozzájár.'!F15</f>
        <v>709</v>
      </c>
      <c r="D12" s="447">
        <f>'[3]TKT műk.'!F45</f>
        <v>10.150544626889936</v>
      </c>
      <c r="E12" s="448">
        <f>'[3]Ügyelet'!E32</f>
        <v>1515.2564612326044</v>
      </c>
      <c r="F12" s="449">
        <f>'[3]Labor'!D33</f>
        <v>1583.165463166703</v>
      </c>
      <c r="G12" s="450">
        <f t="shared" si="0"/>
        <v>3817.5724690261973</v>
      </c>
      <c r="H12" s="460" t="s">
        <v>609</v>
      </c>
      <c r="I12" s="452">
        <f>'[3]Püg.,TV, étkeztetés '!G25</f>
        <v>0</v>
      </c>
      <c r="J12" s="447">
        <f>'[3]Házi segítségnyújtás'!E36</f>
        <v>814</v>
      </c>
      <c r="K12" s="447">
        <v>0</v>
      </c>
      <c r="L12" s="523">
        <f>SUM('[3]Családsegítés, gyerm.jólét'!V56)</f>
        <v>-48.74203084154669</v>
      </c>
      <c r="M12" s="461">
        <v>0</v>
      </c>
      <c r="N12" s="521">
        <f>'[3]Püg.,TV, étkeztetés '!E25+'[3]Püg.,TV, étkeztetés '!H25+'[3]Püg.,TV, étkeztetés '!I25</f>
        <v>754.8833258968039</v>
      </c>
      <c r="O12" s="450">
        <f t="shared" si="1"/>
        <v>1520.1412950552572</v>
      </c>
      <c r="P12" s="453">
        <f t="shared" si="2"/>
        <v>5337.713764081454</v>
      </c>
      <c r="Q12" s="462">
        <v>4991</v>
      </c>
      <c r="R12" s="455">
        <f t="shared" si="3"/>
        <v>346.7137640814544</v>
      </c>
      <c r="S12" s="463"/>
      <c r="T12" s="464"/>
      <c r="U12" s="464"/>
    </row>
    <row r="13" spans="1:21" ht="12.75">
      <c r="A13" s="458" t="s">
        <v>610</v>
      </c>
      <c r="B13" s="459">
        <v>533</v>
      </c>
      <c r="C13" s="446">
        <f>'[3]Társulási hozzájár.'!F16</f>
        <v>267</v>
      </c>
      <c r="D13" s="447">
        <f>'[3]TKT műk.'!F46</f>
        <v>3.812713379938222</v>
      </c>
      <c r="E13" s="448">
        <f>'[3]Ügyelet'!E33</f>
        <v>409.92445328031806</v>
      </c>
      <c r="F13" s="449">
        <f>'[3]Labor'!D34</f>
        <v>594.6632782719187</v>
      </c>
      <c r="G13" s="450">
        <f t="shared" si="0"/>
        <v>1275.4004449321749</v>
      </c>
      <c r="H13" s="460" t="s">
        <v>610</v>
      </c>
      <c r="I13" s="452">
        <f>'[3]Püg.,TV, étkeztetés '!G26</f>
        <v>120</v>
      </c>
      <c r="J13" s="447">
        <f>'[3]Házi segítségnyújtás'!E37</f>
        <v>1448</v>
      </c>
      <c r="K13" s="447">
        <v>0</v>
      </c>
      <c r="L13" s="523">
        <f>SUM('[3]Családsegítés, gyerm.jólét'!V50)</f>
        <v>369.40621679163354</v>
      </c>
      <c r="M13" s="461">
        <v>0</v>
      </c>
      <c r="N13" s="521">
        <f>'[3]Püg.,TV, étkeztetés '!E26+'[3]Püg.,TV, étkeztetés '!H26+'[3]Püg.,TV, étkeztetés '!I26</f>
        <v>128.41706321564234</v>
      </c>
      <c r="O13" s="450">
        <f t="shared" si="1"/>
        <v>2065.823280007276</v>
      </c>
      <c r="P13" s="453">
        <f t="shared" si="2"/>
        <v>3341.223724939451</v>
      </c>
      <c r="Q13" s="462">
        <v>1703</v>
      </c>
      <c r="R13" s="455">
        <f t="shared" si="3"/>
        <v>1638.2237249394511</v>
      </c>
      <c r="S13" s="456"/>
      <c r="T13" s="464"/>
      <c r="U13" s="464"/>
    </row>
    <row r="14" spans="1:22" ht="12.75">
      <c r="A14" s="458" t="s">
        <v>611</v>
      </c>
      <c r="B14" s="459">
        <v>405</v>
      </c>
      <c r="C14" s="446">
        <f>'[3]Társulási hozzájár.'!F17</f>
        <v>203</v>
      </c>
      <c r="D14" s="447">
        <f>'[3]TKT műk.'!F47</f>
        <v>2.8970899040806373</v>
      </c>
      <c r="E14" s="448">
        <f>'[3]Ügyelet'!E34</f>
        <v>190.3220675944334</v>
      </c>
      <c r="F14" s="449">
        <f>'[3]Labor'!D35</f>
        <v>451.8548362103697</v>
      </c>
      <c r="G14" s="450">
        <f t="shared" si="0"/>
        <v>848.0739937088838</v>
      </c>
      <c r="H14" s="460" t="s">
        <v>611</v>
      </c>
      <c r="I14" s="452">
        <f>'[3]Püg.,TV, étkeztetés '!G27</f>
        <v>120</v>
      </c>
      <c r="J14" s="447">
        <f>'[3]Házi segítségnyújtás'!E38</f>
        <v>724</v>
      </c>
      <c r="K14" s="447">
        <v>0</v>
      </c>
      <c r="L14" s="523">
        <f>SUM('[3]Családsegítés, gyerm.jólét'!V51)</f>
        <v>369.40621679163354</v>
      </c>
      <c r="M14" s="461">
        <v>0</v>
      </c>
      <c r="N14" s="521">
        <f>'[3]Püg.,TV, étkeztetés '!E27+'[3]Püg.,TV, étkeztetés '!H27+'[3]Püg.,TV, étkeztetés '!I27</f>
        <v>97.57769343777701</v>
      </c>
      <c r="O14" s="450">
        <f t="shared" si="1"/>
        <v>1310.9839102294106</v>
      </c>
      <c r="P14" s="453">
        <f t="shared" si="2"/>
        <v>2159.0579039382947</v>
      </c>
      <c r="Q14" s="462">
        <v>1196</v>
      </c>
      <c r="R14" s="455">
        <f t="shared" si="3"/>
        <v>963.0579039382947</v>
      </c>
      <c r="S14" s="456"/>
      <c r="T14" s="464"/>
      <c r="U14" s="464"/>
      <c r="V14" s="466"/>
    </row>
    <row r="15" spans="1:22" ht="12.75">
      <c r="A15" s="458" t="s">
        <v>612</v>
      </c>
      <c r="B15" s="459">
        <v>375</v>
      </c>
      <c r="C15" s="446">
        <f>'[3]Társulási hozzájár.'!F18</f>
        <v>187</v>
      </c>
      <c r="D15" s="447">
        <f>'[3]TKT műk.'!F48</f>
        <v>100.15818568859716</v>
      </c>
      <c r="E15" s="448">
        <f>'[3]Ügyelet'!E35</f>
        <v>278.16302186878727</v>
      </c>
      <c r="F15" s="449">
        <f>'[3]Labor'!D36</f>
        <v>418.3841076021942</v>
      </c>
      <c r="G15" s="450">
        <f t="shared" si="0"/>
        <v>983.7053151595787</v>
      </c>
      <c r="H15" s="460" t="s">
        <v>612</v>
      </c>
      <c r="I15" s="452">
        <f>'[3]Püg.,TV, étkeztetés '!G28</f>
        <v>120</v>
      </c>
      <c r="J15" s="447">
        <f>'[3]Házi segítségnyújtás'!E39</f>
        <v>724</v>
      </c>
      <c r="K15" s="447">
        <v>0</v>
      </c>
      <c r="L15" s="523">
        <f>SUM('[3]Családsegítés, gyerm.jólét'!V44)</f>
        <v>106.99444038837574</v>
      </c>
      <c r="M15" s="461">
        <f>'[3]Óvoda'!I21</f>
        <v>430.0138888888889</v>
      </c>
      <c r="N15" s="521">
        <f>'[3]Püg.,TV, étkeztetés '!E28+'[3]Püg.,TV, étkeztetés '!H28+'[3]Püg.,TV, étkeztetés '!I28</f>
        <v>494.087879546222</v>
      </c>
      <c r="O15" s="450">
        <f t="shared" si="1"/>
        <v>1875.0962088234867</v>
      </c>
      <c r="P15" s="453">
        <f t="shared" si="2"/>
        <v>2858.8015239830656</v>
      </c>
      <c r="Q15" s="462">
        <v>2005</v>
      </c>
      <c r="R15" s="455">
        <f t="shared" si="3"/>
        <v>853.8015239830656</v>
      </c>
      <c r="S15" s="463"/>
      <c r="T15" s="464">
        <v>3062</v>
      </c>
      <c r="U15" s="464"/>
      <c r="V15" s="466" t="s">
        <v>613</v>
      </c>
    </row>
    <row r="16" spans="1:22" ht="12.75">
      <c r="A16" s="458" t="s">
        <v>614</v>
      </c>
      <c r="B16" s="459">
        <v>665</v>
      </c>
      <c r="C16" s="446">
        <f>'[3]Társulási hozzájár.'!F19</f>
        <v>333</v>
      </c>
      <c r="D16" s="447">
        <f>'[3]TKT műk.'!F49</f>
        <v>177.61384928777898</v>
      </c>
      <c r="E16" s="448">
        <f>'[3]Ügyelet'!E36</f>
        <v>1486.3190778336634</v>
      </c>
      <c r="F16" s="449">
        <f>'[3]Labor'!D37</f>
        <v>1112.9017262218365</v>
      </c>
      <c r="G16" s="450">
        <f t="shared" si="0"/>
        <v>3109.8346533432787</v>
      </c>
      <c r="H16" s="460" t="s">
        <v>614</v>
      </c>
      <c r="I16" s="452">
        <f>'[3]Püg.,TV, étkeztetés '!G29</f>
        <v>120</v>
      </c>
      <c r="J16" s="447">
        <f>'[3]Házi segítségnyújtás'!E40</f>
        <v>814</v>
      </c>
      <c r="K16" s="447">
        <v>0</v>
      </c>
      <c r="L16" s="523">
        <f>SUM('[3]Családsegítés, gyerm.jólét'!V45)</f>
        <v>127.20520236952395</v>
      </c>
      <c r="M16" s="461">
        <f>'[3]Óvoda'!I22</f>
        <v>3870.125</v>
      </c>
      <c r="N16" s="521">
        <f>'[3]Püg.,TV, étkeztetés '!E29+'[3]Püg.,TV, étkeztetés '!H29+'[3]Püg.,TV, étkeztetés '!I29</f>
        <v>876.1825063953003</v>
      </c>
      <c r="O16" s="450">
        <f t="shared" si="1"/>
        <v>5807.512708764824</v>
      </c>
      <c r="P16" s="453">
        <f t="shared" si="2"/>
        <v>8917.347362108103</v>
      </c>
      <c r="Q16" s="462">
        <v>5799</v>
      </c>
      <c r="R16" s="455">
        <f t="shared" si="3"/>
        <v>3118.347362108103</v>
      </c>
      <c r="S16" s="467"/>
      <c r="T16" s="464"/>
      <c r="U16" s="464">
        <v>59</v>
      </c>
      <c r="V16" s="466" t="s">
        <v>615</v>
      </c>
    </row>
    <row r="17" spans="1:22" ht="12.75">
      <c r="A17" s="468" t="s">
        <v>616</v>
      </c>
      <c r="B17" s="459">
        <v>568</v>
      </c>
      <c r="C17" s="446">
        <f>'[3]Társulási hozzájár.'!F20</f>
        <v>284</v>
      </c>
      <c r="D17" s="469">
        <f>'[3]TKT műk.'!F50</f>
        <v>151.70626525632852</v>
      </c>
      <c r="E17" s="461">
        <f>'[3]Ügyelet'!E37</f>
        <v>446.5248508946322</v>
      </c>
      <c r="F17" s="470">
        <f>'[3]Labor'!D38</f>
        <v>633.7124616481235</v>
      </c>
      <c r="G17" s="471">
        <f t="shared" si="0"/>
        <v>1515.9435777990843</v>
      </c>
      <c r="H17" s="460" t="s">
        <v>616</v>
      </c>
      <c r="I17" s="472">
        <f>'[3]Püg.,TV, étkeztetés '!G30</f>
        <v>0</v>
      </c>
      <c r="J17" s="469">
        <f>'[3]Házi segítségnyújtás'!E41</f>
        <v>1719</v>
      </c>
      <c r="K17" s="469">
        <v>0</v>
      </c>
      <c r="L17" s="495">
        <f>SUM('[3]Családsegítés, gyerm.jólét'!V46)</f>
        <v>360.3308127379277</v>
      </c>
      <c r="M17" s="461">
        <v>0</v>
      </c>
      <c r="N17" s="522">
        <f>'[3]Püg.,TV, étkeztetés '!E30+'[3]Püg.,TV, étkeztetés '!H30+'[3]Püg.,TV, étkeztetés '!I30</f>
        <v>136.84970338927738</v>
      </c>
      <c r="O17" s="471">
        <f t="shared" si="1"/>
        <v>2216.180516127205</v>
      </c>
      <c r="P17" s="473">
        <f t="shared" si="2"/>
        <v>3732.1240939262893</v>
      </c>
      <c r="Q17" s="462">
        <v>1818</v>
      </c>
      <c r="R17" s="455">
        <f t="shared" si="3"/>
        <v>1914.1240939262893</v>
      </c>
      <c r="S17" s="474"/>
      <c r="T17" s="464"/>
      <c r="U17" s="464"/>
      <c r="V17" s="466"/>
    </row>
    <row r="18" spans="1:21" ht="12.75">
      <c r="A18" s="468" t="s">
        <v>617</v>
      </c>
      <c r="B18" s="459">
        <v>212</v>
      </c>
      <c r="C18" s="446">
        <f>'[3]Társulási hozzájár.'!F21</f>
        <v>106</v>
      </c>
      <c r="D18" s="469">
        <f>'[3]TKT műk.'!F51</f>
        <v>56.6227609759536</v>
      </c>
      <c r="E18" s="461">
        <f>'[3]Ügyelet'!E38</f>
        <v>322.0834990059642</v>
      </c>
      <c r="F18" s="470">
        <f>'[3]Labor'!D39</f>
        <v>236.52648216444044</v>
      </c>
      <c r="G18" s="471">
        <f t="shared" si="0"/>
        <v>721.2327421463583</v>
      </c>
      <c r="H18" s="460" t="s">
        <v>617</v>
      </c>
      <c r="I18" s="472">
        <f>'[3]Püg.,TV, étkeztetés '!G31</f>
        <v>0</v>
      </c>
      <c r="J18" s="469">
        <f>'[3]Házi segítségnyújtás'!E42</f>
        <v>362</v>
      </c>
      <c r="K18" s="469">
        <v>0</v>
      </c>
      <c r="L18" s="495">
        <f>SUM('[3]Családsegítés, gyerm.jólét'!V47)</f>
        <v>527.4270583634043</v>
      </c>
      <c r="M18" s="461">
        <v>0</v>
      </c>
      <c r="N18" s="522">
        <f>'[3]Püg.,TV, étkeztetés '!E31+'[3]Püg.,TV, étkeztetés '!H31+'[3]Püg.,TV, étkeztetés '!I31</f>
        <v>51.07770619458945</v>
      </c>
      <c r="O18" s="471">
        <f t="shared" si="1"/>
        <v>940.5047645579938</v>
      </c>
      <c r="P18" s="473">
        <f t="shared" si="2"/>
        <v>1661.7375067043522</v>
      </c>
      <c r="Q18" s="462">
        <v>997</v>
      </c>
      <c r="R18" s="455">
        <f t="shared" si="3"/>
        <v>664.7375067043522</v>
      </c>
      <c r="S18" s="456"/>
      <c r="T18" s="464"/>
      <c r="U18" s="464"/>
    </row>
    <row r="19" spans="1:21" ht="12.75">
      <c r="A19" s="468" t="s">
        <v>618</v>
      </c>
      <c r="B19" s="459">
        <v>1372</v>
      </c>
      <c r="C19" s="446"/>
      <c r="D19" s="469"/>
      <c r="E19" s="461"/>
      <c r="F19" s="470"/>
      <c r="G19" s="471"/>
      <c r="H19" s="460" t="s">
        <v>618</v>
      </c>
      <c r="I19" s="472"/>
      <c r="J19" s="469"/>
      <c r="K19" s="469">
        <v>0</v>
      </c>
      <c r="L19" s="495">
        <f>SUM('[3]Családsegítés, gyerm.jólét'!V57)</f>
        <v>394.7414064432139</v>
      </c>
      <c r="M19" s="461"/>
      <c r="N19" s="522"/>
      <c r="O19" s="471">
        <f t="shared" si="1"/>
        <v>394.7414064432139</v>
      </c>
      <c r="P19" s="473">
        <f t="shared" si="2"/>
        <v>394.7414064432139</v>
      </c>
      <c r="Q19" s="462"/>
      <c r="R19" s="455">
        <f t="shared" si="3"/>
        <v>394.7414064432139</v>
      </c>
      <c r="S19" s="456"/>
      <c r="T19" s="464"/>
      <c r="U19" s="464"/>
    </row>
    <row r="20" spans="1:21" ht="13.5" thickBot="1">
      <c r="A20" s="475" t="s">
        <v>56</v>
      </c>
      <c r="B20" s="476">
        <f>SUM(B6:B19)</f>
        <v>13674</v>
      </c>
      <c r="C20" s="477">
        <f>SUM(C6:C18)</f>
        <v>6151</v>
      </c>
      <c r="D20" s="478">
        <f>SUM(D6:D18)</f>
        <v>5315.499999999999</v>
      </c>
      <c r="E20" s="478">
        <f>SUM(E6:E18)</f>
        <v>22091.999999999993</v>
      </c>
      <c r="F20" s="479">
        <f>SUM(F6:F18)</f>
        <v>18000</v>
      </c>
      <c r="G20" s="476">
        <f>SUM(G6:G18)</f>
        <v>51558.5</v>
      </c>
      <c r="H20" s="480" t="s">
        <v>56</v>
      </c>
      <c r="I20" s="477">
        <f>SUM(I6:I18)</f>
        <v>3540</v>
      </c>
      <c r="J20" s="478">
        <f>SUM(J6:J18)</f>
        <v>14026</v>
      </c>
      <c r="K20" s="478">
        <v>0</v>
      </c>
      <c r="L20" s="478">
        <f>SUM(L6:L19)</f>
        <v>3922.08763</v>
      </c>
      <c r="M20" s="478">
        <f>SUM(M6:M18)</f>
        <v>32063.000000000007</v>
      </c>
      <c r="N20" s="481">
        <f>SUM(N6:N18)</f>
        <v>16960</v>
      </c>
      <c r="O20" s="476">
        <f>SUM(O6:O19)</f>
        <v>70511.08763000001</v>
      </c>
      <c r="P20" s="476">
        <f>SUM(P6:P19)</f>
        <v>122069.58763000001</v>
      </c>
      <c r="Q20" s="482">
        <f>SUM(Q6:Q19)</f>
        <v>76694</v>
      </c>
      <c r="R20" s="455">
        <f>P20-Q20</f>
        <v>45375.58763000001</v>
      </c>
      <c r="S20" s="483">
        <f>SUM(R6:R19)</f>
        <v>45375.587630000016</v>
      </c>
      <c r="T20" s="464"/>
      <c r="U20" s="464"/>
    </row>
    <row r="21" spans="1:21" s="487" customFormat="1" ht="13.5" thickBot="1">
      <c r="A21" s="484"/>
      <c r="B21" s="485"/>
      <c r="C21" s="485"/>
      <c r="D21" s="485"/>
      <c r="E21" s="485"/>
      <c r="F21" s="485"/>
      <c r="G21" s="485"/>
      <c r="H21" s="484"/>
      <c r="I21" s="485"/>
      <c r="J21" s="485"/>
      <c r="K21" s="485"/>
      <c r="L21" s="485"/>
      <c r="M21" s="485"/>
      <c r="N21" s="485"/>
      <c r="O21" s="485"/>
      <c r="P21" s="485"/>
      <c r="Q21" s="486"/>
      <c r="R21" s="455"/>
      <c r="S21" s="474"/>
      <c r="T21" s="464"/>
      <c r="U21" s="464"/>
    </row>
    <row r="22" spans="1:21" s="487" customFormat="1" ht="12.75">
      <c r="A22" s="451" t="s">
        <v>619</v>
      </c>
      <c r="B22" s="488"/>
      <c r="C22" s="489"/>
      <c r="D22" s="489"/>
      <c r="E22" s="489"/>
      <c r="F22" s="490"/>
      <c r="G22" s="491"/>
      <c r="H22" s="451" t="s">
        <v>620</v>
      </c>
      <c r="I22" s="488"/>
      <c r="J22" s="489"/>
      <c r="K22" s="489"/>
      <c r="L22" s="489"/>
      <c r="M22" s="489"/>
      <c r="N22" s="490"/>
      <c r="O22" s="491">
        <f>I22+J22+L22+M22+N22</f>
        <v>0</v>
      </c>
      <c r="P22" s="491">
        <f>G22+O22</f>
        <v>0</v>
      </c>
      <c r="Q22" s="492"/>
      <c r="R22" s="493"/>
      <c r="S22" s="474"/>
      <c r="T22" s="464"/>
      <c r="U22" s="464"/>
    </row>
    <row r="23" spans="1:21" s="487" customFormat="1" ht="12.75">
      <c r="A23" s="460" t="s">
        <v>621</v>
      </c>
      <c r="B23" s="494"/>
      <c r="C23" s="495"/>
      <c r="D23" s="495"/>
      <c r="E23" s="495"/>
      <c r="F23" s="496"/>
      <c r="G23" s="450">
        <f>C23+D23+E23+F23</f>
        <v>0</v>
      </c>
      <c r="H23" s="460" t="s">
        <v>609</v>
      </c>
      <c r="I23" s="494"/>
      <c r="J23" s="495"/>
      <c r="K23" s="495"/>
      <c r="L23" s="495"/>
      <c r="M23" s="495"/>
      <c r="N23" s="496"/>
      <c r="O23" s="497">
        <f>I23+J23+L23+M23+N23</f>
        <v>0</v>
      </c>
      <c r="P23" s="453">
        <f>G23+O23</f>
        <v>0</v>
      </c>
      <c r="Q23" s="498"/>
      <c r="R23" s="493"/>
      <c r="S23" s="474"/>
      <c r="T23" s="464"/>
      <c r="U23" s="464"/>
    </row>
    <row r="24" spans="1:21" s="487" customFormat="1" ht="12.75">
      <c r="A24" s="460"/>
      <c r="B24" s="494"/>
      <c r="C24" s="495"/>
      <c r="D24" s="495"/>
      <c r="E24" s="495"/>
      <c r="F24" s="496"/>
      <c r="G24" s="497"/>
      <c r="H24" s="460" t="s">
        <v>610</v>
      </c>
      <c r="I24" s="494"/>
      <c r="J24" s="495"/>
      <c r="K24" s="495"/>
      <c r="L24" s="495"/>
      <c r="M24" s="495"/>
      <c r="N24" s="496"/>
      <c r="O24" s="497">
        <f>I24+J24+L24+M24+N24</f>
        <v>0</v>
      </c>
      <c r="P24" s="453">
        <f>G24+O24</f>
        <v>0</v>
      </c>
      <c r="Q24" s="498"/>
      <c r="R24" s="493"/>
      <c r="S24" s="474"/>
      <c r="T24" s="464"/>
      <c r="U24" s="464"/>
    </row>
    <row r="25" spans="1:21" s="487" customFormat="1" ht="13.5" thickBot="1">
      <c r="A25" s="460"/>
      <c r="B25" s="494"/>
      <c r="C25" s="495"/>
      <c r="D25" s="495"/>
      <c r="E25" s="495"/>
      <c r="F25" s="496"/>
      <c r="G25" s="497"/>
      <c r="H25" s="460" t="s">
        <v>605</v>
      </c>
      <c r="I25" s="494"/>
      <c r="J25" s="495"/>
      <c r="K25" s="495"/>
      <c r="L25" s="495"/>
      <c r="M25" s="495"/>
      <c r="N25" s="496"/>
      <c r="O25" s="497">
        <f>I25+J25+L25+M25+N25</f>
        <v>0</v>
      </c>
      <c r="P25" s="453">
        <f>G25+O25</f>
        <v>0</v>
      </c>
      <c r="Q25" s="498"/>
      <c r="R25" s="493"/>
      <c r="S25" s="474"/>
      <c r="T25" s="499"/>
      <c r="U25" s="499"/>
    </row>
    <row r="26" spans="1:21" s="509" customFormat="1" ht="22.5" customHeight="1" thickBot="1">
      <c r="A26" s="500" t="s">
        <v>622</v>
      </c>
      <c r="B26" s="501">
        <f aca="true" t="shared" si="4" ref="B26:G26">B20+B22+B23+B24</f>
        <v>13674</v>
      </c>
      <c r="C26" s="501">
        <f t="shared" si="4"/>
        <v>6151</v>
      </c>
      <c r="D26" s="501">
        <f t="shared" si="4"/>
        <v>5315.499999999999</v>
      </c>
      <c r="E26" s="501">
        <f t="shared" si="4"/>
        <v>22091.999999999993</v>
      </c>
      <c r="F26" s="502">
        <f t="shared" si="4"/>
        <v>18000</v>
      </c>
      <c r="G26" s="503">
        <f t="shared" si="4"/>
        <v>51558.5</v>
      </c>
      <c r="H26" s="500" t="str">
        <f>A26</f>
        <v>Mindösszesen</v>
      </c>
      <c r="I26" s="501">
        <f>I20+I22+I23+I24+I25</f>
        <v>3540</v>
      </c>
      <c r="J26" s="504">
        <f aca="true" t="shared" si="5" ref="J26:P26">J20+J22+J23+J24+J25</f>
        <v>14026</v>
      </c>
      <c r="K26" s="504">
        <v>0</v>
      </c>
      <c r="L26" s="504">
        <f t="shared" si="5"/>
        <v>3922.08763</v>
      </c>
      <c r="M26" s="504">
        <f t="shared" si="5"/>
        <v>32063.000000000007</v>
      </c>
      <c r="N26" s="502">
        <f t="shared" si="5"/>
        <v>16960</v>
      </c>
      <c r="O26" s="503">
        <f>O20+O22+O23+O24+O25</f>
        <v>70511.08763000001</v>
      </c>
      <c r="P26" s="503">
        <f t="shared" si="5"/>
        <v>122069.58763000001</v>
      </c>
      <c r="Q26" s="505"/>
      <c r="R26" s="506"/>
      <c r="S26" s="507"/>
      <c r="T26" s="503">
        <f>SUM(T6:T25)</f>
        <v>5909</v>
      </c>
      <c r="U26" s="508">
        <f>SUM(U6:U25)</f>
        <v>87</v>
      </c>
    </row>
    <row r="27" spans="1:19" s="514" customFormat="1" ht="21.75" customHeight="1">
      <c r="A27" s="510" t="s">
        <v>623</v>
      </c>
      <c r="B27" s="511"/>
      <c r="C27" s="511"/>
      <c r="D27" s="511"/>
      <c r="E27" s="511"/>
      <c r="F27" s="511"/>
      <c r="G27" s="511"/>
      <c r="H27" s="512"/>
      <c r="I27" s="511"/>
      <c r="J27" s="511"/>
      <c r="K27" s="511"/>
      <c r="L27" s="511"/>
      <c r="M27" s="511"/>
      <c r="N27" s="511"/>
      <c r="O27" s="511"/>
      <c r="P27" s="511">
        <f>SUM(G20+O20)</f>
        <v>122069.58763000001</v>
      </c>
      <c r="Q27" s="511"/>
      <c r="R27" s="506"/>
      <c r="S27" s="513"/>
    </row>
    <row r="28" spans="1:19" ht="20.25" customHeight="1">
      <c r="A28" s="515" t="s">
        <v>624</v>
      </c>
      <c r="B28" s="428"/>
      <c r="C28" s="428"/>
      <c r="D28" s="428"/>
      <c r="E28" s="428"/>
      <c r="G28" s="428"/>
      <c r="H28" s="428"/>
      <c r="I28" s="428"/>
      <c r="J28" s="428"/>
      <c r="K28" s="428"/>
      <c r="L28" s="428"/>
      <c r="M28" s="428"/>
      <c r="N28" s="493"/>
      <c r="O28" s="485"/>
      <c r="P28" s="428"/>
      <c r="Q28" s="428"/>
      <c r="S28" s="516"/>
    </row>
    <row r="29" spans="1:19" ht="12.75">
      <c r="A29" s="515"/>
      <c r="B29" s="428"/>
      <c r="C29" s="428"/>
      <c r="D29" s="428"/>
      <c r="E29" s="428"/>
      <c r="G29" s="428"/>
      <c r="H29" s="428"/>
      <c r="I29" s="428"/>
      <c r="J29" s="428"/>
      <c r="K29" s="428"/>
      <c r="L29" s="428"/>
      <c r="M29" s="517"/>
      <c r="N29" s="493"/>
      <c r="O29" s="485"/>
      <c r="P29" s="428"/>
      <c r="Q29" s="428"/>
      <c r="S29" s="516"/>
    </row>
    <row r="30" spans="10:15" ht="12.75">
      <c r="J30" s="518"/>
      <c r="K30" s="518"/>
      <c r="L30" s="463"/>
      <c r="M30" s="463"/>
      <c r="N30" s="463"/>
      <c r="O30" s="518"/>
    </row>
    <row r="31" spans="5:15" ht="12.75">
      <c r="E31" s="516"/>
      <c r="J31" s="518"/>
      <c r="K31" s="518"/>
      <c r="L31" s="463"/>
      <c r="M31" s="463"/>
      <c r="N31" s="463"/>
      <c r="O31" s="518"/>
    </row>
  </sheetData>
  <sheetProtection/>
  <mergeCells count="9">
    <mergeCell ref="Q4:Q5"/>
    <mergeCell ref="T4:T5"/>
    <mergeCell ref="U4:U5"/>
    <mergeCell ref="A4:A5"/>
    <mergeCell ref="B4:B5"/>
    <mergeCell ref="C4:G4"/>
    <mergeCell ref="H4:H5"/>
    <mergeCell ref="I4:O4"/>
    <mergeCell ref="P4:P5"/>
  </mergeCells>
  <printOptions/>
  <pageMargins left="0.3937007874015748" right="0.1968503937007874" top="0.2755905511811024" bottom="0.4724409448818898" header="0.2755905511811024" footer="0.31496062992125984"/>
  <pageSetup horizontalDpi="600" verticalDpi="6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34" sqref="H34"/>
    </sheetView>
  </sheetViews>
  <sheetFormatPr defaultColWidth="9.00390625" defaultRowHeight="12.75"/>
  <cols>
    <col min="2" max="2" width="56.875" style="0" customWidth="1"/>
  </cols>
  <sheetData>
    <row r="1" spans="1:14" s="11" customFormat="1" ht="12.75">
      <c r="A1"/>
      <c r="B1" t="s">
        <v>535</v>
      </c>
      <c r="C1" s="317">
        <f>SUM(D1:E1)</f>
        <v>10058.4</v>
      </c>
      <c r="D1" s="317">
        <v>7920</v>
      </c>
      <c r="E1" s="317">
        <f>SUM(D1*0.27)</f>
        <v>2138.4</v>
      </c>
      <c r="F1"/>
      <c r="G1" s="398" t="s">
        <v>509</v>
      </c>
      <c r="H1" s="398"/>
      <c r="I1" s="398"/>
      <c r="J1" s="398"/>
      <c r="K1" s="399"/>
      <c r="L1" s="399"/>
      <c r="M1"/>
      <c r="N1"/>
    </row>
    <row r="2" spans="1:14" s="11" customFormat="1" ht="12.75">
      <c r="A2"/>
      <c r="B2" t="s">
        <v>536</v>
      </c>
      <c r="C2" s="317">
        <f>SUM(D2:E2)</f>
        <v>16865.6</v>
      </c>
      <c r="D2" s="51">
        <v>13280</v>
      </c>
      <c r="E2" s="317">
        <f>SUM(D2*0.27)</f>
        <v>3585.6000000000004</v>
      </c>
      <c r="F2"/>
      <c r="K2"/>
      <c r="L2"/>
      <c r="M2"/>
      <c r="N2"/>
    </row>
    <row r="3" spans="1:14" s="11" customFormat="1" ht="12.75">
      <c r="A3"/>
      <c r="B3"/>
      <c r="C3" s="317"/>
      <c r="D3" s="317"/>
      <c r="E3" s="317"/>
      <c r="F3"/>
      <c r="G3"/>
      <c r="H3"/>
      <c r="I3"/>
      <c r="J3"/>
      <c r="K3"/>
      <c r="L3"/>
      <c r="M3"/>
      <c r="N3"/>
    </row>
    <row r="4" spans="1:14" s="11" customFormat="1" ht="12.75">
      <c r="A4"/>
      <c r="B4" t="s">
        <v>653</v>
      </c>
      <c r="C4" s="317">
        <f>SUM(D4:E4)</f>
        <v>1905</v>
      </c>
      <c r="D4" s="317">
        <v>1500</v>
      </c>
      <c r="E4" s="317">
        <v>405</v>
      </c>
      <c r="F4"/>
      <c r="G4"/>
      <c r="H4"/>
      <c r="I4"/>
      <c r="J4"/>
      <c r="K4"/>
      <c r="L4"/>
      <c r="M4"/>
      <c r="N4"/>
    </row>
    <row r="5" spans="1:14" s="11" customFormat="1" ht="12.75">
      <c r="A5"/>
      <c r="B5" t="s">
        <v>654</v>
      </c>
      <c r="C5" s="317">
        <f>SUM(D5:E5)</f>
        <v>254</v>
      </c>
      <c r="D5" s="317">
        <v>200</v>
      </c>
      <c r="E5" s="317">
        <v>54</v>
      </c>
      <c r="F5"/>
      <c r="G5"/>
      <c r="H5"/>
      <c r="I5"/>
      <c r="J5"/>
      <c r="K5"/>
      <c r="L5"/>
      <c r="M5"/>
      <c r="N5"/>
    </row>
    <row r="6" spans="1:14" s="11" customFormat="1" ht="12.75">
      <c r="A6"/>
      <c r="B6" t="s">
        <v>655</v>
      </c>
      <c r="C6" s="317">
        <f>SUM(D6:E6)</f>
        <v>1041</v>
      </c>
      <c r="D6" s="317">
        <v>820</v>
      </c>
      <c r="E6" s="317">
        <v>221</v>
      </c>
      <c r="F6"/>
      <c r="G6"/>
      <c r="H6"/>
      <c r="I6"/>
      <c r="J6"/>
      <c r="K6"/>
      <c r="L6"/>
      <c r="M6"/>
      <c r="N6"/>
    </row>
    <row r="7" spans="1:14" s="11" customFormat="1" ht="12.75">
      <c r="A7"/>
      <c r="B7"/>
      <c r="C7" s="390">
        <f>SUM(C4:C6)</f>
        <v>3200</v>
      </c>
      <c r="D7" s="317">
        <f>SUM(D4:D6)</f>
        <v>2520</v>
      </c>
      <c r="E7" s="317">
        <f>SUM(E4:E6)</f>
        <v>680</v>
      </c>
      <c r="F7"/>
      <c r="G7"/>
      <c r="H7"/>
      <c r="I7"/>
      <c r="J7"/>
      <c r="K7"/>
      <c r="L7"/>
      <c r="M7"/>
      <c r="N7"/>
    </row>
    <row r="8" spans="1:14" s="11" customFormat="1" ht="12.75">
      <c r="A8"/>
      <c r="B8"/>
      <c r="C8" s="390"/>
      <c r="D8" s="390"/>
      <c r="E8" s="390"/>
      <c r="F8"/>
      <c r="G8"/>
      <c r="H8"/>
      <c r="I8"/>
      <c r="J8"/>
      <c r="K8"/>
      <c r="L8"/>
      <c r="M8"/>
      <c r="N8"/>
    </row>
    <row r="9" spans="1:14" s="11" customFormat="1" ht="12.75">
      <c r="A9"/>
      <c r="B9" t="s">
        <v>519</v>
      </c>
      <c r="C9" s="390">
        <f>SUM(D9:E9)</f>
        <v>4826</v>
      </c>
      <c r="D9" s="317">
        <f>3000+800</f>
        <v>3800</v>
      </c>
      <c r="E9" s="317">
        <f>810+216</f>
        <v>1026</v>
      </c>
      <c r="F9"/>
      <c r="G9"/>
      <c r="H9"/>
      <c r="I9"/>
      <c r="J9"/>
      <c r="K9"/>
      <c r="L9"/>
      <c r="M9"/>
      <c r="N9"/>
    </row>
    <row r="10" spans="1:14" s="11" customFormat="1" ht="12.75">
      <c r="A10"/>
      <c r="B10" t="s">
        <v>658</v>
      </c>
      <c r="C10" s="390">
        <f>SUM(D10:E10)</f>
        <v>2159</v>
      </c>
      <c r="D10" s="317">
        <v>1700</v>
      </c>
      <c r="E10" s="317">
        <v>459</v>
      </c>
      <c r="F10"/>
      <c r="G10"/>
      <c r="H10"/>
      <c r="I10"/>
      <c r="J10"/>
      <c r="K10"/>
      <c r="L10"/>
      <c r="M10"/>
      <c r="N10"/>
    </row>
    <row r="11" spans="1:14" s="11" customFormat="1" ht="12.75">
      <c r="A11"/>
      <c r="B11"/>
      <c r="C11" s="317"/>
      <c r="D11" s="317"/>
      <c r="E11" s="317"/>
      <c r="F11"/>
      <c r="G11"/>
      <c r="H11"/>
      <c r="I11"/>
      <c r="J11"/>
      <c r="K11"/>
      <c r="L11"/>
      <c r="M11"/>
      <c r="N11"/>
    </row>
    <row r="12" spans="2:15" ht="12.75">
      <c r="B12" t="s">
        <v>520</v>
      </c>
      <c r="C12" s="390">
        <f>SUM(D12:E12)</f>
        <v>2000</v>
      </c>
      <c r="D12" s="317">
        <v>1575</v>
      </c>
      <c r="E12" s="317">
        <v>425</v>
      </c>
      <c r="O12" s="11"/>
    </row>
    <row r="13" spans="3:15" ht="12.75">
      <c r="C13" s="317"/>
      <c r="D13" s="317"/>
      <c r="E13" s="317"/>
      <c r="O13" s="11"/>
    </row>
    <row r="14" spans="2:15" ht="12.75">
      <c r="B14" t="s">
        <v>521</v>
      </c>
      <c r="C14" s="317">
        <f>SUM(D14:E14)</f>
        <v>3200</v>
      </c>
      <c r="D14" s="317">
        <v>2520</v>
      </c>
      <c r="E14" s="317">
        <v>680</v>
      </c>
      <c r="O14" s="11"/>
    </row>
    <row r="15" spans="2:15" ht="12.75">
      <c r="B15" t="s">
        <v>522</v>
      </c>
      <c r="C15" s="317">
        <f>SUM(D15:E15)</f>
        <v>300</v>
      </c>
      <c r="D15" s="317">
        <v>236</v>
      </c>
      <c r="E15" s="317">
        <v>64</v>
      </c>
      <c r="O15" s="11"/>
    </row>
    <row r="16" spans="2:15" ht="12.75">
      <c r="B16" t="s">
        <v>523</v>
      </c>
      <c r="C16" s="317">
        <f>SUM(D16:E16)</f>
        <v>1800</v>
      </c>
      <c r="D16" s="317">
        <v>1417</v>
      </c>
      <c r="E16" s="317">
        <v>383</v>
      </c>
      <c r="O16" s="11"/>
    </row>
    <row r="17" spans="3:15" ht="12.75">
      <c r="C17" s="390">
        <f>SUM(C14:C16)</f>
        <v>5300</v>
      </c>
      <c r="D17" s="317">
        <f>SUM(D14:D16)</f>
        <v>4173</v>
      </c>
      <c r="E17" s="317">
        <f>SUM(E14:E16)</f>
        <v>1127</v>
      </c>
      <c r="F17" s="105"/>
      <c r="O17" s="11"/>
    </row>
    <row r="18" spans="3:15" ht="12.75">
      <c r="C18" s="317"/>
      <c r="D18" s="317"/>
      <c r="E18" s="317"/>
      <c r="O18" s="11"/>
    </row>
    <row r="19" spans="2:15" ht="12.75">
      <c r="B19" t="s">
        <v>528</v>
      </c>
      <c r="C19" s="390">
        <f>SUM(D19:E19)</f>
        <v>500</v>
      </c>
      <c r="D19" s="317">
        <v>393</v>
      </c>
      <c r="E19" s="317">
        <v>107</v>
      </c>
      <c r="O19" s="11"/>
    </row>
    <row r="20" spans="2:15" ht="12.75">
      <c r="B20" t="s">
        <v>545</v>
      </c>
      <c r="C20" s="390">
        <f>SUM(D20:E20)</f>
        <v>800.1</v>
      </c>
      <c r="D20" s="317">
        <v>630</v>
      </c>
      <c r="E20" s="317">
        <f>(D20*0.27)</f>
        <v>170.10000000000002</v>
      </c>
      <c r="O20" s="11"/>
    </row>
    <row r="21" spans="3:15" ht="12.75">
      <c r="C21" s="390"/>
      <c r="D21" s="317"/>
      <c r="E21" s="317"/>
      <c r="O21" s="11"/>
    </row>
    <row r="22" spans="2:15" ht="12.75">
      <c r="B22" t="s">
        <v>646</v>
      </c>
      <c r="C22" s="390">
        <f>SUM(D22:E22)</f>
        <v>3048</v>
      </c>
      <c r="D22" s="317">
        <v>2400</v>
      </c>
      <c r="E22" s="317">
        <v>648</v>
      </c>
      <c r="O22" s="11"/>
    </row>
    <row r="23" spans="3:15" ht="12.75">
      <c r="C23" s="390"/>
      <c r="D23" s="317"/>
      <c r="E23" s="317"/>
      <c r="O23" s="11"/>
    </row>
    <row r="24" spans="2:15" ht="25.5">
      <c r="B24" s="544" t="s">
        <v>647</v>
      </c>
      <c r="C24" s="390">
        <f>SUM(D24:E24)</f>
        <v>400</v>
      </c>
      <c r="D24" s="317">
        <v>400</v>
      </c>
      <c r="E24" s="317">
        <v>0</v>
      </c>
      <c r="O24" s="11"/>
    </row>
    <row r="25" spans="3:15" ht="12.75">
      <c r="C25" s="390"/>
      <c r="D25" s="317"/>
      <c r="E25" s="317"/>
      <c r="O25" s="11"/>
    </row>
    <row r="26" spans="2:15" ht="25.5">
      <c r="B26" s="544" t="s">
        <v>648</v>
      </c>
      <c r="C26" s="390">
        <f>SUM(D26:E26)</f>
        <v>635</v>
      </c>
      <c r="D26" s="317">
        <v>500</v>
      </c>
      <c r="E26" s="317">
        <v>135</v>
      </c>
      <c r="O26" s="11"/>
    </row>
    <row r="27" spans="3:15" ht="12.75">
      <c r="C27" s="390"/>
      <c r="D27" s="317"/>
      <c r="E27" s="317"/>
      <c r="O27" s="11"/>
    </row>
    <row r="28" spans="2:15" ht="12.75">
      <c r="B28" t="s">
        <v>649</v>
      </c>
      <c r="C28" s="390">
        <f>SUM(D28:E28)</f>
        <v>1207</v>
      </c>
      <c r="D28" s="317">
        <v>950</v>
      </c>
      <c r="E28" s="317">
        <v>257</v>
      </c>
      <c r="O28" s="11"/>
    </row>
    <row r="29" spans="4:15" ht="12.75">
      <c r="D29" s="11"/>
      <c r="O29" s="11"/>
    </row>
    <row r="30" spans="2:15" ht="12.75">
      <c r="B30" t="s">
        <v>650</v>
      </c>
      <c r="C30" s="390">
        <f>SUM(D30:E30)</f>
        <v>953</v>
      </c>
      <c r="D30" s="317">
        <v>750</v>
      </c>
      <c r="E30" s="317">
        <v>203</v>
      </c>
      <c r="O30" s="11"/>
    </row>
    <row r="31" spans="3:15" ht="12.75">
      <c r="C31" s="390"/>
      <c r="D31" s="317"/>
      <c r="E31" s="317"/>
      <c r="O31" s="11"/>
    </row>
    <row r="32" spans="2:15" ht="25.5">
      <c r="B32" s="544" t="s">
        <v>656</v>
      </c>
      <c r="C32" s="390">
        <f>SUM(D32:E32)</f>
        <v>762</v>
      </c>
      <c r="D32" s="317">
        <v>600</v>
      </c>
      <c r="E32" s="317">
        <v>162</v>
      </c>
      <c r="O32" s="11"/>
    </row>
    <row r="33" spans="2:15" ht="12.75">
      <c r="B33" s="544"/>
      <c r="C33" s="390"/>
      <c r="D33" s="317"/>
      <c r="E33" s="317"/>
      <c r="O33" s="11"/>
    </row>
    <row r="34" spans="2:15" ht="25.5">
      <c r="B34" s="544" t="s">
        <v>657</v>
      </c>
      <c r="C34" s="390">
        <f>SUM(D34:E34)</f>
        <v>508</v>
      </c>
      <c r="D34" s="317">
        <v>400</v>
      </c>
      <c r="E34" s="317">
        <v>108</v>
      </c>
      <c r="O34" s="11"/>
    </row>
    <row r="35" spans="2:15" ht="12.75">
      <c r="B35" s="544"/>
      <c r="C35" s="390"/>
      <c r="D35" s="317"/>
      <c r="E35" s="317"/>
      <c r="O35" s="11"/>
    </row>
    <row r="36" spans="1:15" ht="12.75">
      <c r="A36" t="s">
        <v>681</v>
      </c>
      <c r="B36" s="544" t="s">
        <v>682</v>
      </c>
      <c r="C36" s="390">
        <f>SUM(D36:E36)</f>
        <v>1232</v>
      </c>
      <c r="D36" s="317">
        <v>970</v>
      </c>
      <c r="E36" s="317">
        <v>262</v>
      </c>
      <c r="O36" s="11"/>
    </row>
    <row r="37" spans="2:15" ht="12.75">
      <c r="B37" s="544"/>
      <c r="C37" s="390"/>
      <c r="D37" s="317"/>
      <c r="E37" s="317"/>
      <c r="O37" s="11"/>
    </row>
    <row r="38" spans="2:15" ht="12.75">
      <c r="B38" s="544" t="s">
        <v>683</v>
      </c>
      <c r="C38" s="390">
        <f>SUM(D38:E38)</f>
        <v>508</v>
      </c>
      <c r="D38" s="317">
        <v>400</v>
      </c>
      <c r="E38" s="317">
        <v>108</v>
      </c>
      <c r="O38" s="11"/>
    </row>
    <row r="39" spans="2:15" ht="12.75">
      <c r="B39" s="544"/>
      <c r="C39" s="390"/>
      <c r="D39" s="317"/>
      <c r="E39" s="317"/>
      <c r="O39" s="11"/>
    </row>
    <row r="40" spans="2:15" ht="12.75">
      <c r="B40" s="544" t="s">
        <v>685</v>
      </c>
      <c r="C40" s="390">
        <f>SUM(D40:E40)</f>
        <v>381</v>
      </c>
      <c r="D40" s="317">
        <v>300</v>
      </c>
      <c r="E40" s="317">
        <v>81</v>
      </c>
      <c r="O40" s="11"/>
    </row>
    <row r="41" spans="2:15" ht="12.75">
      <c r="B41" s="544"/>
      <c r="C41" s="390"/>
      <c r="D41" s="317"/>
      <c r="E41" s="317"/>
      <c r="O41" s="11"/>
    </row>
    <row r="42" spans="2:15" ht="12.75">
      <c r="B42" s="544" t="s">
        <v>686</v>
      </c>
      <c r="C42" s="390">
        <f>SUM(D42:E42)</f>
        <v>1468</v>
      </c>
      <c r="D42" s="317">
        <v>1156</v>
      </c>
      <c r="E42" s="317">
        <v>312</v>
      </c>
      <c r="O42" s="11"/>
    </row>
    <row r="43" spans="2:15" ht="12.75">
      <c r="B43" s="544"/>
      <c r="C43" s="390"/>
      <c r="D43" s="317"/>
      <c r="E43" s="317"/>
      <c r="O43" s="1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4">
      <selection activeCell="H33" sqref="H33"/>
    </sheetView>
  </sheetViews>
  <sheetFormatPr defaultColWidth="9.00390625" defaultRowHeight="12.75"/>
  <cols>
    <col min="1" max="1" width="21.125" style="847" customWidth="1"/>
    <col min="2" max="2" width="10.25390625" style="847" customWidth="1"/>
    <col min="3" max="4" width="10.375" style="847" customWidth="1"/>
    <col min="5" max="5" width="9.75390625" style="847" customWidth="1"/>
    <col min="6" max="6" width="9.375" style="847" customWidth="1"/>
    <col min="7" max="7" width="9.875" style="847" customWidth="1"/>
    <col min="8" max="8" width="10.25390625" style="847" customWidth="1"/>
    <col min="9" max="9" width="9.75390625" style="847" customWidth="1"/>
    <col min="10" max="10" width="9.875" style="847" customWidth="1"/>
    <col min="11" max="11" width="10.375" style="847" customWidth="1"/>
    <col min="12" max="12" width="9.00390625" style="847" customWidth="1"/>
    <col min="13" max="13" width="9.875" style="847" customWidth="1"/>
    <col min="14" max="14" width="10.75390625" style="847" customWidth="1"/>
    <col min="15" max="15" width="9.75390625" style="847" customWidth="1"/>
    <col min="16" max="16" width="11.25390625" style="847" customWidth="1"/>
    <col min="17" max="16384" width="9.125" style="847" customWidth="1"/>
  </cols>
  <sheetData>
    <row r="1" spans="1:16" ht="15.75">
      <c r="A1" s="1143" t="s">
        <v>1126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</row>
    <row r="2" spans="1:16" ht="15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139" t="s">
        <v>1103</v>
      </c>
    </row>
    <row r="3" spans="1:16" ht="15" customHeight="1">
      <c r="A3" s="848" t="s">
        <v>1028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</row>
    <row r="4" ht="15">
      <c r="A4" s="848" t="s">
        <v>1029</v>
      </c>
    </row>
    <row r="5" ht="15">
      <c r="A5" s="848" t="s">
        <v>1030</v>
      </c>
    </row>
    <row r="6" ht="15">
      <c r="A6" s="848" t="s">
        <v>1031</v>
      </c>
    </row>
    <row r="7" ht="15.75" thickBot="1"/>
    <row r="8" spans="1:19" ht="15">
      <c r="A8" s="1144" t="s">
        <v>1032</v>
      </c>
      <c r="B8" s="1146" t="s">
        <v>1033</v>
      </c>
      <c r="C8" s="1147"/>
      <c r="D8" s="1148"/>
      <c r="E8" s="1146" t="s">
        <v>1034</v>
      </c>
      <c r="F8" s="1147"/>
      <c r="G8" s="1148"/>
      <c r="H8" s="1146" t="s">
        <v>1035</v>
      </c>
      <c r="I8" s="1147"/>
      <c r="J8" s="1148"/>
      <c r="K8" s="1146" t="s">
        <v>1036</v>
      </c>
      <c r="L8" s="1147"/>
      <c r="M8" s="1148"/>
      <c r="N8" s="1149" t="s">
        <v>56</v>
      </c>
      <c r="O8" s="1149"/>
      <c r="P8" s="1150"/>
      <c r="Q8" s="846"/>
      <c r="R8" s="846"/>
      <c r="S8" s="846"/>
    </row>
    <row r="9" spans="1:16" ht="15.75" thickBot="1">
      <c r="A9" s="1145"/>
      <c r="B9" s="850" t="s">
        <v>1037</v>
      </c>
      <c r="C9" s="850" t="s">
        <v>1038</v>
      </c>
      <c r="D9" s="850" t="s">
        <v>1039</v>
      </c>
      <c r="E9" s="850" t="s">
        <v>1037</v>
      </c>
      <c r="F9" s="850" t="s">
        <v>1038</v>
      </c>
      <c r="G9" s="850" t="s">
        <v>1039</v>
      </c>
      <c r="H9" s="850" t="s">
        <v>1037</v>
      </c>
      <c r="I9" s="850" t="s">
        <v>1038</v>
      </c>
      <c r="J9" s="850" t="s">
        <v>1039</v>
      </c>
      <c r="K9" s="850" t="s">
        <v>1037</v>
      </c>
      <c r="L9" s="850" t="s">
        <v>1038</v>
      </c>
      <c r="M9" s="850" t="s">
        <v>1039</v>
      </c>
      <c r="N9" s="850" t="s">
        <v>1037</v>
      </c>
      <c r="O9" s="850" t="s">
        <v>1038</v>
      </c>
      <c r="P9" s="851" t="s">
        <v>1039</v>
      </c>
    </row>
    <row r="10" spans="1:20" ht="15">
      <c r="A10" s="852" t="s">
        <v>1040</v>
      </c>
      <c r="B10" s="853">
        <v>3472866</v>
      </c>
      <c r="C10" s="853">
        <v>937674</v>
      </c>
      <c r="D10" s="853">
        <f>SUM(B10:C10)</f>
        <v>4410540</v>
      </c>
      <c r="E10" s="853">
        <v>7725555</v>
      </c>
      <c r="F10" s="853">
        <v>2085900</v>
      </c>
      <c r="G10" s="853">
        <f>SUM(E10:F10)</f>
        <v>9811455</v>
      </c>
      <c r="H10" s="853">
        <v>52964743</v>
      </c>
      <c r="I10" s="853">
        <v>14300481</v>
      </c>
      <c r="J10" s="853">
        <f>SUM(H10:I10)</f>
        <v>67265224</v>
      </c>
      <c r="K10" s="853">
        <v>32800000</v>
      </c>
      <c r="L10" s="853">
        <v>8856000</v>
      </c>
      <c r="M10" s="853">
        <f>SUM(K10:L10)</f>
        <v>41656000</v>
      </c>
      <c r="N10" s="853">
        <f>SUM(K10+H10+E10+B10)</f>
        <v>96963164</v>
      </c>
      <c r="O10" s="853">
        <f>SUM(L10+I10+F10+C10)</f>
        <v>26180055</v>
      </c>
      <c r="P10" s="853">
        <f>SUM(M10+J10+G10+D10)</f>
        <v>123143219</v>
      </c>
      <c r="Q10" s="854"/>
      <c r="R10" s="854"/>
      <c r="S10" s="854"/>
      <c r="T10" s="854"/>
    </row>
    <row r="11" spans="1:20" ht="15">
      <c r="A11" s="852" t="s">
        <v>1040</v>
      </c>
      <c r="B11" s="855">
        <v>430635392</v>
      </c>
      <c r="C11" s="855">
        <v>116271555</v>
      </c>
      <c r="D11" s="855">
        <f aca="true" t="shared" si="0" ref="D11:D25">SUM(B11:C11)</f>
        <v>546906947</v>
      </c>
      <c r="E11" s="855">
        <v>3282500</v>
      </c>
      <c r="F11" s="855">
        <v>886275</v>
      </c>
      <c r="G11" s="855">
        <f aca="true" t="shared" si="1" ref="G11:G25">SUM(E11:F11)</f>
        <v>4168775</v>
      </c>
      <c r="H11" s="855">
        <v>11795100</v>
      </c>
      <c r="I11" s="855">
        <v>3184676</v>
      </c>
      <c r="J11" s="855">
        <f aca="true" t="shared" si="2" ref="J11:J25">SUM(H11:I11)</f>
        <v>14979776</v>
      </c>
      <c r="K11" s="855">
        <v>45872441</v>
      </c>
      <c r="L11" s="855">
        <v>12385559</v>
      </c>
      <c r="M11" s="855">
        <f aca="true" t="shared" si="3" ref="M11:M25">SUM(K11:L11)</f>
        <v>58258000</v>
      </c>
      <c r="N11" s="855">
        <f aca="true" t="shared" si="4" ref="N11:N25">SUM(K11+H11+E11+B11)</f>
        <v>491585433</v>
      </c>
      <c r="O11" s="855">
        <f aca="true" t="shared" si="5" ref="O11:O25">SUM(L11+I11+F11+C11)</f>
        <v>132728065</v>
      </c>
      <c r="P11" s="855">
        <f aca="true" t="shared" si="6" ref="P11:P25">SUM(M11+J11+G11+D11)</f>
        <v>624313498</v>
      </c>
      <c r="Q11" s="854"/>
      <c r="R11" s="854"/>
      <c r="S11" s="854"/>
      <c r="T11" s="854"/>
    </row>
    <row r="12" spans="1:20" ht="15">
      <c r="A12" s="852" t="s">
        <v>1040</v>
      </c>
      <c r="B12" s="855">
        <v>13891465</v>
      </c>
      <c r="C12" s="855">
        <v>3750695</v>
      </c>
      <c r="D12" s="855">
        <f t="shared" si="0"/>
        <v>17642160</v>
      </c>
      <c r="E12" s="855">
        <v>56551000</v>
      </c>
      <c r="F12" s="855">
        <v>15268770</v>
      </c>
      <c r="G12" s="855">
        <f t="shared" si="1"/>
        <v>71819770</v>
      </c>
      <c r="H12" s="855">
        <v>9500000</v>
      </c>
      <c r="I12" s="855">
        <v>2565000</v>
      </c>
      <c r="J12" s="855">
        <f t="shared" si="2"/>
        <v>12065000</v>
      </c>
      <c r="K12" s="855">
        <v>48540158</v>
      </c>
      <c r="L12" s="855">
        <v>13105842</v>
      </c>
      <c r="M12" s="855">
        <f t="shared" si="3"/>
        <v>61646000</v>
      </c>
      <c r="N12" s="855">
        <f t="shared" si="4"/>
        <v>128482623</v>
      </c>
      <c r="O12" s="855">
        <f t="shared" si="5"/>
        <v>34690307</v>
      </c>
      <c r="P12" s="855">
        <f t="shared" si="6"/>
        <v>163172930</v>
      </c>
      <c r="Q12" s="854"/>
      <c r="R12" s="854"/>
      <c r="S12" s="854"/>
      <c r="T12" s="854"/>
    </row>
    <row r="13" spans="1:20" ht="15">
      <c r="A13" s="852" t="s">
        <v>1040</v>
      </c>
      <c r="B13" s="855">
        <v>23181381</v>
      </c>
      <c r="C13" s="855">
        <v>6258972</v>
      </c>
      <c r="D13" s="855">
        <f t="shared" si="0"/>
        <v>29440353</v>
      </c>
      <c r="E13" s="855">
        <v>0</v>
      </c>
      <c r="F13" s="855">
        <v>0</v>
      </c>
      <c r="G13" s="855">
        <f t="shared" si="1"/>
        <v>0</v>
      </c>
      <c r="H13" s="855">
        <v>22000000</v>
      </c>
      <c r="I13" s="855">
        <v>5940000</v>
      </c>
      <c r="J13" s="855">
        <f t="shared" si="2"/>
        <v>27940000</v>
      </c>
      <c r="K13" s="855">
        <v>8500000</v>
      </c>
      <c r="L13" s="855">
        <v>2295000</v>
      </c>
      <c r="M13" s="855">
        <f t="shared" si="3"/>
        <v>10795000</v>
      </c>
      <c r="N13" s="855">
        <f t="shared" si="4"/>
        <v>53681381</v>
      </c>
      <c r="O13" s="855">
        <f t="shared" si="5"/>
        <v>14493972</v>
      </c>
      <c r="P13" s="855">
        <f t="shared" si="6"/>
        <v>68175353</v>
      </c>
      <c r="Q13" s="854"/>
      <c r="R13" s="854"/>
      <c r="S13" s="854"/>
      <c r="T13" s="854"/>
    </row>
    <row r="14" spans="1:20" ht="15">
      <c r="A14" s="856" t="s">
        <v>1040</v>
      </c>
      <c r="B14" s="857">
        <v>0</v>
      </c>
      <c r="C14" s="857">
        <v>0</v>
      </c>
      <c r="D14" s="857">
        <f t="shared" si="0"/>
        <v>0</v>
      </c>
      <c r="E14" s="857">
        <v>0</v>
      </c>
      <c r="F14" s="857">
        <v>0</v>
      </c>
      <c r="G14" s="857">
        <f t="shared" si="1"/>
        <v>0</v>
      </c>
      <c r="H14" s="857">
        <v>0</v>
      </c>
      <c r="I14" s="857">
        <v>0</v>
      </c>
      <c r="J14" s="857">
        <f t="shared" si="2"/>
        <v>0</v>
      </c>
      <c r="K14" s="857">
        <v>31842520</v>
      </c>
      <c r="L14" s="857">
        <v>8597480</v>
      </c>
      <c r="M14" s="858">
        <f t="shared" si="3"/>
        <v>40440000</v>
      </c>
      <c r="N14" s="858">
        <f t="shared" si="4"/>
        <v>31842520</v>
      </c>
      <c r="O14" s="858">
        <f t="shared" si="5"/>
        <v>8597480</v>
      </c>
      <c r="P14" s="858">
        <f t="shared" si="6"/>
        <v>40440000</v>
      </c>
      <c r="Q14" s="854"/>
      <c r="R14" s="854"/>
      <c r="S14" s="854"/>
      <c r="T14" s="854"/>
    </row>
    <row r="15" spans="1:20" ht="15">
      <c r="A15" s="859" t="s">
        <v>1041</v>
      </c>
      <c r="B15" s="860">
        <f>SUM(B10:B14)</f>
        <v>471181104</v>
      </c>
      <c r="C15" s="860">
        <f>SUM(C10:C14)</f>
        <v>127218896</v>
      </c>
      <c r="D15" s="860">
        <f>SUM(D10:D14)</f>
        <v>598400000</v>
      </c>
      <c r="E15" s="860">
        <f aca="true" t="shared" si="7" ref="E15:P15">SUM(E10:E14)</f>
        <v>67559055</v>
      </c>
      <c r="F15" s="860">
        <f t="shared" si="7"/>
        <v>18240945</v>
      </c>
      <c r="G15" s="860">
        <f t="shared" si="7"/>
        <v>85800000</v>
      </c>
      <c r="H15" s="860">
        <f t="shared" si="7"/>
        <v>96259843</v>
      </c>
      <c r="I15" s="860">
        <f t="shared" si="7"/>
        <v>25990157</v>
      </c>
      <c r="J15" s="860">
        <f t="shared" si="7"/>
        <v>122250000</v>
      </c>
      <c r="K15" s="860">
        <f t="shared" si="7"/>
        <v>167555119</v>
      </c>
      <c r="L15" s="860">
        <f t="shared" si="7"/>
        <v>45239881</v>
      </c>
      <c r="M15" s="860">
        <f t="shared" si="7"/>
        <v>212795000</v>
      </c>
      <c r="N15" s="860">
        <f t="shared" si="7"/>
        <v>802555121</v>
      </c>
      <c r="O15" s="860">
        <f t="shared" si="7"/>
        <v>216689879</v>
      </c>
      <c r="P15" s="860">
        <f t="shared" si="7"/>
        <v>1019245000</v>
      </c>
      <c r="Q15" s="854"/>
      <c r="R15" s="854"/>
      <c r="S15" s="854"/>
      <c r="T15" s="854"/>
    </row>
    <row r="16" spans="1:20" ht="15">
      <c r="A16" s="861" t="s">
        <v>1042</v>
      </c>
      <c r="B16" s="862">
        <v>0</v>
      </c>
      <c r="C16" s="862">
        <v>0</v>
      </c>
      <c r="D16" s="862">
        <f t="shared" si="0"/>
        <v>0</v>
      </c>
      <c r="E16" s="862">
        <v>9448819</v>
      </c>
      <c r="F16" s="862">
        <v>2551181</v>
      </c>
      <c r="G16" s="862">
        <f t="shared" si="1"/>
        <v>12000000</v>
      </c>
      <c r="H16" s="862">
        <v>0</v>
      </c>
      <c r="I16" s="862">
        <v>0</v>
      </c>
      <c r="J16" s="862">
        <f t="shared" si="2"/>
        <v>0</v>
      </c>
      <c r="K16" s="862">
        <v>0</v>
      </c>
      <c r="L16" s="862">
        <v>0</v>
      </c>
      <c r="M16" s="862">
        <f t="shared" si="3"/>
        <v>0</v>
      </c>
      <c r="N16" s="855">
        <f t="shared" si="4"/>
        <v>9448819</v>
      </c>
      <c r="O16" s="855">
        <f t="shared" si="5"/>
        <v>2551181</v>
      </c>
      <c r="P16" s="855">
        <f t="shared" si="6"/>
        <v>12000000</v>
      </c>
      <c r="Q16" s="854"/>
      <c r="R16" s="854"/>
      <c r="S16" s="854"/>
      <c r="T16" s="854"/>
    </row>
    <row r="17" spans="1:20" ht="15">
      <c r="A17" s="863" t="s">
        <v>1043</v>
      </c>
      <c r="B17" s="1139">
        <f>6521654-2100000</f>
        <v>4421654</v>
      </c>
      <c r="C17" s="1139">
        <f>7228346-5467500-567000</f>
        <v>1193846</v>
      </c>
      <c r="D17" s="864">
        <f t="shared" si="0"/>
        <v>5615500</v>
      </c>
      <c r="E17" s="1139">
        <v>779528</v>
      </c>
      <c r="F17" s="1139">
        <v>210472</v>
      </c>
      <c r="G17" s="864">
        <f t="shared" si="1"/>
        <v>990000</v>
      </c>
      <c r="H17" s="1139">
        <f>4724410-3550000</f>
        <v>1174410</v>
      </c>
      <c r="I17" s="1139">
        <f>1275590-958500</f>
        <v>317090</v>
      </c>
      <c r="J17" s="864">
        <f t="shared" si="2"/>
        <v>1491500</v>
      </c>
      <c r="K17" s="1139">
        <v>8661417</v>
      </c>
      <c r="L17" s="1139">
        <v>2338583</v>
      </c>
      <c r="M17" s="864">
        <f t="shared" si="3"/>
        <v>11000000</v>
      </c>
      <c r="N17" s="853">
        <f t="shared" si="4"/>
        <v>15037009</v>
      </c>
      <c r="O17" s="853">
        <f t="shared" si="5"/>
        <v>4059991</v>
      </c>
      <c r="P17" s="853">
        <f t="shared" si="6"/>
        <v>19097000</v>
      </c>
      <c r="Q17" s="854"/>
      <c r="R17" s="854"/>
      <c r="S17" s="854"/>
      <c r="T17" s="854"/>
    </row>
    <row r="18" spans="1:20" ht="15">
      <c r="A18" s="865" t="s">
        <v>1044</v>
      </c>
      <c r="B18" s="1140"/>
      <c r="C18" s="1140"/>
      <c r="D18" s="866">
        <f t="shared" si="0"/>
        <v>0</v>
      </c>
      <c r="E18" s="1140"/>
      <c r="F18" s="1140"/>
      <c r="G18" s="866">
        <f t="shared" si="1"/>
        <v>0</v>
      </c>
      <c r="H18" s="1140"/>
      <c r="I18" s="1140"/>
      <c r="J18" s="866">
        <f t="shared" si="2"/>
        <v>0</v>
      </c>
      <c r="K18" s="1140"/>
      <c r="L18" s="1140"/>
      <c r="M18" s="866">
        <f t="shared" si="3"/>
        <v>0</v>
      </c>
      <c r="N18" s="855">
        <f t="shared" si="4"/>
        <v>0</v>
      </c>
      <c r="O18" s="855">
        <f t="shared" si="5"/>
        <v>0</v>
      </c>
      <c r="P18" s="855">
        <f t="shared" si="6"/>
        <v>0</v>
      </c>
      <c r="Q18" s="867"/>
      <c r="R18" s="867"/>
      <c r="S18" s="867"/>
      <c r="T18" s="867"/>
    </row>
    <row r="19" spans="1:20" ht="15">
      <c r="A19" s="865" t="s">
        <v>1045</v>
      </c>
      <c r="B19" s="866">
        <v>20250000</v>
      </c>
      <c r="C19" s="866">
        <v>5467500</v>
      </c>
      <c r="D19" s="866">
        <f t="shared" si="0"/>
        <v>25717500</v>
      </c>
      <c r="E19" s="866">
        <v>3000000</v>
      </c>
      <c r="F19" s="866">
        <v>810000</v>
      </c>
      <c r="G19" s="866">
        <f t="shared" si="1"/>
        <v>3810000</v>
      </c>
      <c r="H19" s="866">
        <v>3550000</v>
      </c>
      <c r="I19" s="866">
        <v>958500</v>
      </c>
      <c r="J19" s="866">
        <f t="shared" si="2"/>
        <v>4508500</v>
      </c>
      <c r="K19" s="1140"/>
      <c r="L19" s="1140"/>
      <c r="M19" s="866">
        <f t="shared" si="3"/>
        <v>0</v>
      </c>
      <c r="N19" s="855">
        <f t="shared" si="4"/>
        <v>26800000</v>
      </c>
      <c r="O19" s="855">
        <f t="shared" si="5"/>
        <v>7236000</v>
      </c>
      <c r="P19" s="855">
        <f t="shared" si="6"/>
        <v>34036000</v>
      </c>
      <c r="Q19" s="867"/>
      <c r="R19" s="867"/>
      <c r="S19" s="867"/>
      <c r="T19" s="867"/>
    </row>
    <row r="20" spans="1:20" ht="15">
      <c r="A20" s="865" t="s">
        <v>1046</v>
      </c>
      <c r="B20" s="866">
        <v>5354331</v>
      </c>
      <c r="C20" s="866">
        <v>1445669</v>
      </c>
      <c r="D20" s="866">
        <f t="shared" si="0"/>
        <v>6800000</v>
      </c>
      <c r="E20" s="866">
        <v>944882</v>
      </c>
      <c r="F20" s="866">
        <v>255118</v>
      </c>
      <c r="G20" s="866">
        <f t="shared" si="1"/>
        <v>1200000</v>
      </c>
      <c r="H20" s="866">
        <v>1181102</v>
      </c>
      <c r="I20" s="866">
        <v>318898</v>
      </c>
      <c r="J20" s="866">
        <f t="shared" si="2"/>
        <v>1500000</v>
      </c>
      <c r="K20" s="866">
        <v>1732283</v>
      </c>
      <c r="L20" s="866">
        <v>467716</v>
      </c>
      <c r="M20" s="866">
        <f t="shared" si="3"/>
        <v>2199999</v>
      </c>
      <c r="N20" s="855">
        <f t="shared" si="4"/>
        <v>9212598</v>
      </c>
      <c r="O20" s="855">
        <f t="shared" si="5"/>
        <v>2487401</v>
      </c>
      <c r="P20" s="855">
        <f t="shared" si="6"/>
        <v>11699999</v>
      </c>
      <c r="Q20" s="867"/>
      <c r="R20" s="867"/>
      <c r="S20" s="867"/>
      <c r="T20" s="867"/>
    </row>
    <row r="21" spans="1:20" ht="15">
      <c r="A21" s="865" t="s">
        <v>1047</v>
      </c>
      <c r="B21" s="866">
        <v>5354331</v>
      </c>
      <c r="C21" s="866">
        <v>1445669</v>
      </c>
      <c r="D21" s="866">
        <f t="shared" si="0"/>
        <v>6800000</v>
      </c>
      <c r="E21" s="866">
        <v>944882</v>
      </c>
      <c r="F21" s="866">
        <f>(E21*0.27)</f>
        <v>255118.14</v>
      </c>
      <c r="G21" s="866">
        <f>SUM(E21:F21)</f>
        <v>1200000.1400000001</v>
      </c>
      <c r="H21" s="866">
        <v>1200000</v>
      </c>
      <c r="I21" s="866">
        <v>300000</v>
      </c>
      <c r="J21" s="866">
        <f t="shared" si="2"/>
        <v>1500000</v>
      </c>
      <c r="K21" s="866">
        <v>1732283</v>
      </c>
      <c r="L21" s="866">
        <v>467716</v>
      </c>
      <c r="M21" s="866">
        <f t="shared" si="3"/>
        <v>2199999</v>
      </c>
      <c r="N21" s="855">
        <f t="shared" si="4"/>
        <v>9231496</v>
      </c>
      <c r="O21" s="855">
        <f t="shared" si="5"/>
        <v>2468503.14</v>
      </c>
      <c r="P21" s="855">
        <f t="shared" si="6"/>
        <v>11699999.14</v>
      </c>
      <c r="Q21" s="867"/>
      <c r="R21" s="867"/>
      <c r="S21" s="867"/>
      <c r="T21" s="867"/>
    </row>
    <row r="22" spans="1:20" ht="15">
      <c r="A22" s="865" t="s">
        <v>1048</v>
      </c>
      <c r="B22" s="866">
        <v>2677165</v>
      </c>
      <c r="C22" s="866">
        <v>722835</v>
      </c>
      <c r="D22" s="866">
        <f t="shared" si="0"/>
        <v>3400000</v>
      </c>
      <c r="E22" s="866">
        <v>472441</v>
      </c>
      <c r="F22" s="866">
        <f>(E22*0.27)</f>
        <v>127559.07</v>
      </c>
      <c r="G22" s="866">
        <f>SUM(E22:F22)</f>
        <v>600000.0700000001</v>
      </c>
      <c r="H22" s="866">
        <v>590551</v>
      </c>
      <c r="I22" s="866">
        <f>(H22*0.27)</f>
        <v>159448.77000000002</v>
      </c>
      <c r="J22" s="866">
        <f t="shared" si="2"/>
        <v>749999.77</v>
      </c>
      <c r="K22" s="866">
        <v>130000</v>
      </c>
      <c r="L22" s="866">
        <v>35100</v>
      </c>
      <c r="M22" s="866">
        <f t="shared" si="3"/>
        <v>165100</v>
      </c>
      <c r="N22" s="855">
        <f t="shared" si="4"/>
        <v>3870157</v>
      </c>
      <c r="O22" s="855">
        <f t="shared" si="5"/>
        <v>1044942.8400000001</v>
      </c>
      <c r="P22" s="855">
        <f t="shared" si="6"/>
        <v>4915099.84</v>
      </c>
      <c r="Q22" s="867"/>
      <c r="R22" s="867"/>
      <c r="S22" s="867"/>
      <c r="T22" s="867"/>
    </row>
    <row r="23" spans="1:20" ht="15">
      <c r="A23" s="868" t="s">
        <v>1049</v>
      </c>
      <c r="B23" s="866">
        <v>2100000</v>
      </c>
      <c r="C23" s="866">
        <v>567000</v>
      </c>
      <c r="D23" s="866">
        <f t="shared" si="0"/>
        <v>2667000</v>
      </c>
      <c r="E23" s="866">
        <v>0</v>
      </c>
      <c r="F23" s="866">
        <v>0</v>
      </c>
      <c r="G23" s="866">
        <f t="shared" si="1"/>
        <v>0</v>
      </c>
      <c r="H23" s="866">
        <v>0</v>
      </c>
      <c r="I23" s="866">
        <v>0</v>
      </c>
      <c r="J23" s="866">
        <f t="shared" si="2"/>
        <v>0</v>
      </c>
      <c r="K23" s="866">
        <v>0</v>
      </c>
      <c r="L23" s="866">
        <v>0</v>
      </c>
      <c r="M23" s="866">
        <f t="shared" si="3"/>
        <v>0</v>
      </c>
      <c r="N23" s="855">
        <f t="shared" si="4"/>
        <v>2100000</v>
      </c>
      <c r="O23" s="855">
        <f t="shared" si="5"/>
        <v>567000</v>
      </c>
      <c r="P23" s="855">
        <f t="shared" si="6"/>
        <v>2667000</v>
      </c>
      <c r="Q23" s="854"/>
      <c r="R23" s="854"/>
      <c r="S23" s="854"/>
      <c r="T23" s="854"/>
    </row>
    <row r="24" spans="1:20" ht="15">
      <c r="A24" s="869" t="s">
        <v>1050</v>
      </c>
      <c r="B24" s="866">
        <v>0</v>
      </c>
      <c r="C24" s="866">
        <v>0</v>
      </c>
      <c r="D24" s="866">
        <f t="shared" si="0"/>
        <v>0</v>
      </c>
      <c r="E24" s="866">
        <v>472441</v>
      </c>
      <c r="F24" s="866">
        <v>127559</v>
      </c>
      <c r="G24" s="866">
        <f t="shared" si="1"/>
        <v>600000</v>
      </c>
      <c r="H24" s="866">
        <v>590551</v>
      </c>
      <c r="I24" s="866">
        <v>159449</v>
      </c>
      <c r="J24" s="866">
        <f t="shared" si="2"/>
        <v>750000</v>
      </c>
      <c r="K24" s="866">
        <v>0</v>
      </c>
      <c r="L24" s="866">
        <v>0</v>
      </c>
      <c r="M24" s="866">
        <f t="shared" si="3"/>
        <v>0</v>
      </c>
      <c r="N24" s="855">
        <f t="shared" si="4"/>
        <v>1062992</v>
      </c>
      <c r="O24" s="855">
        <f t="shared" si="5"/>
        <v>287008</v>
      </c>
      <c r="P24" s="855">
        <f t="shared" si="6"/>
        <v>1350000</v>
      </c>
      <c r="Q24" s="854"/>
      <c r="R24" s="854"/>
      <c r="S24" s="854"/>
      <c r="T24" s="854"/>
    </row>
    <row r="25" spans="1:20" ht="24.75">
      <c r="A25" s="869" t="s">
        <v>1051</v>
      </c>
      <c r="B25" s="866">
        <v>0</v>
      </c>
      <c r="C25" s="866">
        <v>0</v>
      </c>
      <c r="D25" s="866">
        <f t="shared" si="0"/>
        <v>0</v>
      </c>
      <c r="E25" s="866">
        <v>0</v>
      </c>
      <c r="F25" s="866">
        <v>0</v>
      </c>
      <c r="G25" s="866">
        <f t="shared" si="1"/>
        <v>0</v>
      </c>
      <c r="H25" s="866">
        <v>0</v>
      </c>
      <c r="I25" s="866">
        <v>0</v>
      </c>
      <c r="J25" s="866">
        <f t="shared" si="2"/>
        <v>0</v>
      </c>
      <c r="K25" s="866">
        <v>100000</v>
      </c>
      <c r="L25" s="866">
        <v>27000</v>
      </c>
      <c r="M25" s="866">
        <f t="shared" si="3"/>
        <v>127000</v>
      </c>
      <c r="N25" s="855">
        <f t="shared" si="4"/>
        <v>100000</v>
      </c>
      <c r="O25" s="855">
        <f t="shared" si="5"/>
        <v>27000</v>
      </c>
      <c r="P25" s="855">
        <f t="shared" si="6"/>
        <v>127000</v>
      </c>
      <c r="Q25" s="867"/>
      <c r="R25" s="867"/>
      <c r="S25" s="867"/>
      <c r="T25" s="867"/>
    </row>
    <row r="26" spans="1:20" ht="24">
      <c r="A26" s="870" t="s">
        <v>1052</v>
      </c>
      <c r="B26" s="866">
        <v>10708662</v>
      </c>
      <c r="C26" s="866">
        <v>2891338</v>
      </c>
      <c r="D26" s="866">
        <f>SUM(B26:C26)</f>
        <v>13600000</v>
      </c>
      <c r="E26" s="866">
        <v>7559055</v>
      </c>
      <c r="F26" s="866">
        <f>(E26*0.27)</f>
        <v>2040944.85</v>
      </c>
      <c r="G26" s="866">
        <f>SUM(E26:F26)</f>
        <v>9599999.85</v>
      </c>
      <c r="H26" s="866">
        <v>9448819</v>
      </c>
      <c r="I26" s="866">
        <f>(H26*0.27)</f>
        <v>2551181.1300000004</v>
      </c>
      <c r="J26" s="866">
        <f>SUM(H26:I26)</f>
        <v>12000000.13</v>
      </c>
      <c r="K26" s="866">
        <v>636142</v>
      </c>
      <c r="L26" s="866">
        <v>171758</v>
      </c>
      <c r="M26" s="866">
        <f>SUM(K26:L26)</f>
        <v>807900</v>
      </c>
      <c r="N26" s="855">
        <f>SUM(K26+H26+E26+B26)</f>
        <v>28352678</v>
      </c>
      <c r="O26" s="855">
        <f>SUM(L26+I26+F26+C26)</f>
        <v>7655221.98</v>
      </c>
      <c r="P26" s="855">
        <f>SUM(M26+J26+G26+D26)</f>
        <v>36007899.980000004</v>
      </c>
      <c r="Q26" s="867"/>
      <c r="R26" s="867"/>
      <c r="S26" s="867"/>
      <c r="T26" s="867"/>
    </row>
    <row r="27" spans="1:20" ht="15">
      <c r="A27" s="871" t="s">
        <v>33</v>
      </c>
      <c r="B27" s="872">
        <f>SUM(B17:B26)</f>
        <v>50866143</v>
      </c>
      <c r="C27" s="872">
        <f>SUM(C17:C26)</f>
        <v>13733857</v>
      </c>
      <c r="D27" s="872">
        <f aca="true" t="shared" si="8" ref="D27:P27">SUM(D17:D26)</f>
        <v>64600000</v>
      </c>
      <c r="E27" s="872">
        <f t="shared" si="8"/>
        <v>14173229</v>
      </c>
      <c r="F27" s="872">
        <f t="shared" si="8"/>
        <v>3826771.0600000005</v>
      </c>
      <c r="G27" s="872">
        <f t="shared" si="8"/>
        <v>18000000.060000002</v>
      </c>
      <c r="H27" s="872">
        <f t="shared" si="8"/>
        <v>17735433</v>
      </c>
      <c r="I27" s="872">
        <f t="shared" si="8"/>
        <v>4764566.9</v>
      </c>
      <c r="J27" s="872">
        <f t="shared" si="8"/>
        <v>22499999.9</v>
      </c>
      <c r="K27" s="872">
        <f t="shared" si="8"/>
        <v>12992125</v>
      </c>
      <c r="L27" s="872">
        <f t="shared" si="8"/>
        <v>3507873</v>
      </c>
      <c r="M27" s="872">
        <f t="shared" si="8"/>
        <v>16499998</v>
      </c>
      <c r="N27" s="872">
        <f t="shared" si="8"/>
        <v>95766930</v>
      </c>
      <c r="O27" s="872">
        <f t="shared" si="8"/>
        <v>25833067.96</v>
      </c>
      <c r="P27" s="872">
        <f t="shared" si="8"/>
        <v>121599997.96000001</v>
      </c>
      <c r="Q27" s="867"/>
      <c r="R27" s="867"/>
      <c r="S27" s="867"/>
      <c r="T27" s="867"/>
    </row>
    <row r="28" spans="1:20" ht="27.75" customHeight="1" thickBot="1">
      <c r="A28" s="873" t="s">
        <v>1053</v>
      </c>
      <c r="B28" s="874">
        <v>1639344</v>
      </c>
      <c r="C28" s="874">
        <v>360656</v>
      </c>
      <c r="D28" s="874">
        <f>SUM(B28:C28)</f>
        <v>2000000</v>
      </c>
      <c r="E28" s="874"/>
      <c r="F28" s="874"/>
      <c r="G28" s="874"/>
      <c r="H28" s="874"/>
      <c r="I28" s="874"/>
      <c r="J28" s="874"/>
      <c r="K28" s="874"/>
      <c r="L28" s="874"/>
      <c r="M28" s="874"/>
      <c r="N28" s="875">
        <f>SUM(K28+H28+E28+B28)</f>
        <v>1639344</v>
      </c>
      <c r="O28" s="875">
        <f>SUM(L28+I28+F28+C28)</f>
        <v>360656</v>
      </c>
      <c r="P28" s="875">
        <f>SUM(M28+J28+G28+D28)</f>
        <v>2000000</v>
      </c>
      <c r="Q28" s="867"/>
      <c r="R28" s="867"/>
      <c r="S28" s="867"/>
      <c r="T28" s="867"/>
    </row>
    <row r="29" spans="1:20" ht="15.75" thickBot="1">
      <c r="A29" s="876" t="s">
        <v>622</v>
      </c>
      <c r="B29" s="877">
        <f>SUM(B15+B16+B27+B28)</f>
        <v>523686591</v>
      </c>
      <c r="C29" s="877">
        <f aca="true" t="shared" si="9" ref="C29:P29">SUM(C15+C16+C27+C28)</f>
        <v>141313409</v>
      </c>
      <c r="D29" s="877">
        <f t="shared" si="9"/>
        <v>665000000</v>
      </c>
      <c r="E29" s="877">
        <f t="shared" si="9"/>
        <v>91181103</v>
      </c>
      <c r="F29" s="877">
        <f t="shared" si="9"/>
        <v>24618897.060000002</v>
      </c>
      <c r="G29" s="877">
        <f t="shared" si="9"/>
        <v>115800000.06</v>
      </c>
      <c r="H29" s="877">
        <f t="shared" si="9"/>
        <v>113995276</v>
      </c>
      <c r="I29" s="877">
        <f t="shared" si="9"/>
        <v>30754723.9</v>
      </c>
      <c r="J29" s="877">
        <f t="shared" si="9"/>
        <v>144749999.9</v>
      </c>
      <c r="K29" s="877">
        <f t="shared" si="9"/>
        <v>180547244</v>
      </c>
      <c r="L29" s="877">
        <f t="shared" si="9"/>
        <v>48747754</v>
      </c>
      <c r="M29" s="877">
        <f t="shared" si="9"/>
        <v>229294998</v>
      </c>
      <c r="N29" s="877">
        <f t="shared" si="9"/>
        <v>909410214</v>
      </c>
      <c r="O29" s="877">
        <f t="shared" si="9"/>
        <v>245434783.96</v>
      </c>
      <c r="P29" s="878">
        <f t="shared" si="9"/>
        <v>1154844997.96</v>
      </c>
      <c r="Q29" s="854"/>
      <c r="R29" s="854"/>
      <c r="S29" s="879"/>
      <c r="T29" s="879"/>
    </row>
    <row r="30" spans="1:20" ht="24.75">
      <c r="A30" s="880" t="s">
        <v>1054</v>
      </c>
      <c r="B30" s="881"/>
      <c r="C30" s="882"/>
      <c r="D30" s="883">
        <f>SUM(B29:C29)</f>
        <v>665000000</v>
      </c>
      <c r="E30" s="883"/>
      <c r="F30" s="884"/>
      <c r="G30" s="885">
        <f>SUM(E29+F29)</f>
        <v>115800000.06</v>
      </c>
      <c r="H30" s="883"/>
      <c r="I30" s="884"/>
      <c r="J30" s="885">
        <f>SUM(H29+I29)</f>
        <v>144749999.9</v>
      </c>
      <c r="K30" s="883"/>
      <c r="L30" s="884"/>
      <c r="M30" s="885">
        <f>SUM(K29+L29)</f>
        <v>229294998</v>
      </c>
      <c r="N30" s="1141"/>
      <c r="O30" s="1142"/>
      <c r="P30" s="885">
        <f>SUM(N29+O29)</f>
        <v>1154844997.96</v>
      </c>
      <c r="Q30" s="854"/>
      <c r="R30" s="854"/>
      <c r="S30" s="879"/>
      <c r="T30" s="879"/>
    </row>
    <row r="31" spans="1:18" ht="15">
      <c r="A31" s="886" t="s">
        <v>1055</v>
      </c>
      <c r="B31" s="887"/>
      <c r="C31" s="888"/>
      <c r="D31" s="889">
        <v>633766800</v>
      </c>
      <c r="E31" s="890"/>
      <c r="F31" s="891"/>
      <c r="G31" s="889">
        <v>104400000</v>
      </c>
      <c r="H31" s="890"/>
      <c r="I31" s="891"/>
      <c r="J31" s="889">
        <v>130500000</v>
      </c>
      <c r="K31" s="890"/>
      <c r="L31" s="891"/>
      <c r="M31" s="889">
        <v>226929899</v>
      </c>
      <c r="N31" s="889"/>
      <c r="O31" s="889"/>
      <c r="P31" s="889">
        <f>SUM(D31+G31+J31+M31)</f>
        <v>1095596699</v>
      </c>
      <c r="Q31" s="892"/>
      <c r="R31" s="892"/>
    </row>
    <row r="32" spans="1:21" ht="15">
      <c r="A32" s="893" t="s">
        <v>1056</v>
      </c>
      <c r="B32" s="894"/>
      <c r="C32" s="895"/>
      <c r="D32" s="896">
        <f>SUM(D30-D31)</f>
        <v>31233200</v>
      </c>
      <c r="E32" s="897"/>
      <c r="F32" s="898"/>
      <c r="G32" s="896">
        <f>SUM(G30-G31)</f>
        <v>11400000.060000002</v>
      </c>
      <c r="H32" s="897"/>
      <c r="I32" s="898"/>
      <c r="J32" s="896">
        <f>SUM(J30-J31)</f>
        <v>14249999.900000006</v>
      </c>
      <c r="K32" s="897"/>
      <c r="L32" s="898"/>
      <c r="M32" s="896">
        <f>SUM(M30-M31)</f>
        <v>2365099</v>
      </c>
      <c r="N32" s="896"/>
      <c r="O32" s="896"/>
      <c r="P32" s="896">
        <f>SUM(P30-P31)</f>
        <v>59248298.96000004</v>
      </c>
      <c r="Q32" s="892"/>
      <c r="R32" s="892"/>
      <c r="S32" s="892"/>
      <c r="T32" s="892"/>
      <c r="U32" s="892"/>
    </row>
    <row r="33" spans="2:21" ht="15">
      <c r="B33" s="892"/>
      <c r="C33" s="892"/>
      <c r="D33" s="854">
        <f>SUM(B29:C29)</f>
        <v>665000000</v>
      </c>
      <c r="E33" s="892"/>
      <c r="F33" s="892"/>
      <c r="G33" s="854">
        <f>SUM(G15+G16+G17+G18+G19+G20+G21+G22+G23+G24+G25+G28+G26)</f>
        <v>115800000.05999999</v>
      </c>
      <c r="H33" s="892"/>
      <c r="I33" s="892"/>
      <c r="J33" s="854">
        <f>SUM(J15+J16+J17+J18+J19+J20+J21+J22+J23+J24+J25+J28+J26)</f>
        <v>144749999.9</v>
      </c>
      <c r="K33" s="892"/>
      <c r="L33" s="892"/>
      <c r="M33" s="854">
        <f>SUM(M15+M16+M17+M18+M19+M20+M21+M22+M23+M24+M25+M28+M26)</f>
        <v>229294998</v>
      </c>
      <c r="N33" s="854"/>
      <c r="O33" s="854"/>
      <c r="P33" s="899">
        <f>SUM(N29:O29)</f>
        <v>1154844997.96</v>
      </c>
      <c r="Q33" s="892"/>
      <c r="R33" s="892"/>
      <c r="S33" s="892"/>
      <c r="T33" s="892"/>
      <c r="U33" s="892"/>
    </row>
    <row r="34" spans="2:21" ht="15">
      <c r="B34" s="892"/>
      <c r="C34" s="892"/>
      <c r="D34" s="892"/>
      <c r="E34" s="892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900">
        <f>SUM(D32+G32+J32+M32)</f>
        <v>59248298.96000001</v>
      </c>
      <c r="Q34" s="892"/>
      <c r="R34" s="892"/>
      <c r="S34" s="892"/>
      <c r="T34" s="892"/>
      <c r="U34" s="892"/>
    </row>
    <row r="35" spans="1:16" ht="27" thickBot="1">
      <c r="A35" s="901" t="s">
        <v>1057</v>
      </c>
      <c r="B35" s="854">
        <f>(D35/1.27)</f>
        <v>28577874.01574803</v>
      </c>
      <c r="C35" s="854">
        <f>(B35*0.27)</f>
        <v>7716025.984251969</v>
      </c>
      <c r="D35" s="854">
        <v>36293900</v>
      </c>
      <c r="E35" s="854">
        <f>(G35/1.27)</f>
        <v>3165000</v>
      </c>
      <c r="F35" s="854">
        <f>(E35*0.27)</f>
        <v>854550</v>
      </c>
      <c r="G35" s="854">
        <v>4019550</v>
      </c>
      <c r="H35" s="854">
        <f>(J35/1.27)</f>
        <v>3985000</v>
      </c>
      <c r="I35" s="854">
        <f>(H35*0.27)</f>
        <v>1075950</v>
      </c>
      <c r="J35" s="854">
        <v>5060950</v>
      </c>
      <c r="K35" s="854">
        <f>(M35/1.27)</f>
        <v>6067007.874015748</v>
      </c>
      <c r="L35" s="854">
        <f>(K35*0.27)</f>
        <v>1638092.125984252</v>
      </c>
      <c r="M35" s="854">
        <v>7705100</v>
      </c>
      <c r="N35" s="904">
        <f>(P35/1.27)</f>
        <v>41794881.88976378</v>
      </c>
      <c r="O35" s="904">
        <f>(N35*0.27)</f>
        <v>11284618.110236222</v>
      </c>
      <c r="P35" s="904">
        <f>SUM(D35+G35+J35+M35)</f>
        <v>53079500</v>
      </c>
    </row>
    <row r="36" spans="1:16" ht="27" thickBot="1">
      <c r="A36" s="903" t="s">
        <v>1058</v>
      </c>
      <c r="B36" s="867">
        <f aca="true" t="shared" si="10" ref="B36:M36">SUM(B27-B35)</f>
        <v>22288268.98425197</v>
      </c>
      <c r="C36" s="867">
        <f t="shared" si="10"/>
        <v>6017831.015748031</v>
      </c>
      <c r="D36" s="867">
        <f t="shared" si="10"/>
        <v>28306100</v>
      </c>
      <c r="E36" s="867">
        <f t="shared" si="10"/>
        <v>11008229</v>
      </c>
      <c r="F36" s="867">
        <f t="shared" si="10"/>
        <v>2972221.0600000005</v>
      </c>
      <c r="G36" s="867">
        <f t="shared" si="10"/>
        <v>13980450.060000002</v>
      </c>
      <c r="H36" s="867">
        <f t="shared" si="10"/>
        <v>13750433</v>
      </c>
      <c r="I36" s="867">
        <f t="shared" si="10"/>
        <v>3688616.9000000004</v>
      </c>
      <c r="J36" s="867">
        <f t="shared" si="10"/>
        <v>17439049.9</v>
      </c>
      <c r="K36" s="867">
        <f t="shared" si="10"/>
        <v>6925117.125984252</v>
      </c>
      <c r="L36" s="867">
        <f t="shared" si="10"/>
        <v>1869780.874015748</v>
      </c>
      <c r="M36" s="867">
        <f t="shared" si="10"/>
        <v>8794898</v>
      </c>
      <c r="N36" s="905">
        <f>SUM(B36+E36+H36+K36)</f>
        <v>53972048.11023622</v>
      </c>
      <c r="O36" s="907">
        <f>SUM(C36+F36+I36+L36)</f>
        <v>14548449.84976378</v>
      </c>
      <c r="P36" s="906">
        <f>SUM(D36+G36+J36+M36)</f>
        <v>68520497.96000001</v>
      </c>
    </row>
    <row r="37" spans="2:16" ht="15">
      <c r="B37" s="879"/>
      <c r="C37" s="879"/>
      <c r="D37" s="879"/>
      <c r="E37" s="879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</row>
    <row r="38" spans="2:16" ht="15">
      <c r="B38" s="879"/>
      <c r="C38" s="879"/>
      <c r="D38" s="879"/>
      <c r="E38" s="879"/>
      <c r="F38" s="879"/>
      <c r="G38" s="879"/>
      <c r="H38" s="879">
        <v>95970495</v>
      </c>
      <c r="I38" s="879"/>
      <c r="J38" s="879"/>
      <c r="K38" s="879"/>
      <c r="L38" s="879"/>
      <c r="M38" s="879"/>
      <c r="N38" s="879"/>
      <c r="O38" s="879"/>
      <c r="P38" s="879"/>
    </row>
    <row r="39" spans="2:16" ht="15">
      <c r="B39" s="879"/>
      <c r="C39" s="879"/>
      <c r="D39" s="879"/>
      <c r="E39" s="879"/>
      <c r="F39" s="879"/>
      <c r="G39" s="879"/>
      <c r="H39" s="879"/>
      <c r="I39" s="879"/>
      <c r="J39" s="879"/>
      <c r="K39" s="879"/>
      <c r="L39" s="879"/>
      <c r="M39" s="879"/>
      <c r="N39" s="879"/>
      <c r="O39" s="879"/>
      <c r="P39" s="879"/>
    </row>
    <row r="40" spans="2:16" ht="15">
      <c r="B40" s="879"/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</row>
    <row r="41" spans="2:16" ht="15">
      <c r="B41" s="879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</row>
  </sheetData>
  <sheetProtection/>
  <mergeCells count="16"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A1:P1"/>
    <mergeCell ref="B17:B18"/>
    <mergeCell ref="C17:C18"/>
    <mergeCell ref="E17:E18"/>
    <mergeCell ref="F17:F18"/>
    <mergeCell ref="H17:H18"/>
    <mergeCell ref="I17:I18"/>
  </mergeCells>
  <printOptions/>
  <pageMargins left="0.31496062992125984" right="0.17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53.00390625" style="0" customWidth="1"/>
    <col min="3" max="3" width="18.375" style="0" customWidth="1"/>
    <col min="4" max="4" width="17.125" style="0" customWidth="1"/>
    <col min="5" max="5" width="11.875" style="0" customWidth="1"/>
  </cols>
  <sheetData>
    <row r="1" spans="1:6" ht="12.75">
      <c r="A1" s="157"/>
      <c r="B1" s="157"/>
      <c r="C1" s="157"/>
      <c r="D1" s="157"/>
      <c r="E1" s="157"/>
      <c r="F1" s="157"/>
    </row>
    <row r="2" spans="1:6" ht="12.75">
      <c r="A2" s="157"/>
      <c r="B2" s="1151" t="s">
        <v>982</v>
      </c>
      <c r="C2" s="1151"/>
      <c r="D2" s="1151"/>
      <c r="E2" s="157"/>
      <c r="F2" s="157"/>
    </row>
    <row r="3" spans="2:4" ht="15" customHeight="1">
      <c r="B3" s="79"/>
      <c r="C3" s="827" t="s">
        <v>984</v>
      </c>
      <c r="D3" s="827" t="s">
        <v>985</v>
      </c>
    </row>
    <row r="4" spans="2:6" ht="15" customHeight="1">
      <c r="B4" s="830" t="s">
        <v>981</v>
      </c>
      <c r="C4" s="76">
        <v>450</v>
      </c>
      <c r="D4" s="76"/>
      <c r="F4" s="831"/>
    </row>
    <row r="5" spans="2:4" ht="15" customHeight="1">
      <c r="B5" s="830" t="s">
        <v>999</v>
      </c>
      <c r="C5" s="76"/>
      <c r="D5" s="828">
        <v>14000</v>
      </c>
    </row>
    <row r="6" spans="2:4" ht="15" customHeight="1">
      <c r="B6" s="830" t="s">
        <v>1006</v>
      </c>
      <c r="C6" s="76"/>
      <c r="D6" s="76"/>
    </row>
    <row r="7" spans="2:4" ht="15" customHeight="1">
      <c r="B7" s="830" t="s">
        <v>1007</v>
      </c>
      <c r="C7" s="76"/>
      <c r="D7" s="76"/>
    </row>
    <row r="8" spans="2:4" ht="15" customHeight="1">
      <c r="B8" s="830" t="s">
        <v>1008</v>
      </c>
      <c r="C8" s="76"/>
      <c r="D8" s="76"/>
    </row>
    <row r="9" spans="2:4" ht="15" customHeight="1">
      <c r="B9" s="830" t="s">
        <v>1003</v>
      </c>
      <c r="C9" s="76"/>
      <c r="D9" s="76"/>
    </row>
    <row r="10" spans="2:4" ht="15" customHeight="1">
      <c r="B10" s="830"/>
      <c r="C10" s="76"/>
      <c r="D10" s="76"/>
    </row>
    <row r="11" spans="2:4" ht="15" customHeight="1">
      <c r="B11" s="830"/>
      <c r="C11" s="76"/>
      <c r="D11" s="76"/>
    </row>
    <row r="12" spans="2:4" ht="15" customHeight="1">
      <c r="B12" s="830"/>
      <c r="C12" s="76"/>
      <c r="D12" s="76"/>
    </row>
    <row r="13" spans="2:4" ht="15" customHeight="1">
      <c r="B13" s="79"/>
      <c r="C13" s="76"/>
      <c r="D13" s="76"/>
    </row>
    <row r="14" spans="2:4" ht="15" customHeight="1">
      <c r="B14" s="79"/>
      <c r="C14" s="76"/>
      <c r="D14" s="76"/>
    </row>
    <row r="15" spans="2:4" ht="15" customHeight="1">
      <c r="B15" s="79"/>
      <c r="C15" s="76"/>
      <c r="D15" s="76"/>
    </row>
    <row r="16" spans="2:4" ht="15" customHeight="1">
      <c r="B16" s="79"/>
      <c r="C16" s="76"/>
      <c r="D16" s="76"/>
    </row>
    <row r="17" spans="2:4" ht="15" customHeight="1">
      <c r="B17" s="79"/>
      <c r="C17" s="76"/>
      <c r="D17" s="76"/>
    </row>
    <row r="18" spans="2:4" ht="15" customHeight="1">
      <c r="B18" s="79"/>
      <c r="C18" s="76"/>
      <c r="D18" s="76"/>
    </row>
    <row r="19" spans="2:4" ht="15" customHeight="1">
      <c r="B19" s="79"/>
      <c r="C19" s="76"/>
      <c r="D19" s="76"/>
    </row>
    <row r="20" spans="2:4" ht="15" customHeight="1">
      <c r="B20" s="79"/>
      <c r="C20" s="76"/>
      <c r="D20" s="76"/>
    </row>
    <row r="21" spans="2:4" ht="15" customHeight="1">
      <c r="B21" s="79"/>
      <c r="C21" s="76"/>
      <c r="D21" s="76"/>
    </row>
    <row r="22" spans="3:4" ht="12.75">
      <c r="C22" s="105"/>
      <c r="D22" s="105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9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9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5"/>
  <sheetViews>
    <sheetView zoomScaleSheetLayoutView="90" zoomScalePageLayoutView="0" workbookViewId="0" topLeftCell="A76">
      <selection activeCell="E97" sqref="E97"/>
    </sheetView>
  </sheetViews>
  <sheetFormatPr defaultColWidth="9.00390625" defaultRowHeight="12.75"/>
  <cols>
    <col min="1" max="1" width="6.25390625" style="2" customWidth="1"/>
    <col min="2" max="2" width="78.125" style="0" customWidth="1"/>
    <col min="3" max="4" width="14.75390625" style="51" hidden="1" customWidth="1"/>
    <col min="5" max="5" width="21.125" style="51" customWidth="1"/>
    <col min="6" max="6" width="9.125" style="116" customWidth="1"/>
    <col min="7" max="7" width="0" style="116" hidden="1" customWidth="1"/>
    <col min="8" max="10" width="0" style="0" hidden="1" customWidth="1"/>
  </cols>
  <sheetData>
    <row r="1" spans="1:24" ht="13.5" customHeight="1">
      <c r="A1" s="72"/>
      <c r="B1" s="48"/>
      <c r="E1" s="338" t="s">
        <v>253</v>
      </c>
      <c r="F1" s="295"/>
      <c r="G1" s="2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955" t="s">
        <v>29</v>
      </c>
      <c r="B2" s="955"/>
      <c r="C2" s="961"/>
      <c r="D2" s="961"/>
      <c r="E2" s="961"/>
      <c r="F2" s="295"/>
      <c r="G2" s="2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>
      <c r="A3" s="955" t="s">
        <v>947</v>
      </c>
      <c r="B3" s="955"/>
      <c r="C3" s="961"/>
      <c r="D3" s="961"/>
      <c r="E3" s="961"/>
      <c r="F3" s="295"/>
      <c r="G3" s="2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thickBot="1">
      <c r="A4" s="72"/>
      <c r="B4" s="1"/>
      <c r="E4" s="338" t="s">
        <v>0</v>
      </c>
      <c r="F4" s="295"/>
      <c r="G4" s="29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47.25" customHeight="1" thickBot="1">
      <c r="A5" s="424" t="s">
        <v>162</v>
      </c>
      <c r="B5" s="60" t="s">
        <v>255</v>
      </c>
      <c r="C5" s="60" t="s">
        <v>849</v>
      </c>
      <c r="D5" s="60" t="s">
        <v>888</v>
      </c>
      <c r="E5" s="61" t="s">
        <v>467</v>
      </c>
      <c r="F5" s="800"/>
      <c r="G5" s="29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25" customHeight="1">
      <c r="A6" s="275" t="s">
        <v>453</v>
      </c>
      <c r="B6" s="533" t="s">
        <v>448</v>
      </c>
      <c r="C6" s="323">
        <f>SUM(C7+C47+C60+C72)</f>
        <v>739977</v>
      </c>
      <c r="D6" s="323">
        <f>SUM(D7+D47+D60+D72)</f>
        <v>781867</v>
      </c>
      <c r="E6" s="323">
        <f>SUM(E7+E47+E60+E72)</f>
        <v>762746</v>
      </c>
      <c r="F6" s="295"/>
      <c r="G6" s="29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 customHeight="1">
      <c r="A7" s="10" t="s">
        <v>165</v>
      </c>
      <c r="B7" s="35" t="s">
        <v>268</v>
      </c>
      <c r="C7" s="301">
        <f>SUM(C8+C38)</f>
        <v>408981</v>
      </c>
      <c r="D7" s="301">
        <f>SUM(D8+D38)</f>
        <v>443681</v>
      </c>
      <c r="E7" s="301">
        <f>SUM(E8+E38)</f>
        <v>405326</v>
      </c>
      <c r="F7" s="393"/>
      <c r="G7" s="29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 customHeight="1">
      <c r="A8" s="10" t="s">
        <v>166</v>
      </c>
      <c r="B8" s="10" t="s">
        <v>408</v>
      </c>
      <c r="C8" s="7">
        <f>SUM(C9+C20+C21+C29+C32+C37)</f>
        <v>363427</v>
      </c>
      <c r="D8" s="7">
        <f>SUM(D9+D20+D21+D29+D32+D37)</f>
        <v>405602</v>
      </c>
      <c r="E8" s="7">
        <f>SUM(E9+E20+E21+E29+E32+E37)</f>
        <v>379133</v>
      </c>
      <c r="F8" s="393"/>
      <c r="G8" s="29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 customHeight="1">
      <c r="A9" s="10" t="s">
        <v>257</v>
      </c>
      <c r="B9" s="534" t="s">
        <v>278</v>
      </c>
      <c r="C9" s="19">
        <f>SUM(C10+C11+C16+C17+C18)</f>
        <v>190277</v>
      </c>
      <c r="D9" s="19">
        <f>SUM(D10+D11+D16+D17+D18)</f>
        <v>190277</v>
      </c>
      <c r="E9" s="19">
        <f>SUM(E10+E11+E16+E17+E18+E19)</f>
        <v>189886</v>
      </c>
      <c r="F9" s="393"/>
      <c r="G9" s="294"/>
      <c r="H9" s="2"/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>
      <c r="A10" s="10"/>
      <c r="B10" s="534" t="s">
        <v>410</v>
      </c>
      <c r="C10" s="18">
        <v>100577</v>
      </c>
      <c r="D10" s="18">
        <v>100577</v>
      </c>
      <c r="E10" s="18">
        <v>100898</v>
      </c>
      <c r="F10" s="393"/>
      <c r="G10" s="29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>
      <c r="A11" s="10"/>
      <c r="B11" s="534" t="s">
        <v>411</v>
      </c>
      <c r="C11" s="18">
        <f>SUM(C12:C15)</f>
        <v>35875</v>
      </c>
      <c r="D11" s="18">
        <f>SUM(D12:D15)</f>
        <v>35875</v>
      </c>
      <c r="E11" s="18">
        <f>SUM(E12:E15)</f>
        <v>26974</v>
      </c>
      <c r="F11" s="393"/>
      <c r="G11" s="29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>
      <c r="A12" s="10"/>
      <c r="B12" s="534" t="s">
        <v>704</v>
      </c>
      <c r="C12" s="326">
        <v>5589</v>
      </c>
      <c r="D12" s="326">
        <v>5589</v>
      </c>
      <c r="E12" s="326"/>
      <c r="F12" s="393"/>
      <c r="H12" s="393" t="e">
        <f>SUM(#REF!+#REF!+#REF!+#REF!)</f>
        <v>#REF!</v>
      </c>
      <c r="I12" s="294" t="s">
        <v>702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>
      <c r="A13" s="10"/>
      <c r="B13" s="534" t="s">
        <v>512</v>
      </c>
      <c r="C13" s="326">
        <v>22720</v>
      </c>
      <c r="D13" s="326">
        <v>22720</v>
      </c>
      <c r="E13" s="326">
        <v>19408</v>
      </c>
      <c r="F13" s="393"/>
      <c r="H13" s="735" t="s">
        <v>702</v>
      </c>
      <c r="I13" s="29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>
      <c r="A14" s="10"/>
      <c r="B14" s="534" t="s">
        <v>705</v>
      </c>
      <c r="C14" s="326">
        <v>100</v>
      </c>
      <c r="D14" s="326">
        <v>100</v>
      </c>
      <c r="E14" s="326">
        <v>100</v>
      </c>
      <c r="F14" s="393"/>
      <c r="H14" s="295"/>
      <c r="I14" s="29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>
      <c r="A15" s="10"/>
      <c r="B15" s="534" t="s">
        <v>706</v>
      </c>
      <c r="C15" s="326">
        <v>7466</v>
      </c>
      <c r="D15" s="326">
        <v>7466</v>
      </c>
      <c r="E15" s="326">
        <v>7466</v>
      </c>
      <c r="F15" s="393"/>
      <c r="H15" s="295"/>
      <c r="I15" s="29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hidden="1">
      <c r="A16" s="10"/>
      <c r="B16" s="534" t="s">
        <v>412</v>
      </c>
      <c r="C16" s="326">
        <v>0</v>
      </c>
      <c r="D16" s="326">
        <v>0</v>
      </c>
      <c r="E16" s="326">
        <v>0</v>
      </c>
      <c r="F16" s="393" t="e">
        <f>C16-#REF!</f>
        <v>#REF!</v>
      </c>
      <c r="H16" s="295"/>
      <c r="I16" s="29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>
      <c r="A17" s="10"/>
      <c r="B17" s="534" t="s">
        <v>413</v>
      </c>
      <c r="C17" s="18">
        <v>53242</v>
      </c>
      <c r="D17" s="18">
        <v>53242</v>
      </c>
      <c r="E17" s="18">
        <v>61754</v>
      </c>
      <c r="F17" s="393"/>
      <c r="H17" s="736">
        <v>-27722</v>
      </c>
      <c r="I17" s="29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0"/>
      <c r="B18" s="10" t="s">
        <v>987</v>
      </c>
      <c r="C18" s="18">
        <v>583</v>
      </c>
      <c r="D18" s="326">
        <v>583</v>
      </c>
      <c r="E18" s="97"/>
      <c r="F18" s="393"/>
      <c r="H18" s="295"/>
      <c r="I18" s="29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0"/>
      <c r="B19" s="534" t="s">
        <v>973</v>
      </c>
      <c r="C19" s="18"/>
      <c r="D19" s="326"/>
      <c r="E19" s="326">
        <v>260</v>
      </c>
      <c r="F19" s="393"/>
      <c r="H19" s="295"/>
      <c r="I19" s="29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>
      <c r="A20" s="10" t="s">
        <v>258</v>
      </c>
      <c r="B20" s="534" t="s">
        <v>707</v>
      </c>
      <c r="C20" s="18">
        <v>51451</v>
      </c>
      <c r="D20" s="18">
        <f>51451+530+1468</f>
        <v>53449</v>
      </c>
      <c r="E20" s="18">
        <v>52828</v>
      </c>
      <c r="F20" s="393"/>
      <c r="H20" s="295"/>
      <c r="I20" s="29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>
      <c r="A21" s="10" t="s">
        <v>259</v>
      </c>
      <c r="B21" s="534" t="s">
        <v>557</v>
      </c>
      <c r="C21" s="18">
        <f>SUM(C22:C28)</f>
        <v>101021</v>
      </c>
      <c r="D21" s="18">
        <f>SUM(D22:D28)</f>
        <v>111364</v>
      </c>
      <c r="E21" s="18">
        <f>SUM(E22:E28)</f>
        <v>114699</v>
      </c>
      <c r="F21" s="393"/>
      <c r="H21" s="295"/>
      <c r="I21" s="29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>
      <c r="A22" s="10"/>
      <c r="B22" s="534" t="s">
        <v>558</v>
      </c>
      <c r="C22" s="18">
        <v>8446</v>
      </c>
      <c r="D22" s="18">
        <v>8446</v>
      </c>
      <c r="E22" s="18">
        <v>4233</v>
      </c>
      <c r="F22" s="393"/>
      <c r="H22" s="295"/>
      <c r="I22" s="29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>
      <c r="A23" s="10"/>
      <c r="B23" s="534" t="s">
        <v>559</v>
      </c>
      <c r="C23" s="18">
        <v>5536</v>
      </c>
      <c r="D23" s="18">
        <f>5536-111</f>
        <v>5425</v>
      </c>
      <c r="E23" s="18">
        <v>5536</v>
      </c>
      <c r="F23" s="393"/>
      <c r="H23" s="393" t="e">
        <f>SUM(#REF!+#REF!+#REF!+#REF!+#REF!+#REF!)</f>
        <v>#REF!</v>
      </c>
      <c r="I23" s="294" t="s">
        <v>703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customHeight="1">
      <c r="A24" s="10"/>
      <c r="B24" s="534" t="s">
        <v>708</v>
      </c>
      <c r="C24" s="18">
        <f>(1200+21840)</f>
        <v>23040</v>
      </c>
      <c r="D24" s="18">
        <f>(1200+21840)+3770</f>
        <v>26810</v>
      </c>
      <c r="E24" s="18">
        <f>(875+36465)</f>
        <v>37340</v>
      </c>
      <c r="F24" s="393"/>
      <c r="H24" s="294" t="s">
        <v>703</v>
      </c>
      <c r="I24" s="29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>
      <c r="A25" s="10"/>
      <c r="B25" s="534" t="s">
        <v>709</v>
      </c>
      <c r="C25" s="18">
        <v>10800</v>
      </c>
      <c r="D25" s="18">
        <v>10800</v>
      </c>
      <c r="E25" s="18">
        <v>12240</v>
      </c>
      <c r="F25" s="393"/>
      <c r="G25" s="29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>
      <c r="A26" s="10"/>
      <c r="B26" s="534" t="s">
        <v>710</v>
      </c>
      <c r="C26" s="18">
        <v>16777</v>
      </c>
      <c r="D26" s="18">
        <v>16777</v>
      </c>
      <c r="E26" s="18">
        <v>19076</v>
      </c>
      <c r="F26" s="393"/>
      <c r="G26" s="29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>
      <c r="A27" s="10"/>
      <c r="B27" s="534" t="s">
        <v>711</v>
      </c>
      <c r="C27" s="18">
        <v>30645</v>
      </c>
      <c r="D27" s="18">
        <f>30645+5000</f>
        <v>35645</v>
      </c>
      <c r="E27" s="18">
        <v>28768</v>
      </c>
      <c r="F27" s="393"/>
      <c r="G27" s="29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>
      <c r="A28" s="10"/>
      <c r="B28" s="534" t="s">
        <v>840</v>
      </c>
      <c r="C28" s="18">
        <v>5777</v>
      </c>
      <c r="D28" s="18">
        <f>5777+1684</f>
        <v>7461</v>
      </c>
      <c r="E28" s="18">
        <v>7506</v>
      </c>
      <c r="F28" s="393"/>
      <c r="G28" s="29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>
      <c r="A29" s="10" t="s">
        <v>260</v>
      </c>
      <c r="B29" s="534" t="s">
        <v>560</v>
      </c>
      <c r="C29" s="283">
        <f>SUM(C30:C31)</f>
        <v>20678</v>
      </c>
      <c r="D29" s="283">
        <f>SUM(D30:D31)</f>
        <v>20678</v>
      </c>
      <c r="E29" s="283">
        <f>SUM(E30:E31)</f>
        <v>20842</v>
      </c>
      <c r="F29" s="393"/>
      <c r="G29" s="29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>
      <c r="A30" s="10"/>
      <c r="B30" s="534" t="s">
        <v>712</v>
      </c>
      <c r="C30" s="326">
        <v>2678</v>
      </c>
      <c r="D30" s="326">
        <v>2678</v>
      </c>
      <c r="E30" s="326">
        <v>2842</v>
      </c>
      <c r="F30" s="393"/>
      <c r="G30" s="29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>
      <c r="A31" s="10"/>
      <c r="B31" s="534" t="s">
        <v>713</v>
      </c>
      <c r="C31" s="326">
        <v>18000</v>
      </c>
      <c r="D31" s="326">
        <v>18000</v>
      </c>
      <c r="E31" s="326">
        <v>18000</v>
      </c>
      <c r="F31" s="393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0" t="s">
        <v>261</v>
      </c>
      <c r="B32" s="534" t="s">
        <v>851</v>
      </c>
      <c r="C32" s="18">
        <f>SUM(C33:C36)</f>
        <v>0</v>
      </c>
      <c r="D32" s="18">
        <f>SUM(D33:D36)</f>
        <v>25911</v>
      </c>
      <c r="E32" s="18">
        <f>SUM(E33:E36)</f>
        <v>878</v>
      </c>
      <c r="F32" s="393"/>
      <c r="G32" s="29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0"/>
      <c r="B33" s="545" t="s">
        <v>675</v>
      </c>
      <c r="C33" s="18">
        <v>0</v>
      </c>
      <c r="D33" s="18">
        <v>14212</v>
      </c>
      <c r="E33" s="18"/>
      <c r="F33" s="393"/>
      <c r="G33" s="29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0"/>
      <c r="B34" s="545" t="s">
        <v>859</v>
      </c>
      <c r="C34" s="18">
        <v>0</v>
      </c>
      <c r="D34" s="18">
        <f>10697+1002</f>
        <v>11699</v>
      </c>
      <c r="E34" s="18"/>
      <c r="F34" s="393"/>
      <c r="G34" s="29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10"/>
      <c r="B35" s="545" t="s">
        <v>986</v>
      </c>
      <c r="C35" s="18"/>
      <c r="D35" s="18"/>
      <c r="E35" s="18">
        <v>878</v>
      </c>
      <c r="F35" s="393"/>
      <c r="G35" s="29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0"/>
      <c r="B36" s="545" t="s">
        <v>891</v>
      </c>
      <c r="C36" s="18">
        <v>0</v>
      </c>
      <c r="D36" s="18">
        <v>0</v>
      </c>
      <c r="E36" s="18"/>
      <c r="F36" s="393"/>
      <c r="G36" s="29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customHeight="1">
      <c r="A37" s="10" t="s">
        <v>262</v>
      </c>
      <c r="B37" s="534" t="s">
        <v>968</v>
      </c>
      <c r="C37" s="18">
        <v>0</v>
      </c>
      <c r="D37" s="18">
        <v>3923</v>
      </c>
      <c r="E37" s="18"/>
      <c r="F37" s="393"/>
      <c r="G37" s="29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10" t="s">
        <v>215</v>
      </c>
      <c r="B38" s="10" t="s">
        <v>409</v>
      </c>
      <c r="C38" s="115">
        <f>SUM(C39:C46)</f>
        <v>45554</v>
      </c>
      <c r="D38" s="115">
        <f>SUM(D39:D46)</f>
        <v>38079</v>
      </c>
      <c r="E38" s="115">
        <f>SUM(E39:E46)</f>
        <v>26193</v>
      </c>
      <c r="F38" s="393"/>
      <c r="G38" s="29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10" t="s">
        <v>170</v>
      </c>
      <c r="B39" s="10" t="s">
        <v>499</v>
      </c>
      <c r="C39" s="119">
        <v>4500</v>
      </c>
      <c r="D39" s="119">
        <v>4500</v>
      </c>
      <c r="E39" s="119">
        <v>5100</v>
      </c>
      <c r="F39" s="393"/>
      <c r="G39" s="29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10" t="s">
        <v>170</v>
      </c>
      <c r="B40" s="10" t="s">
        <v>563</v>
      </c>
      <c r="C40" s="119">
        <f>1110-1110+1110</f>
        <v>1110</v>
      </c>
      <c r="D40" s="119">
        <v>1110</v>
      </c>
      <c r="E40" s="119">
        <v>1110</v>
      </c>
      <c r="F40" s="393"/>
      <c r="G40" s="29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0" t="s">
        <v>170</v>
      </c>
      <c r="B41" s="10" t="s">
        <v>754</v>
      </c>
      <c r="C41" s="119">
        <f>(7500+2557)</f>
        <v>10057</v>
      </c>
      <c r="D41" s="119">
        <f>(7500+2557)</f>
        <v>10057</v>
      </c>
      <c r="E41" s="119">
        <v>10875</v>
      </c>
      <c r="F41" s="393"/>
      <c r="G41" s="29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10" t="s">
        <v>170</v>
      </c>
      <c r="B42" s="30" t="s">
        <v>969</v>
      </c>
      <c r="C42" s="119">
        <v>20000</v>
      </c>
      <c r="D42" s="119">
        <v>20000</v>
      </c>
      <c r="E42" s="119">
        <v>7000</v>
      </c>
      <c r="F42" s="393"/>
      <c r="G42" s="29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hidden="1">
      <c r="A43" s="30" t="s">
        <v>170</v>
      </c>
      <c r="B43" s="30" t="s">
        <v>896</v>
      </c>
      <c r="C43" s="119">
        <v>7475</v>
      </c>
      <c r="D43" s="119">
        <f>7475-7475</f>
        <v>0</v>
      </c>
      <c r="E43" s="119">
        <f>7475-7475</f>
        <v>0</v>
      </c>
      <c r="F43" s="393"/>
      <c r="G43" s="29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10" t="s">
        <v>170</v>
      </c>
      <c r="B44" s="30" t="s">
        <v>977</v>
      </c>
      <c r="C44" s="119">
        <v>2172</v>
      </c>
      <c r="D44" s="119">
        <v>2172</v>
      </c>
      <c r="E44" s="119">
        <v>1500</v>
      </c>
      <c r="F44" s="393"/>
      <c r="G44" s="29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10" t="s">
        <v>170</v>
      </c>
      <c r="B45" s="10" t="s">
        <v>978</v>
      </c>
      <c r="C45" s="53">
        <v>240</v>
      </c>
      <c r="D45" s="53">
        <v>240</v>
      </c>
      <c r="E45" s="53">
        <v>240</v>
      </c>
      <c r="F45" s="393"/>
      <c r="G45" s="29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10" t="s">
        <v>170</v>
      </c>
      <c r="B46" s="10" t="s">
        <v>1081</v>
      </c>
      <c r="C46" s="53">
        <v>0</v>
      </c>
      <c r="D46" s="53">
        <v>0</v>
      </c>
      <c r="E46" s="53">
        <v>368</v>
      </c>
      <c r="F46" s="393"/>
      <c r="G46" s="29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0" t="s">
        <v>185</v>
      </c>
      <c r="B47" s="35" t="s">
        <v>277</v>
      </c>
      <c r="C47" s="301">
        <f>SUM(C51+C55+C59)</f>
        <v>294000</v>
      </c>
      <c r="D47" s="301">
        <f>SUM(D51+D55+D59)</f>
        <v>294000</v>
      </c>
      <c r="E47" s="301">
        <f>SUM(E51+E55+E59)</f>
        <v>298200</v>
      </c>
      <c r="F47" s="393"/>
      <c r="G47" s="29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customHeight="1" hidden="1">
      <c r="A48" s="10" t="s">
        <v>186</v>
      </c>
      <c r="B48" s="10" t="s">
        <v>192</v>
      </c>
      <c r="C48" s="367"/>
      <c r="D48" s="367"/>
      <c r="E48" s="367"/>
      <c r="F48" s="393"/>
      <c r="G48" s="29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customHeight="1" hidden="1">
      <c r="A49" s="10" t="s">
        <v>187</v>
      </c>
      <c r="B49" s="10" t="s">
        <v>193</v>
      </c>
      <c r="C49" s="367"/>
      <c r="D49" s="367"/>
      <c r="E49" s="367"/>
      <c r="F49" s="393"/>
      <c r="G49" s="29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 hidden="1">
      <c r="A50" s="10" t="s">
        <v>188</v>
      </c>
      <c r="B50" s="31" t="s">
        <v>194</v>
      </c>
      <c r="C50" s="367"/>
      <c r="D50" s="367"/>
      <c r="E50" s="367"/>
      <c r="F50" s="393"/>
      <c r="G50" s="29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customHeight="1">
      <c r="A51" s="10" t="s">
        <v>189</v>
      </c>
      <c r="B51" s="10" t="s">
        <v>700</v>
      </c>
      <c r="C51" s="300">
        <f>SUM(C52:C54)</f>
        <v>222000</v>
      </c>
      <c r="D51" s="300">
        <f>SUM(D52:D54)</f>
        <v>222000</v>
      </c>
      <c r="E51" s="300">
        <f>SUM(E52:E54)</f>
        <v>216000</v>
      </c>
      <c r="F51" s="393"/>
      <c r="G51" s="29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customHeight="1">
      <c r="A52" s="10"/>
      <c r="B52" s="534" t="s">
        <v>701</v>
      </c>
      <c r="C52" s="53">
        <v>190000</v>
      </c>
      <c r="D52" s="53">
        <v>190000</v>
      </c>
      <c r="E52" s="53">
        <v>190000</v>
      </c>
      <c r="F52" s="393"/>
      <c r="G52" s="393"/>
      <c r="H52" s="393"/>
      <c r="I52" s="393"/>
      <c r="J52" s="393"/>
      <c r="K52" s="39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customHeight="1">
      <c r="A53" s="10"/>
      <c r="B53" s="534" t="s">
        <v>971</v>
      </c>
      <c r="C53" s="53">
        <v>18000</v>
      </c>
      <c r="D53" s="53">
        <v>18000</v>
      </c>
      <c r="E53" s="53">
        <v>14000</v>
      </c>
      <c r="F53" s="393"/>
      <c r="G53" s="393">
        <v>-4000</v>
      </c>
      <c r="H53" s="393">
        <v>-4000</v>
      </c>
      <c r="I53" s="393">
        <v>-4000</v>
      </c>
      <c r="J53" s="393">
        <v>-4000</v>
      </c>
      <c r="K53" s="393">
        <v>-4000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customHeight="1">
      <c r="A54" s="10"/>
      <c r="B54" s="534" t="s">
        <v>972</v>
      </c>
      <c r="C54" s="53">
        <v>14000</v>
      </c>
      <c r="D54" s="53">
        <v>14000</v>
      </c>
      <c r="E54" s="53">
        <v>12000</v>
      </c>
      <c r="F54" s="393"/>
      <c r="G54" s="393"/>
      <c r="H54" s="393"/>
      <c r="I54" s="393"/>
      <c r="J54" s="393"/>
      <c r="K54" s="39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66" customFormat="1" ht="13.5" customHeight="1">
      <c r="A55" s="10" t="s">
        <v>190</v>
      </c>
      <c r="B55" s="10" t="s">
        <v>279</v>
      </c>
      <c r="C55" s="8">
        <f>SUM(C56:C57)</f>
        <v>69000</v>
      </c>
      <c r="D55" s="8">
        <f>SUM(D56:D57)</f>
        <v>69000</v>
      </c>
      <c r="E55" s="8">
        <f>SUM(E56:E57)</f>
        <v>79700</v>
      </c>
      <c r="F55" s="393"/>
      <c r="G55" s="393"/>
      <c r="H55" s="393"/>
      <c r="I55" s="393"/>
      <c r="J55" s="393"/>
      <c r="K55" s="39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66" customFormat="1" ht="13.5" customHeight="1">
      <c r="A56" s="10"/>
      <c r="B56" s="534" t="s">
        <v>280</v>
      </c>
      <c r="C56" s="367">
        <v>60000</v>
      </c>
      <c r="D56" s="367">
        <v>60000</v>
      </c>
      <c r="E56" s="367">
        <v>70000</v>
      </c>
      <c r="F56" s="393"/>
      <c r="G56" s="393">
        <v>-49000</v>
      </c>
      <c r="H56" s="393">
        <v>-49000</v>
      </c>
      <c r="I56" s="393">
        <v>-49000</v>
      </c>
      <c r="J56" s="393">
        <v>-49000</v>
      </c>
      <c r="K56" s="393">
        <v>-39000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66" customFormat="1" ht="13.5" customHeight="1">
      <c r="A57" s="10"/>
      <c r="B57" s="534" t="s">
        <v>714</v>
      </c>
      <c r="C57" s="367">
        <v>9000</v>
      </c>
      <c r="D57" s="367">
        <v>9000</v>
      </c>
      <c r="E57" s="367">
        <v>9700</v>
      </c>
      <c r="F57" s="393"/>
      <c r="G57" s="393">
        <v>700</v>
      </c>
      <c r="H57" s="393">
        <v>700</v>
      </c>
      <c r="I57" s="393">
        <v>700</v>
      </c>
      <c r="J57" s="393">
        <v>700</v>
      </c>
      <c r="K57" s="393">
        <v>700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66" customFormat="1" ht="13.5" customHeight="1">
      <c r="A58" s="10"/>
      <c r="B58" s="534" t="s">
        <v>970</v>
      </c>
      <c r="C58" s="367"/>
      <c r="D58" s="367"/>
      <c r="E58" s="367">
        <v>55500</v>
      </c>
      <c r="F58" s="393"/>
      <c r="G58" s="393">
        <v>-7900</v>
      </c>
      <c r="H58" s="393">
        <v>-7900</v>
      </c>
      <c r="I58" s="393">
        <v>-7900</v>
      </c>
      <c r="J58" s="393">
        <v>-7900</v>
      </c>
      <c r="K58" s="393">
        <v>-7900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66" customFormat="1" ht="13.5" customHeight="1">
      <c r="A59" s="10" t="s">
        <v>191</v>
      </c>
      <c r="B59" s="10" t="s">
        <v>414</v>
      </c>
      <c r="C59" s="8">
        <f>2000+800+200</f>
        <v>3000</v>
      </c>
      <c r="D59" s="8">
        <f>2000+800+200</f>
        <v>3000</v>
      </c>
      <c r="E59" s="8">
        <v>2500</v>
      </c>
      <c r="F59" s="393"/>
      <c r="G59" s="393"/>
      <c r="H59" s="393"/>
      <c r="I59" s="393"/>
      <c r="J59" s="393"/>
      <c r="K59" s="39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66" customFormat="1" ht="18" customHeight="1">
      <c r="A60" s="20" t="s">
        <v>196</v>
      </c>
      <c r="B60" s="35" t="s">
        <v>281</v>
      </c>
      <c r="C60" s="58">
        <f>SUM(C61:C71)</f>
        <v>30496</v>
      </c>
      <c r="D60" s="58">
        <f>SUM(D61:D71)</f>
        <v>37686</v>
      </c>
      <c r="E60" s="58">
        <f>SUM(E61:E71)</f>
        <v>34220</v>
      </c>
      <c r="F60" s="393"/>
      <c r="G60" s="29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 customHeight="1">
      <c r="A61" s="10" t="s">
        <v>199</v>
      </c>
      <c r="B61" s="10" t="s">
        <v>282</v>
      </c>
      <c r="C61" s="19"/>
      <c r="D61" s="19"/>
      <c r="E61" s="19"/>
      <c r="F61" s="393"/>
      <c r="G61" s="29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66" customFormat="1" ht="13.5" customHeight="1">
      <c r="A62" s="10" t="s">
        <v>200</v>
      </c>
      <c r="B62" s="10" t="s">
        <v>283</v>
      </c>
      <c r="C62" s="19"/>
      <c r="D62" s="19"/>
      <c r="E62" s="19"/>
      <c r="F62" s="393"/>
      <c r="G62" s="29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66" customFormat="1" ht="13.5" customHeight="1">
      <c r="A63" s="10" t="s">
        <v>201</v>
      </c>
      <c r="B63" s="10" t="s">
        <v>284</v>
      </c>
      <c r="C63" s="19">
        <v>400</v>
      </c>
      <c r="D63" s="19">
        <f>400+1273</f>
        <v>1673</v>
      </c>
      <c r="E63" s="19">
        <v>1700</v>
      </c>
      <c r="F63" s="393"/>
      <c r="G63" s="29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customHeight="1">
      <c r="A64" s="10" t="s">
        <v>202</v>
      </c>
      <c r="B64" s="31" t="s">
        <v>285</v>
      </c>
      <c r="C64" s="18">
        <v>20000</v>
      </c>
      <c r="D64" s="18">
        <v>20000</v>
      </c>
      <c r="E64" s="18">
        <v>20000</v>
      </c>
      <c r="F64" s="393"/>
      <c r="G64" s="29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customHeight="1">
      <c r="A65" s="10" t="s">
        <v>203</v>
      </c>
      <c r="B65" s="31" t="s">
        <v>286</v>
      </c>
      <c r="C65" s="18">
        <v>7000</v>
      </c>
      <c r="D65" s="18">
        <v>7000</v>
      </c>
      <c r="E65" s="18">
        <v>8000</v>
      </c>
      <c r="F65" s="393"/>
      <c r="G65" s="29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 t="s">
        <v>207</v>
      </c>
      <c r="B66" s="31" t="s">
        <v>287</v>
      </c>
      <c r="C66" s="18">
        <v>1000</v>
      </c>
      <c r="D66" s="18">
        <f>1000+246+80+907</f>
        <v>2233</v>
      </c>
      <c r="E66" s="18">
        <v>2000</v>
      </c>
      <c r="F66" s="393"/>
      <c r="G66" s="29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0" t="s">
        <v>209</v>
      </c>
      <c r="B67" s="31" t="s">
        <v>288</v>
      </c>
      <c r="C67" s="18"/>
      <c r="D67" s="18"/>
      <c r="E67" s="18"/>
      <c r="F67" s="393"/>
      <c r="G67" s="29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0" t="s">
        <v>211</v>
      </c>
      <c r="B68" s="31" t="s">
        <v>289</v>
      </c>
      <c r="C68" s="18">
        <f>20+1</f>
        <v>21</v>
      </c>
      <c r="D68" s="18">
        <v>21</v>
      </c>
      <c r="E68" s="18">
        <v>20</v>
      </c>
      <c r="F68" s="393"/>
      <c r="G68" s="29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0" t="s">
        <v>213</v>
      </c>
      <c r="B69" s="31" t="s">
        <v>290</v>
      </c>
      <c r="C69" s="18"/>
      <c r="D69" s="18"/>
      <c r="E69" s="18"/>
      <c r="F69" s="393"/>
      <c r="G69" s="29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0" t="s">
        <v>219</v>
      </c>
      <c r="B70" s="31" t="s">
        <v>500</v>
      </c>
      <c r="C70" s="18">
        <v>15</v>
      </c>
      <c r="D70" s="18">
        <f>15+118</f>
        <v>133</v>
      </c>
      <c r="E70" s="18"/>
      <c r="F70" s="393"/>
      <c r="G70" s="29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0" t="s">
        <v>493</v>
      </c>
      <c r="B71" s="186" t="s">
        <v>678</v>
      </c>
      <c r="C71" s="18">
        <f>2000+60</f>
        <v>2060</v>
      </c>
      <c r="D71" s="18">
        <f>2000+912+295+3359+60</f>
        <v>6626</v>
      </c>
      <c r="E71" s="18">
        <v>2500</v>
      </c>
      <c r="F71" s="393"/>
      <c r="G71" s="29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>
      <c r="A72" s="20" t="s">
        <v>234</v>
      </c>
      <c r="B72" s="35" t="s">
        <v>291</v>
      </c>
      <c r="C72" s="58">
        <f>SUM(C76)</f>
        <v>6500</v>
      </c>
      <c r="D72" s="58">
        <f>SUM(D76)</f>
        <v>6500</v>
      </c>
      <c r="E72" s="58">
        <f>SUM(E76)</f>
        <v>25000</v>
      </c>
      <c r="F72" s="393"/>
      <c r="G72" s="29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hidden="1">
      <c r="A73" s="10" t="s">
        <v>240</v>
      </c>
      <c r="B73" s="31" t="s">
        <v>292</v>
      </c>
      <c r="C73" s="14"/>
      <c r="D73" s="14"/>
      <c r="E73" s="14"/>
      <c r="F73" s="393"/>
      <c r="G73" s="29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hidden="1">
      <c r="A74" s="10" t="s">
        <v>241</v>
      </c>
      <c r="B74" s="31" t="s">
        <v>293</v>
      </c>
      <c r="C74" s="14"/>
      <c r="D74" s="14"/>
      <c r="E74" s="14"/>
      <c r="F74" s="393"/>
      <c r="G74" s="29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hidden="1">
      <c r="A75" s="10" t="s">
        <v>242</v>
      </c>
      <c r="B75" s="31" t="s">
        <v>294</v>
      </c>
      <c r="C75" s="7"/>
      <c r="D75" s="7"/>
      <c r="E75" s="7"/>
      <c r="F75" s="393"/>
      <c r="G75" s="29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10" t="s">
        <v>501</v>
      </c>
      <c r="B76" s="10" t="s">
        <v>1075</v>
      </c>
      <c r="C76" s="19">
        <v>6500</v>
      </c>
      <c r="D76" s="19">
        <v>6500</v>
      </c>
      <c r="E76" s="18">
        <f>(5000+20000)</f>
        <v>25000</v>
      </c>
      <c r="F76" s="393"/>
      <c r="G76" s="29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5.5" customHeight="1">
      <c r="A77" s="37" t="s">
        <v>236</v>
      </c>
      <c r="B77" s="322" t="s">
        <v>439</v>
      </c>
      <c r="C77" s="58">
        <f aca="true" t="shared" si="0" ref="C77:E78">SUM(C78)</f>
        <v>151289</v>
      </c>
      <c r="D77" s="58">
        <f t="shared" si="0"/>
        <v>150914</v>
      </c>
      <c r="E77" s="58">
        <f t="shared" si="0"/>
        <v>246027</v>
      </c>
      <c r="F77" s="393"/>
      <c r="G77" s="29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 customHeight="1">
      <c r="A78" s="37"/>
      <c r="B78" s="35" t="str">
        <f>'1.Bev-kiad.'!B53</f>
        <v>   1. Belföldi finanszírozás bevételei</v>
      </c>
      <c r="C78" s="302">
        <f t="shared" si="0"/>
        <v>151289</v>
      </c>
      <c r="D78" s="302">
        <f t="shared" si="0"/>
        <v>150914</v>
      </c>
      <c r="E78" s="302">
        <f t="shared" si="0"/>
        <v>246027</v>
      </c>
      <c r="F78" s="393"/>
      <c r="G78" s="295"/>
      <c r="H78" s="2"/>
      <c r="I78" s="2"/>
      <c r="J78" s="2"/>
      <c r="K78" s="2" t="s">
        <v>736</v>
      </c>
      <c r="L78" s="9">
        <v>19461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.5" customHeight="1">
      <c r="A79" s="37"/>
      <c r="B79" s="45" t="str">
        <f>'1.Bev-kiad.'!B54</f>
        <v>        1.1. Előző év költségvetési maradványának igénybevétele</v>
      </c>
      <c r="C79" s="18">
        <f>(148975-411+1755+970)</f>
        <v>151289</v>
      </c>
      <c r="D79" s="18">
        <f>(148975-411-375+1755+970)</f>
        <v>150914</v>
      </c>
      <c r="E79" s="18">
        <f>(19461+226638-72)</f>
        <v>246027</v>
      </c>
      <c r="F79" s="393"/>
      <c r="G79" s="295"/>
      <c r="H79" s="2"/>
      <c r="I79" s="2"/>
      <c r="J79" s="2"/>
      <c r="K79" s="2" t="s">
        <v>998</v>
      </c>
      <c r="L79" s="2">
        <v>226638</v>
      </c>
      <c r="M79" s="2"/>
      <c r="N79" s="2" t="s">
        <v>991</v>
      </c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.5" customHeight="1">
      <c r="A80" s="37"/>
      <c r="B80" s="35" t="s">
        <v>635</v>
      </c>
      <c r="C80" s="302"/>
      <c r="D80" s="302"/>
      <c r="E80" s="302"/>
      <c r="F80" s="393"/>
      <c r="G80" s="295"/>
      <c r="H80" s="2"/>
      <c r="I80" s="2"/>
      <c r="J80" s="2"/>
      <c r="K80" s="2" t="s">
        <v>431</v>
      </c>
      <c r="L80" s="2">
        <f>SUM(L78:L79)</f>
        <v>246099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.5" customHeight="1" thickBot="1">
      <c r="A81" s="538"/>
      <c r="B81" s="15" t="s">
        <v>298</v>
      </c>
      <c r="C81" s="421"/>
      <c r="D81" s="421"/>
      <c r="E81" s="421"/>
      <c r="F81" s="393"/>
      <c r="G81" s="29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9.5" customHeight="1" thickBot="1">
      <c r="A82" s="422"/>
      <c r="B82" s="423" t="s">
        <v>484</v>
      </c>
      <c r="C82" s="335">
        <f>SUM(C6+C77)</f>
        <v>891266</v>
      </c>
      <c r="D82" s="335">
        <f>SUM(D6+D77)</f>
        <v>932781</v>
      </c>
      <c r="E82" s="63">
        <f>SUM(E6+E77)</f>
        <v>1008773</v>
      </c>
      <c r="F82" s="393"/>
      <c r="G82" s="29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0.25" customHeight="1">
      <c r="A83" s="275" t="s">
        <v>452</v>
      </c>
      <c r="B83" s="532" t="s">
        <v>449</v>
      </c>
      <c r="C83" s="325" t="e">
        <f>SUM(C84+C87+C90+C93+C94)</f>
        <v>#REF!</v>
      </c>
      <c r="D83" s="325" t="e">
        <f>SUM(D84+D87+D90+D93+D94)</f>
        <v>#REF!</v>
      </c>
      <c r="E83" s="325">
        <f>SUM(E84+E87+E90+E93+E94)</f>
        <v>943097.270511811</v>
      </c>
      <c r="F83" s="393"/>
      <c r="G83" s="29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8" customHeight="1">
      <c r="A84" s="20" t="s">
        <v>263</v>
      </c>
      <c r="B84" s="362" t="s">
        <v>295</v>
      </c>
      <c r="C84" s="277" t="e">
        <f>SUM(C85:C86)</f>
        <v>#REF!</v>
      </c>
      <c r="D84" s="277" t="e">
        <f>SUM(D85:D86)</f>
        <v>#REF!</v>
      </c>
      <c r="E84" s="277">
        <f>SUM(E85:E86)</f>
        <v>232048</v>
      </c>
      <c r="F84" s="393"/>
      <c r="G84" s="737" t="s">
        <v>736</v>
      </c>
      <c r="I84" s="2"/>
      <c r="J84" s="2"/>
      <c r="K84" s="9">
        <f>SUM(E86+E89+E92)</f>
        <v>203426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.5" customHeight="1">
      <c r="A85" s="20"/>
      <c r="B85" s="536" t="s">
        <v>566</v>
      </c>
      <c r="C85" s="387" t="e">
        <f>SUM('8.Önk.'!#REF!)</f>
        <v>#REF!</v>
      </c>
      <c r="D85" s="387" t="e">
        <f>SUM('8.Önk.'!#REF!)</f>
        <v>#REF!</v>
      </c>
      <c r="E85" s="387">
        <f>SUM('8.Önk.'!AE28)</f>
        <v>90335</v>
      </c>
      <c r="F85" s="393"/>
      <c r="G85" s="738" t="e">
        <f>SUM(#REF!+#REF!+#REF!)</f>
        <v>#REF!</v>
      </c>
      <c r="H85" s="306"/>
      <c r="I85" s="2"/>
      <c r="J85" s="2"/>
      <c r="K85" s="9">
        <f>SUM(E85+E88+E91+E93+E95)</f>
        <v>695210.270511811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.5" customHeight="1">
      <c r="A86" s="20"/>
      <c r="B86" s="536" t="s">
        <v>717</v>
      </c>
      <c r="C86" s="387" t="e">
        <f>SUM('9.hivatal'!#REF!)</f>
        <v>#REF!</v>
      </c>
      <c r="D86" s="387" t="e">
        <f>SUM('9.hivatal'!#REF!)</f>
        <v>#REF!</v>
      </c>
      <c r="E86" s="387">
        <f>SUM('9.hivatal'!F17)</f>
        <v>141713</v>
      </c>
      <c r="F86" s="393"/>
      <c r="G86" s="295"/>
      <c r="H86" s="2"/>
      <c r="I86" s="2"/>
      <c r="J86" s="2"/>
      <c r="K86" s="2"/>
      <c r="L86" s="2"/>
      <c r="M86" s="9">
        <f>SUM(E6-E83-E96)</f>
        <v>-224812.27051181102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8" customHeight="1">
      <c r="A87" s="20" t="s">
        <v>264</v>
      </c>
      <c r="B87" s="35" t="s">
        <v>296</v>
      </c>
      <c r="C87" s="277" t="e">
        <f>SUM(C88:C89)</f>
        <v>#REF!</v>
      </c>
      <c r="D87" s="277" t="e">
        <f>SUM(D88:D89)</f>
        <v>#REF!</v>
      </c>
      <c r="E87" s="277">
        <f>SUM(E88:E89)</f>
        <v>44339.135</v>
      </c>
      <c r="F87" s="393"/>
      <c r="G87" s="739" t="s">
        <v>737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customHeight="1">
      <c r="A88" s="20"/>
      <c r="B88" s="537" t="s">
        <v>567</v>
      </c>
      <c r="C88" s="387" t="e">
        <f>SUM('8.Önk.'!#REF!)</f>
        <v>#REF!</v>
      </c>
      <c r="D88" s="387" t="e">
        <f>SUM('8.Önk.'!#REF!)</f>
        <v>#REF!</v>
      </c>
      <c r="E88" s="387">
        <f>SUM('8.Önk.'!AE32)</f>
        <v>16235.135</v>
      </c>
      <c r="F88" s="393"/>
      <c r="G88" s="738" t="e">
        <f>SUM(#REF!+#REF!+#REF!+#REF!+#REF!)</f>
        <v>#REF!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customHeight="1">
      <c r="A89" s="20"/>
      <c r="B89" s="537" t="s">
        <v>716</v>
      </c>
      <c r="C89" s="535" t="e">
        <f>SUM('9.hivatal'!#REF!)</f>
        <v>#REF!</v>
      </c>
      <c r="D89" s="535" t="e">
        <f>SUM('9.hivatal'!#REF!)</f>
        <v>#REF!</v>
      </c>
      <c r="E89" s="535">
        <f>SUM('9.hivatal'!F20)</f>
        <v>28104</v>
      </c>
      <c r="F89" s="393"/>
      <c r="G89" s="29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8" customHeight="1">
      <c r="A90" s="20" t="s">
        <v>265</v>
      </c>
      <c r="B90" s="35" t="s">
        <v>297</v>
      </c>
      <c r="C90" s="21" t="e">
        <f>SUM(C91:C92)</f>
        <v>#REF!</v>
      </c>
      <c r="D90" s="21" t="e">
        <f>SUM(D91:D92)</f>
        <v>#REF!</v>
      </c>
      <c r="E90" s="21">
        <f>SUM(E91:E92)</f>
        <v>294962.135511811</v>
      </c>
      <c r="F90" s="393"/>
      <c r="G90" s="29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364" customFormat="1" ht="13.5" customHeight="1">
      <c r="A91" s="10"/>
      <c r="B91" s="537" t="s">
        <v>567</v>
      </c>
      <c r="C91" s="326" t="e">
        <f>SUM('8.Önk.'!#REF!)</f>
        <v>#REF!</v>
      </c>
      <c r="D91" s="326" t="e">
        <f>SUM('8.Önk.'!#REF!)</f>
        <v>#REF!</v>
      </c>
      <c r="E91" s="326">
        <f>SUM('8.Önk.'!AE106)</f>
        <v>261353.135511811</v>
      </c>
      <c r="F91" s="393"/>
      <c r="G91" s="29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364" customFormat="1" ht="13.5" customHeight="1">
      <c r="A92" s="10"/>
      <c r="B92" s="537" t="s">
        <v>715</v>
      </c>
      <c r="C92" s="326" t="e">
        <f>SUM('9.hivatal'!#REF!)</f>
        <v>#REF!</v>
      </c>
      <c r="D92" s="326" t="e">
        <f>SUM('9.hivatal'!#REF!)</f>
        <v>#REF!</v>
      </c>
      <c r="E92" s="326">
        <f>SUM('9.hivatal'!F69)</f>
        <v>33609</v>
      </c>
      <c r="F92" s="393"/>
      <c r="G92" s="29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8" customHeight="1">
      <c r="A93" s="20" t="s">
        <v>266</v>
      </c>
      <c r="B93" s="35" t="s">
        <v>679</v>
      </c>
      <c r="C93" s="50" t="e">
        <f>SUM('8.Önk.'!#REF!)</f>
        <v>#REF!</v>
      </c>
      <c r="D93" s="50" t="e">
        <f>SUM('8.Önk.'!#REF!)</f>
        <v>#REF!</v>
      </c>
      <c r="E93" s="50">
        <f>SUM('8.Önk.'!AE107)</f>
        <v>9600</v>
      </c>
      <c r="F93" s="393"/>
      <c r="G93" s="29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" customHeight="1">
      <c r="A94" s="20" t="s">
        <v>267</v>
      </c>
      <c r="B94" s="35" t="s">
        <v>427</v>
      </c>
      <c r="C94" s="21" t="e">
        <f>SUM(C95:C96)</f>
        <v>#REF!</v>
      </c>
      <c r="D94" s="21" t="e">
        <f>SUM(D95:D96)</f>
        <v>#REF!</v>
      </c>
      <c r="E94" s="21">
        <f>SUM(E95:E96)</f>
        <v>362148</v>
      </c>
      <c r="F94" s="393"/>
      <c r="G94" s="29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0"/>
      <c r="B95" s="10" t="s">
        <v>428</v>
      </c>
      <c r="C95" s="19" t="e">
        <f>SUM('4. Átadott p.eszk.'!B69)</f>
        <v>#REF!</v>
      </c>
      <c r="D95" s="19" t="e">
        <f>SUM('4. Átadott p.eszk.'!C69)</f>
        <v>#REF!</v>
      </c>
      <c r="E95" s="19">
        <f>SUM('4. Átadott p.eszk.'!D69)</f>
        <v>317687</v>
      </c>
      <c r="F95" s="393"/>
      <c r="G95" s="29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0"/>
      <c r="B96" s="30" t="s">
        <v>429</v>
      </c>
      <c r="C96" s="599">
        <f>(49591+3350)-508-1080-3747-400-1930-200-749-445-1197-950-411-430+725+308-5645</f>
        <v>36282</v>
      </c>
      <c r="D96" s="599">
        <f>(49591+3350)-508-1080-3747-400-1930-200-749-445-1197-950-411-430+725+308-5645-5080-1500+193-4850+5144+6982-819+761+1890+2354+3597+1002+332-36-111-340-1136+7234-349-956-83-13-468-3387-1000-1545-1848-375</f>
        <v>41875</v>
      </c>
      <c r="E96" s="599">
        <f>(59044+1500+2000-201-14590-3000-72-220)</f>
        <v>44461</v>
      </c>
      <c r="F96" s="393"/>
      <c r="G96" s="29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6.25" customHeight="1">
      <c r="A97" s="20"/>
      <c r="B97" s="817" t="s">
        <v>1082</v>
      </c>
      <c r="C97" s="97">
        <v>3350</v>
      </c>
      <c r="D97" s="97">
        <v>3350</v>
      </c>
      <c r="E97" s="97"/>
      <c r="F97" s="393"/>
      <c r="G97" s="29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8" customHeight="1">
      <c r="A98" s="20" t="s">
        <v>251</v>
      </c>
      <c r="B98" s="322" t="s">
        <v>443</v>
      </c>
      <c r="C98" s="58">
        <f aca="true" t="shared" si="1" ref="C98:E99">SUM(C99)</f>
        <v>13582</v>
      </c>
      <c r="D98" s="58">
        <f t="shared" si="1"/>
        <v>13582</v>
      </c>
      <c r="E98" s="58">
        <f t="shared" si="1"/>
        <v>14104</v>
      </c>
      <c r="F98" s="393"/>
      <c r="G98" s="29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0"/>
      <c r="B99" s="355" t="s">
        <v>486</v>
      </c>
      <c r="C99" s="58">
        <f t="shared" si="1"/>
        <v>13582</v>
      </c>
      <c r="D99" s="58">
        <f t="shared" si="1"/>
        <v>13582</v>
      </c>
      <c r="E99" s="58">
        <f t="shared" si="1"/>
        <v>14104</v>
      </c>
      <c r="F99" s="393"/>
      <c r="G99" s="29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.5" customHeight="1" thickBot="1">
      <c r="A100" s="20" t="s">
        <v>494</v>
      </c>
      <c r="B100" s="10" t="s">
        <v>498</v>
      </c>
      <c r="C100" s="19">
        <v>13582</v>
      </c>
      <c r="D100" s="19">
        <v>13582</v>
      </c>
      <c r="E100" s="19">
        <v>14104</v>
      </c>
      <c r="F100" s="393"/>
      <c r="G100" s="29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hidden="1">
      <c r="A101" s="20"/>
      <c r="B101" s="355" t="s">
        <v>488</v>
      </c>
      <c r="C101" s="58"/>
      <c r="D101" s="58"/>
      <c r="E101" s="58"/>
      <c r="F101" s="393"/>
      <c r="G101" s="29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hidden="1" thickBot="1">
      <c r="A102" s="33"/>
      <c r="B102" s="353" t="s">
        <v>489</v>
      </c>
      <c r="C102" s="320"/>
      <c r="D102" s="320"/>
      <c r="E102" s="320"/>
      <c r="F102" s="393"/>
      <c r="G102" s="29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1.75" customHeight="1" thickBot="1">
      <c r="A103" s="422"/>
      <c r="B103" s="423" t="s">
        <v>34</v>
      </c>
      <c r="C103" s="335" t="e">
        <f>SUM(C83+C98)</f>
        <v>#REF!</v>
      </c>
      <c r="D103" s="335" t="e">
        <f>SUM(D83+D98)</f>
        <v>#REF!</v>
      </c>
      <c r="E103" s="63">
        <f>SUM(E83+E98)</f>
        <v>957201.270511811</v>
      </c>
      <c r="F103" s="393"/>
      <c r="G103" s="29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 ht="15.75" customHeight="1">
      <c r="B104" s="306" t="s">
        <v>740</v>
      </c>
      <c r="C104" s="601" t="e">
        <f>SUM(C82-C103)</f>
        <v>#REF!</v>
      </c>
      <c r="D104" s="601" t="e">
        <f>SUM(D82-D103)</f>
        <v>#REF!</v>
      </c>
      <c r="E104" s="601">
        <f>SUM(E82-E103)</f>
        <v>51571.72948818898</v>
      </c>
      <c r="F104" s="393"/>
      <c r="G104" s="29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 ht="15.75" customHeight="1">
      <c r="B105" s="306"/>
      <c r="C105" s="601"/>
      <c r="D105" s="601"/>
      <c r="E105" s="601"/>
      <c r="F105" s="393"/>
      <c r="G105" s="29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5.75" customHeight="1">
      <c r="C106" s="2"/>
      <c r="D106" s="2"/>
      <c r="E106" s="2"/>
      <c r="F106" s="295"/>
      <c r="G106" s="29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5.75" customHeight="1">
      <c r="C107" s="2"/>
      <c r="D107" s="2"/>
      <c r="E107" s="2"/>
      <c r="F107" s="295"/>
      <c r="G107" s="29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5.75" customHeight="1">
      <c r="C108" s="2"/>
      <c r="D108" s="2"/>
      <c r="E108" s="2"/>
      <c r="F108" s="295"/>
      <c r="G108" s="29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5.75" customHeight="1">
      <c r="C109" s="2"/>
      <c r="D109" s="2"/>
      <c r="E109" s="2"/>
      <c r="F109" s="295"/>
      <c r="G109" s="29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 ht="15.75" customHeight="1">
      <c r="B110" s="2"/>
      <c r="C110" s="2"/>
      <c r="D110" s="2"/>
      <c r="E110" s="2"/>
      <c r="F110" s="295"/>
      <c r="G110" s="29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 ht="15.75" customHeight="1">
      <c r="B111" s="2"/>
      <c r="C111" s="2"/>
      <c r="D111" s="2"/>
      <c r="E111" s="2"/>
      <c r="F111" s="295"/>
      <c r="G111" s="29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 ht="15.75" customHeight="1">
      <c r="B112" s="2"/>
      <c r="C112" s="2"/>
      <c r="D112" s="2"/>
      <c r="E112" s="2"/>
      <c r="F112" s="295"/>
      <c r="G112" s="29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 ht="15.75" customHeight="1">
      <c r="B113" s="2"/>
      <c r="C113" s="2"/>
      <c r="D113" s="2"/>
      <c r="E113" s="2"/>
      <c r="F113" s="295"/>
      <c r="G113" s="29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15.75" customHeight="1">
      <c r="B114" s="2"/>
      <c r="C114" s="2"/>
      <c r="D114" s="2"/>
      <c r="E114" s="2"/>
      <c r="F114" s="295"/>
      <c r="G114" s="29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 ht="15.75" customHeight="1">
      <c r="B115" s="2"/>
      <c r="C115" s="2"/>
      <c r="D115" s="2"/>
      <c r="E115" s="2"/>
      <c r="F115" s="295"/>
      <c r="G115" s="29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 ht="15.75" customHeight="1">
      <c r="B116" s="2"/>
      <c r="C116" s="2"/>
      <c r="D116" s="2"/>
      <c r="E116" s="2"/>
      <c r="F116" s="295"/>
      <c r="G116" s="29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ht="15.75" customHeight="1">
      <c r="B117" s="2"/>
      <c r="C117" s="2"/>
      <c r="D117" s="2"/>
      <c r="E117" s="2"/>
      <c r="F117" s="295"/>
      <c r="G117" s="29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 ht="15.75" customHeight="1">
      <c r="B118" s="2"/>
      <c r="C118" s="2"/>
      <c r="D118" s="2"/>
      <c r="E118" s="2"/>
      <c r="F118" s="295"/>
      <c r="G118" s="29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 ht="15.75" customHeight="1">
      <c r="B119" s="2"/>
      <c r="C119" s="2"/>
      <c r="D119" s="2"/>
      <c r="E119" s="2"/>
      <c r="F119" s="295"/>
      <c r="G119" s="29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ht="15.75" customHeight="1">
      <c r="B120" s="2"/>
      <c r="C120" s="2"/>
      <c r="D120" s="2"/>
      <c r="E120" s="2"/>
      <c r="F120" s="295"/>
      <c r="G120" s="29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 ht="15.75" customHeight="1">
      <c r="B121" s="2"/>
      <c r="C121" s="2"/>
      <c r="D121" s="2"/>
      <c r="E121" s="2"/>
      <c r="F121" s="295"/>
      <c r="G121" s="29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 ht="15.75" customHeight="1">
      <c r="B122" s="2"/>
      <c r="C122" s="2"/>
      <c r="D122" s="2"/>
      <c r="E122" s="2"/>
      <c r="F122" s="295"/>
      <c r="G122" s="29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 ht="15.75" customHeight="1">
      <c r="B123" s="2"/>
      <c r="C123" s="2"/>
      <c r="D123" s="2"/>
      <c r="E123" s="2"/>
      <c r="F123" s="295"/>
      <c r="G123" s="29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 ht="15.75" customHeight="1">
      <c r="B124" s="2"/>
      <c r="C124" s="2"/>
      <c r="D124" s="2"/>
      <c r="E124" s="2"/>
      <c r="F124" s="295"/>
      <c r="G124" s="29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 ht="15.75" customHeight="1">
      <c r="B125" s="2"/>
      <c r="C125" s="2"/>
      <c r="D125" s="2"/>
      <c r="E125" s="2"/>
      <c r="F125" s="295"/>
      <c r="G125" s="29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 ht="15.75" customHeight="1">
      <c r="B126" s="2"/>
      <c r="C126" s="2"/>
      <c r="D126" s="2"/>
      <c r="E126" s="2"/>
      <c r="F126" s="295"/>
      <c r="G126" s="29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 ht="15.75" customHeight="1">
      <c r="B127" s="2"/>
      <c r="C127" s="2"/>
      <c r="D127" s="2"/>
      <c r="E127" s="2"/>
      <c r="F127" s="295"/>
      <c r="G127" s="29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 ht="15.75" customHeight="1">
      <c r="B128" s="2"/>
      <c r="C128" s="2"/>
      <c r="D128" s="2"/>
      <c r="E128" s="2"/>
      <c r="F128" s="295"/>
      <c r="G128" s="29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5.75" customHeight="1">
      <c r="B129" s="2"/>
      <c r="C129" s="2"/>
      <c r="D129" s="2"/>
      <c r="E129" s="2"/>
      <c r="F129" s="295"/>
      <c r="G129" s="29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 ht="15.75" customHeight="1">
      <c r="B130" s="2"/>
      <c r="C130" s="2"/>
      <c r="D130" s="2"/>
      <c r="E130" s="2"/>
      <c r="F130" s="295"/>
      <c r="G130" s="29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 ht="15.75" customHeight="1">
      <c r="B131" s="2"/>
      <c r="C131" s="2"/>
      <c r="D131" s="2"/>
      <c r="E131" s="2"/>
      <c r="F131" s="295"/>
      <c r="G131" s="29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 ht="15.75" customHeight="1">
      <c r="B132" s="2"/>
      <c r="C132" s="2"/>
      <c r="D132" s="2"/>
      <c r="E132" s="2"/>
      <c r="F132" s="295"/>
      <c r="G132" s="29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 ht="15.75" customHeight="1">
      <c r="B133" s="2"/>
      <c r="C133" s="2"/>
      <c r="D133" s="2"/>
      <c r="E133" s="2"/>
      <c r="F133" s="295"/>
      <c r="G133" s="29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 ht="15.75" customHeight="1">
      <c r="B134" s="2"/>
      <c r="C134" s="2"/>
      <c r="D134" s="2"/>
      <c r="E134" s="2"/>
      <c r="F134" s="295"/>
      <c r="G134" s="29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 ht="15.75" customHeight="1">
      <c r="B135" s="2"/>
      <c r="C135" s="2"/>
      <c r="D135" s="2"/>
      <c r="E135" s="2"/>
      <c r="F135" s="295"/>
      <c r="G135" s="29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 ht="15.75" customHeight="1">
      <c r="B136" s="2"/>
      <c r="C136" s="2"/>
      <c r="D136" s="2"/>
      <c r="E136" s="2"/>
      <c r="F136" s="295"/>
      <c r="G136" s="29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 ht="15.75" customHeight="1">
      <c r="B137" s="2"/>
      <c r="C137" s="2"/>
      <c r="D137" s="2"/>
      <c r="E137" s="2"/>
      <c r="F137" s="295"/>
      <c r="G137" s="29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 ht="15.75" customHeight="1">
      <c r="B138" s="2"/>
      <c r="C138" s="2"/>
      <c r="D138" s="2"/>
      <c r="E138" s="2"/>
      <c r="F138" s="295"/>
      <c r="G138" s="29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 ht="15.75" customHeight="1">
      <c r="B139" s="2"/>
      <c r="C139" s="2"/>
      <c r="D139" s="2"/>
      <c r="E139" s="2"/>
      <c r="F139" s="295"/>
      <c r="G139" s="29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 ht="15.75" customHeight="1">
      <c r="B140" s="2"/>
      <c r="C140" s="2"/>
      <c r="D140" s="2"/>
      <c r="E140" s="2"/>
      <c r="F140" s="295"/>
      <c r="G140" s="29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 ht="15.75" customHeight="1">
      <c r="B141" s="2"/>
      <c r="C141" s="2"/>
      <c r="D141" s="2"/>
      <c r="E141" s="2"/>
      <c r="F141" s="295"/>
      <c r="G141" s="29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ht="15.75" customHeight="1">
      <c r="B142" s="2"/>
      <c r="C142" s="2"/>
      <c r="D142" s="2"/>
      <c r="E142" s="2"/>
      <c r="F142" s="295"/>
      <c r="G142" s="29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 ht="15.75" customHeight="1">
      <c r="B143" s="2"/>
      <c r="C143" s="2"/>
      <c r="D143" s="2"/>
      <c r="E143" s="2"/>
      <c r="F143" s="295"/>
      <c r="G143" s="29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 ht="15.75" customHeight="1">
      <c r="B144" s="2"/>
      <c r="C144" s="2"/>
      <c r="D144" s="2"/>
      <c r="E144" s="2"/>
      <c r="F144" s="295"/>
      <c r="G144" s="29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 ht="15.75" customHeight="1">
      <c r="B145" s="2"/>
      <c r="C145" s="2"/>
      <c r="D145" s="2"/>
      <c r="E145" s="2"/>
      <c r="F145" s="295"/>
      <c r="G145" s="29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 ht="15.75" customHeight="1">
      <c r="B146" s="2"/>
      <c r="C146" s="2"/>
      <c r="D146" s="2"/>
      <c r="E146" s="2"/>
      <c r="F146" s="295"/>
      <c r="G146" s="29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 ht="15.75" customHeight="1">
      <c r="B147" s="2"/>
      <c r="C147" s="2"/>
      <c r="D147" s="2"/>
      <c r="E147" s="2"/>
      <c r="F147" s="295"/>
      <c r="G147" s="29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ht="15.75" customHeight="1">
      <c r="B148" s="2"/>
      <c r="C148" s="2"/>
      <c r="D148" s="2"/>
      <c r="E148" s="2"/>
      <c r="F148" s="295"/>
      <c r="G148" s="29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 ht="15.75" customHeight="1">
      <c r="B149" s="2"/>
      <c r="C149" s="2"/>
      <c r="D149" s="2"/>
      <c r="E149" s="2"/>
      <c r="F149" s="295"/>
      <c r="G149" s="29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 ht="15.75" customHeight="1">
      <c r="B150" s="2"/>
      <c r="C150" s="2"/>
      <c r="D150" s="2"/>
      <c r="E150" s="2"/>
      <c r="F150" s="295"/>
      <c r="G150" s="29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 ht="15.75" customHeight="1">
      <c r="B151" s="2"/>
      <c r="C151" s="2"/>
      <c r="D151" s="2"/>
      <c r="E151" s="2"/>
      <c r="F151" s="295"/>
      <c r="G151" s="29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 ht="15.75" customHeight="1">
      <c r="B152" s="2"/>
      <c r="C152" s="2"/>
      <c r="D152" s="2"/>
      <c r="E152" s="2"/>
      <c r="F152" s="295"/>
      <c r="G152" s="29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 ht="15.75" customHeight="1">
      <c r="B153" s="2"/>
      <c r="C153" s="2"/>
      <c r="D153" s="2"/>
      <c r="E153" s="2"/>
      <c r="F153" s="295"/>
      <c r="G153" s="29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 ht="15.75" customHeight="1">
      <c r="B154" s="2"/>
      <c r="C154" s="2"/>
      <c r="D154" s="2"/>
      <c r="E154" s="2"/>
      <c r="F154" s="295"/>
      <c r="G154" s="29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 ht="15.75" customHeight="1">
      <c r="B155" s="2"/>
      <c r="C155" s="2"/>
      <c r="D155" s="2"/>
      <c r="E155" s="2"/>
      <c r="F155" s="295"/>
      <c r="G155" s="29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 ht="15.75" customHeight="1">
      <c r="B156" s="2"/>
      <c r="C156" s="2"/>
      <c r="D156" s="2"/>
      <c r="E156" s="2"/>
      <c r="F156" s="295"/>
      <c r="G156" s="29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 ht="15.75" customHeight="1">
      <c r="B157" s="2"/>
      <c r="C157" s="2"/>
      <c r="D157" s="2"/>
      <c r="E157" s="2"/>
      <c r="F157" s="295"/>
      <c r="G157" s="29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 ht="15.75" customHeight="1">
      <c r="B158" s="2"/>
      <c r="C158" s="2"/>
      <c r="D158" s="2"/>
      <c r="E158" s="2"/>
      <c r="F158" s="295"/>
      <c r="G158" s="29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 ht="15.75" customHeight="1">
      <c r="B159" s="2"/>
      <c r="C159" s="2"/>
      <c r="D159" s="2"/>
      <c r="E159" s="2"/>
      <c r="F159" s="295"/>
      <c r="G159" s="29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4" ht="15.75" customHeight="1">
      <c r="B160" s="2"/>
      <c r="C160" s="2"/>
      <c r="D160" s="2"/>
      <c r="E160" s="2"/>
      <c r="F160" s="295"/>
      <c r="G160" s="29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2:24" ht="15.75" customHeight="1">
      <c r="B161" s="2"/>
      <c r="C161" s="2"/>
      <c r="D161" s="2"/>
      <c r="E161" s="2"/>
      <c r="F161" s="295"/>
      <c r="G161" s="29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2:24" ht="15.75" customHeight="1">
      <c r="B162" s="2"/>
      <c r="C162" s="2"/>
      <c r="D162" s="2"/>
      <c r="E162" s="2"/>
      <c r="F162" s="295"/>
      <c r="G162" s="29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2:24" ht="15.75" customHeight="1">
      <c r="B163" s="2"/>
      <c r="C163" s="2"/>
      <c r="D163" s="2"/>
      <c r="E163" s="2"/>
      <c r="F163" s="295"/>
      <c r="G163" s="29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t="15.75" customHeight="1">
      <c r="B164" s="2"/>
      <c r="C164" s="2"/>
      <c r="D164" s="2"/>
      <c r="E164" s="2"/>
      <c r="F164" s="295"/>
      <c r="G164" s="29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2:24" ht="15.75" customHeight="1">
      <c r="B165" s="2"/>
      <c r="C165" s="2"/>
      <c r="D165" s="2"/>
      <c r="E165" s="2"/>
      <c r="F165" s="295"/>
      <c r="G165" s="29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2:24" ht="15.75" customHeight="1">
      <c r="B166" s="2"/>
      <c r="C166" s="2"/>
      <c r="D166" s="2"/>
      <c r="E166" s="2"/>
      <c r="F166" s="295"/>
      <c r="G166" s="29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2:24" ht="15.75" customHeight="1">
      <c r="B167" s="2"/>
      <c r="C167" s="2"/>
      <c r="D167" s="2"/>
      <c r="E167" s="2"/>
      <c r="F167" s="295"/>
      <c r="G167" s="29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2:24" ht="15.75" customHeight="1">
      <c r="B168" s="2"/>
      <c r="C168" s="2"/>
      <c r="D168" s="2"/>
      <c r="E168" s="2"/>
      <c r="F168" s="295"/>
      <c r="G168" s="29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5.75" customHeight="1">
      <c r="B169" s="2"/>
      <c r="C169" s="2"/>
      <c r="D169" s="2"/>
      <c r="E169" s="2"/>
      <c r="F169" s="295"/>
      <c r="G169" s="29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5.75" customHeight="1">
      <c r="B170" s="2"/>
      <c r="C170" s="2"/>
      <c r="D170" s="2"/>
      <c r="E170" s="2"/>
      <c r="F170" s="295"/>
      <c r="G170" s="29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5.75" customHeight="1">
      <c r="B171" s="2"/>
      <c r="C171" s="2"/>
      <c r="D171" s="2"/>
      <c r="E171" s="2"/>
      <c r="F171" s="295"/>
      <c r="G171" s="29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5.75" customHeight="1">
      <c r="B172" s="2"/>
      <c r="C172" s="2"/>
      <c r="D172" s="2"/>
      <c r="E172" s="2"/>
      <c r="F172" s="295"/>
      <c r="G172" s="29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5.75" customHeight="1">
      <c r="B173" s="2"/>
      <c r="C173" s="2"/>
      <c r="D173" s="2"/>
      <c r="E173" s="2"/>
      <c r="F173" s="295"/>
      <c r="G173" s="29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5.75" customHeight="1">
      <c r="B174" s="2"/>
      <c r="C174" s="2"/>
      <c r="D174" s="2"/>
      <c r="E174" s="2"/>
      <c r="F174" s="295"/>
      <c r="G174" s="29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5.75" customHeight="1">
      <c r="B175" s="2"/>
      <c r="C175" s="2"/>
      <c r="D175" s="2"/>
      <c r="E175" s="2"/>
      <c r="F175" s="295"/>
      <c r="G175" s="29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5.75" customHeight="1">
      <c r="B176" s="2"/>
      <c r="C176" s="2"/>
      <c r="D176" s="2"/>
      <c r="E176" s="2"/>
      <c r="F176" s="295"/>
      <c r="G176" s="29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5.75" customHeight="1">
      <c r="B177" s="2"/>
      <c r="C177" s="2"/>
      <c r="D177" s="2"/>
      <c r="E177" s="2"/>
      <c r="F177" s="295"/>
      <c r="G177" s="29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5.75" customHeight="1">
      <c r="B178" s="2"/>
      <c r="C178" s="2"/>
      <c r="D178" s="2"/>
      <c r="E178" s="2"/>
      <c r="F178" s="295"/>
      <c r="G178" s="29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5.75" customHeight="1">
      <c r="B179" s="2"/>
      <c r="C179" s="2"/>
      <c r="D179" s="2"/>
      <c r="E179" s="2"/>
      <c r="F179" s="295"/>
      <c r="G179" s="29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5.75" customHeight="1">
      <c r="B180" s="2"/>
      <c r="C180" s="2"/>
      <c r="D180" s="2"/>
      <c r="E180" s="2"/>
      <c r="F180" s="295"/>
      <c r="G180" s="29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5.75" customHeight="1">
      <c r="B181" s="2"/>
      <c r="C181" s="2"/>
      <c r="D181" s="2"/>
      <c r="E181" s="2"/>
      <c r="F181" s="295"/>
      <c r="G181" s="29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5.75" customHeight="1">
      <c r="B182" s="2"/>
      <c r="C182" s="2"/>
      <c r="D182" s="2"/>
      <c r="E182" s="2"/>
      <c r="F182" s="295"/>
      <c r="G182" s="29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5.75" customHeight="1">
      <c r="B183" s="2"/>
      <c r="C183" s="2"/>
      <c r="D183" s="2"/>
      <c r="E183" s="2"/>
      <c r="F183" s="295"/>
      <c r="G183" s="29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5.75" customHeight="1">
      <c r="B184" s="2"/>
      <c r="C184" s="2"/>
      <c r="D184" s="2"/>
      <c r="E184" s="2"/>
      <c r="F184" s="295"/>
      <c r="G184" s="29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5.75" customHeight="1">
      <c r="B185" s="2"/>
      <c r="C185" s="2"/>
      <c r="D185" s="2"/>
      <c r="E185" s="2"/>
      <c r="F185" s="295"/>
      <c r="G185" s="29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5.75" customHeight="1">
      <c r="B186" s="2"/>
      <c r="C186" s="2"/>
      <c r="D186" s="2"/>
      <c r="E186" s="2"/>
      <c r="F186" s="295"/>
      <c r="G186" s="29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5.75" customHeight="1">
      <c r="B187" s="2"/>
      <c r="C187" s="2"/>
      <c r="D187" s="2"/>
      <c r="E187" s="2"/>
      <c r="F187" s="295"/>
      <c r="G187" s="29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5.75" customHeight="1">
      <c r="B188" s="2"/>
      <c r="C188" s="2"/>
      <c r="D188" s="2"/>
      <c r="E188" s="2"/>
      <c r="F188" s="295"/>
      <c r="G188" s="29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5.75" customHeight="1">
      <c r="B189" s="2"/>
      <c r="C189" s="43"/>
      <c r="D189" s="43"/>
      <c r="E189" s="43"/>
      <c r="F189" s="295"/>
      <c r="G189" s="29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5.75" customHeight="1">
      <c r="B190" s="2"/>
      <c r="C190" s="43"/>
      <c r="D190" s="43"/>
      <c r="E190" s="43"/>
      <c r="F190" s="295"/>
      <c r="G190" s="29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5.75" customHeight="1">
      <c r="B191" s="2"/>
      <c r="C191" s="43"/>
      <c r="D191" s="43"/>
      <c r="E191" s="43"/>
      <c r="F191" s="295"/>
      <c r="G191" s="29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5.75" customHeight="1">
      <c r="B192" s="2"/>
      <c r="C192" s="43"/>
      <c r="D192" s="43"/>
      <c r="E192" s="43"/>
      <c r="F192" s="295"/>
      <c r="G192" s="29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5.75" customHeight="1">
      <c r="B193" s="2"/>
      <c r="C193" s="43"/>
      <c r="D193" s="43"/>
      <c r="E193" s="43"/>
      <c r="F193" s="295"/>
      <c r="G193" s="29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5.75" customHeight="1">
      <c r="B194" s="2"/>
      <c r="C194" s="43"/>
      <c r="D194" s="43"/>
      <c r="E194" s="43"/>
      <c r="F194" s="295"/>
      <c r="G194" s="29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5.75" customHeight="1">
      <c r="B195" s="2"/>
      <c r="C195" s="43"/>
      <c r="D195" s="43"/>
      <c r="E195" s="43"/>
      <c r="F195" s="295"/>
      <c r="G195" s="29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5.75" customHeight="1">
      <c r="B196" s="2"/>
      <c r="C196" s="43"/>
      <c r="D196" s="43"/>
      <c r="E196" s="43"/>
      <c r="F196" s="295"/>
      <c r="G196" s="29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5.75" customHeight="1">
      <c r="B197" s="2"/>
      <c r="C197" s="43"/>
      <c r="D197" s="43"/>
      <c r="E197" s="43"/>
      <c r="F197" s="295"/>
      <c r="G197" s="29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5.75" customHeight="1">
      <c r="B198" s="2"/>
      <c r="C198" s="43"/>
      <c r="D198" s="43"/>
      <c r="E198" s="43"/>
      <c r="F198" s="295"/>
      <c r="G198" s="29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5.75" customHeight="1">
      <c r="B199" s="2"/>
      <c r="C199" s="43"/>
      <c r="D199" s="43"/>
      <c r="E199" s="43"/>
      <c r="F199" s="295"/>
      <c r="G199" s="29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5.75" customHeight="1">
      <c r="B200" s="2"/>
      <c r="C200" s="43"/>
      <c r="D200" s="43"/>
      <c r="E200" s="43"/>
      <c r="F200" s="295"/>
      <c r="G200" s="29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5.75" customHeight="1">
      <c r="B201" s="2"/>
      <c r="C201" s="43"/>
      <c r="D201" s="43"/>
      <c r="E201" s="43"/>
      <c r="F201" s="295"/>
      <c r="G201" s="29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5.75" customHeight="1">
      <c r="B202" s="2"/>
      <c r="C202" s="43"/>
      <c r="D202" s="43"/>
      <c r="E202" s="43"/>
      <c r="F202" s="295"/>
      <c r="G202" s="29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5.75" customHeight="1">
      <c r="B203" s="2"/>
      <c r="C203" s="43"/>
      <c r="D203" s="43"/>
      <c r="E203" s="43"/>
      <c r="F203" s="295"/>
      <c r="G203" s="29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5.75" customHeight="1">
      <c r="B204" s="2"/>
      <c r="C204" s="43"/>
      <c r="D204" s="43"/>
      <c r="E204" s="43"/>
      <c r="F204" s="295"/>
      <c r="G204" s="29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5.75" customHeight="1">
      <c r="B205" s="2"/>
      <c r="C205" s="43"/>
      <c r="D205" s="43"/>
      <c r="E205" s="43"/>
      <c r="F205" s="295"/>
      <c r="G205" s="29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5.75" customHeight="1">
      <c r="B206" s="2"/>
      <c r="C206" s="43"/>
      <c r="D206" s="43"/>
      <c r="E206" s="43"/>
      <c r="F206" s="295"/>
      <c r="G206" s="29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5.75" customHeight="1">
      <c r="B207" s="2"/>
      <c r="C207" s="43"/>
      <c r="D207" s="43"/>
      <c r="E207" s="43"/>
      <c r="F207" s="295"/>
      <c r="G207" s="29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5.75" customHeight="1">
      <c r="B208" s="2"/>
      <c r="C208" s="43"/>
      <c r="D208" s="43"/>
      <c r="E208" s="43"/>
      <c r="F208" s="295"/>
      <c r="G208" s="29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5.75" customHeight="1">
      <c r="B209" s="2"/>
      <c r="C209" s="43"/>
      <c r="D209" s="43"/>
      <c r="E209" s="43"/>
      <c r="F209" s="295"/>
      <c r="G209" s="29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5.75" customHeight="1">
      <c r="B210" s="2"/>
      <c r="C210" s="43"/>
      <c r="D210" s="43"/>
      <c r="E210" s="43"/>
      <c r="F210" s="295"/>
      <c r="G210" s="29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5.75" customHeight="1">
      <c r="B211" s="2"/>
      <c r="C211" s="43"/>
      <c r="D211" s="43"/>
      <c r="E211" s="43"/>
      <c r="F211" s="295"/>
      <c r="G211" s="29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5.75" customHeight="1">
      <c r="B212" s="2"/>
      <c r="C212" s="43"/>
      <c r="D212" s="43"/>
      <c r="E212" s="43"/>
      <c r="F212" s="295"/>
      <c r="G212" s="29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5.75" customHeight="1">
      <c r="B213" s="2"/>
      <c r="C213" s="43"/>
      <c r="D213" s="43"/>
      <c r="E213" s="43"/>
      <c r="F213" s="295"/>
      <c r="G213" s="29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5.75" customHeight="1">
      <c r="B214" s="2"/>
      <c r="C214" s="43"/>
      <c r="D214" s="43"/>
      <c r="E214" s="43"/>
      <c r="F214" s="295"/>
      <c r="G214" s="29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5.75" customHeight="1">
      <c r="B215" s="2"/>
      <c r="C215" s="43"/>
      <c r="D215" s="43"/>
      <c r="E215" s="43"/>
      <c r="F215" s="295"/>
      <c r="G215" s="29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5.75" customHeight="1">
      <c r="B216" s="2"/>
      <c r="C216" s="43"/>
      <c r="D216" s="43"/>
      <c r="E216" s="43"/>
      <c r="F216" s="295"/>
      <c r="G216" s="29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5.75" customHeight="1">
      <c r="B217" s="2"/>
      <c r="C217" s="43"/>
      <c r="D217" s="43"/>
      <c r="E217" s="43"/>
      <c r="F217" s="295"/>
      <c r="G217" s="29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5.75" customHeight="1">
      <c r="B218" s="2"/>
      <c r="C218" s="43"/>
      <c r="D218" s="43"/>
      <c r="E218" s="43"/>
      <c r="F218" s="295"/>
      <c r="G218" s="29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5.75" customHeight="1">
      <c r="B219" s="2"/>
      <c r="C219" s="43"/>
      <c r="D219" s="43"/>
      <c r="E219" s="43"/>
      <c r="F219" s="295"/>
      <c r="G219" s="29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5.75" customHeight="1">
      <c r="B220" s="2"/>
      <c r="C220" s="43"/>
      <c r="D220" s="43"/>
      <c r="E220" s="43"/>
      <c r="F220" s="295"/>
      <c r="G220" s="29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5.75" customHeight="1">
      <c r="B221" s="2"/>
      <c r="C221" s="43"/>
      <c r="D221" s="43"/>
      <c r="E221" s="43"/>
      <c r="F221" s="295"/>
      <c r="G221" s="29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5.75" customHeight="1">
      <c r="B222" s="2"/>
      <c r="C222" s="43"/>
      <c r="D222" s="43"/>
      <c r="E222" s="43"/>
      <c r="F222" s="295"/>
      <c r="G222" s="29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5.75" customHeight="1">
      <c r="B223" s="2"/>
      <c r="C223" s="43"/>
      <c r="D223" s="43"/>
      <c r="E223" s="43"/>
      <c r="F223" s="295"/>
      <c r="G223" s="29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5.75" customHeight="1">
      <c r="B224" s="2"/>
      <c r="C224" s="43"/>
      <c r="D224" s="43"/>
      <c r="E224" s="43"/>
      <c r="F224" s="295"/>
      <c r="G224" s="29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5.75" customHeight="1">
      <c r="B225" s="2"/>
      <c r="C225" s="43"/>
      <c r="D225" s="43"/>
      <c r="E225" s="43"/>
      <c r="F225" s="295"/>
      <c r="G225" s="29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5.75" customHeight="1">
      <c r="B226" s="2"/>
      <c r="C226" s="43"/>
      <c r="D226" s="43"/>
      <c r="E226" s="43"/>
      <c r="F226" s="295"/>
      <c r="G226" s="29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5.75" customHeight="1">
      <c r="B227" s="2"/>
      <c r="C227" s="43"/>
      <c r="D227" s="43"/>
      <c r="E227" s="43"/>
      <c r="F227" s="295"/>
      <c r="G227" s="29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5.75" customHeight="1">
      <c r="B228" s="2"/>
      <c r="C228" s="43"/>
      <c r="D228" s="43"/>
      <c r="E228" s="43"/>
      <c r="F228" s="295"/>
      <c r="G228" s="29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5.75" customHeight="1">
      <c r="B229" s="2"/>
      <c r="C229" s="43"/>
      <c r="D229" s="43"/>
      <c r="E229" s="43"/>
      <c r="F229" s="295"/>
      <c r="G229" s="29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5.75" customHeight="1">
      <c r="B230" s="2"/>
      <c r="C230" s="43"/>
      <c r="D230" s="43"/>
      <c r="E230" s="43"/>
      <c r="F230" s="295"/>
      <c r="G230" s="29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5.75" customHeight="1">
      <c r="B231" s="2"/>
      <c r="C231" s="43"/>
      <c r="D231" s="43"/>
      <c r="E231" s="43"/>
      <c r="F231" s="295"/>
      <c r="G231" s="29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5.75" customHeight="1">
      <c r="B232" s="2"/>
      <c r="C232" s="43"/>
      <c r="D232" s="43"/>
      <c r="E232" s="43"/>
      <c r="F232" s="295"/>
      <c r="G232" s="29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5.75" customHeight="1">
      <c r="B233" s="2"/>
      <c r="C233" s="43"/>
      <c r="D233" s="43"/>
      <c r="E233" s="43"/>
      <c r="F233" s="295"/>
      <c r="G233" s="29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5.75" customHeight="1">
      <c r="B234" s="2"/>
      <c r="C234" s="43"/>
      <c r="D234" s="43"/>
      <c r="E234" s="43"/>
      <c r="F234" s="295"/>
      <c r="G234" s="29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5.75" customHeight="1">
      <c r="B235" s="2"/>
      <c r="C235" s="43"/>
      <c r="D235" s="43"/>
      <c r="E235" s="43"/>
      <c r="F235" s="295"/>
      <c r="G235" s="29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5.75" customHeight="1">
      <c r="B236" s="2"/>
      <c r="C236" s="43"/>
      <c r="D236" s="43"/>
      <c r="E236" s="43"/>
      <c r="F236" s="295"/>
      <c r="G236" s="29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5.75" customHeight="1">
      <c r="B237" s="2"/>
      <c r="C237" s="43"/>
      <c r="D237" s="43"/>
      <c r="E237" s="43"/>
      <c r="F237" s="295"/>
      <c r="G237" s="29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5.75" customHeight="1">
      <c r="B238" s="2"/>
      <c r="C238" s="43"/>
      <c r="D238" s="43"/>
      <c r="E238" s="43"/>
      <c r="F238" s="295"/>
      <c r="G238" s="29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.75" customHeight="1">
      <c r="B239" s="2"/>
      <c r="C239" s="43"/>
      <c r="D239" s="43"/>
      <c r="E239" s="43"/>
      <c r="F239" s="295"/>
      <c r="G239" s="29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.75" customHeight="1">
      <c r="B240" s="2"/>
      <c r="C240" s="43"/>
      <c r="D240" s="43"/>
      <c r="E240" s="43"/>
      <c r="F240" s="295"/>
      <c r="G240" s="29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.75" customHeight="1">
      <c r="B241" s="2"/>
      <c r="C241" s="43"/>
      <c r="D241" s="43"/>
      <c r="E241" s="43"/>
      <c r="F241" s="295"/>
      <c r="G241" s="29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.75" customHeight="1">
      <c r="B242" s="2"/>
      <c r="C242" s="43"/>
      <c r="D242" s="43"/>
      <c r="E242" s="43"/>
      <c r="F242" s="295"/>
      <c r="G242" s="29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.75" customHeight="1">
      <c r="B243" s="2"/>
      <c r="C243" s="43"/>
      <c r="D243" s="43"/>
      <c r="E243" s="43"/>
      <c r="F243" s="295"/>
      <c r="G243" s="29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.75" customHeight="1">
      <c r="B244" s="2"/>
      <c r="C244" s="43"/>
      <c r="D244" s="43"/>
      <c r="E244" s="43"/>
      <c r="F244" s="295"/>
      <c r="G244" s="29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.75" customHeight="1">
      <c r="B245" s="2"/>
      <c r="C245" s="43"/>
      <c r="D245" s="43"/>
      <c r="E245" s="43"/>
      <c r="F245" s="295"/>
      <c r="G245" s="29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.75" customHeight="1">
      <c r="B246" s="2"/>
      <c r="C246" s="43"/>
      <c r="D246" s="43"/>
      <c r="E246" s="43"/>
      <c r="F246" s="295"/>
      <c r="G246" s="29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.75" customHeight="1">
      <c r="B247" s="2"/>
      <c r="C247" s="43"/>
      <c r="D247" s="43"/>
      <c r="E247" s="43"/>
      <c r="F247" s="295"/>
      <c r="G247" s="29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.75" customHeight="1">
      <c r="B248" s="2"/>
      <c r="C248" s="43"/>
      <c r="D248" s="43"/>
      <c r="E248" s="43"/>
      <c r="F248" s="295"/>
      <c r="G248" s="29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.75" customHeight="1">
      <c r="B249" s="2"/>
      <c r="C249" s="43"/>
      <c r="D249" s="43"/>
      <c r="E249" s="43"/>
      <c r="F249" s="295"/>
      <c r="G249" s="29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.75" customHeight="1">
      <c r="B250" s="2"/>
      <c r="C250" s="43"/>
      <c r="D250" s="43"/>
      <c r="E250" s="43"/>
      <c r="F250" s="295"/>
      <c r="G250" s="29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.75" customHeight="1">
      <c r="B251" s="2"/>
      <c r="C251" s="43"/>
      <c r="D251" s="43"/>
      <c r="E251" s="43"/>
      <c r="F251" s="295"/>
      <c r="G251" s="29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.75" customHeight="1">
      <c r="B252" s="2"/>
      <c r="C252" s="43"/>
      <c r="D252" s="43"/>
      <c r="E252" s="43"/>
      <c r="F252" s="295"/>
      <c r="G252" s="29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.75" customHeight="1">
      <c r="B253" s="2"/>
      <c r="C253" s="43"/>
      <c r="D253" s="43"/>
      <c r="E253" s="43"/>
      <c r="F253" s="295"/>
      <c r="G253" s="29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.75" customHeight="1">
      <c r="B254" s="2"/>
      <c r="C254" s="43"/>
      <c r="D254" s="43"/>
      <c r="E254" s="43"/>
      <c r="F254" s="295"/>
      <c r="G254" s="29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.75" customHeight="1">
      <c r="B255" s="2"/>
      <c r="C255" s="43"/>
      <c r="D255" s="43"/>
      <c r="E255" s="43"/>
      <c r="F255" s="295"/>
      <c r="G255" s="29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.75" customHeight="1">
      <c r="B256" s="2"/>
      <c r="C256" s="43"/>
      <c r="D256" s="43"/>
      <c r="E256" s="43"/>
      <c r="F256" s="295"/>
      <c r="G256" s="29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.75" customHeight="1">
      <c r="B257" s="2"/>
      <c r="C257" s="43"/>
      <c r="D257" s="43"/>
      <c r="E257" s="43"/>
      <c r="F257" s="295"/>
      <c r="G257" s="29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.75" customHeight="1">
      <c r="B258" s="2"/>
      <c r="C258" s="43"/>
      <c r="D258" s="43"/>
      <c r="E258" s="43"/>
      <c r="F258" s="295"/>
      <c r="G258" s="29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.75" customHeight="1">
      <c r="B259" s="2"/>
      <c r="C259" s="43"/>
      <c r="D259" s="43"/>
      <c r="E259" s="43"/>
      <c r="F259" s="295"/>
      <c r="G259" s="29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.75" customHeight="1">
      <c r="B260" s="2"/>
      <c r="C260" s="43"/>
      <c r="D260" s="43"/>
      <c r="E260" s="43"/>
      <c r="F260" s="295"/>
      <c r="G260" s="29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.75" customHeight="1">
      <c r="B261" s="2"/>
      <c r="C261" s="43"/>
      <c r="D261" s="43"/>
      <c r="E261" s="43"/>
      <c r="F261" s="295"/>
      <c r="G261" s="29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.75" customHeight="1">
      <c r="B262" s="2"/>
      <c r="C262" s="43"/>
      <c r="D262" s="43"/>
      <c r="E262" s="43"/>
      <c r="F262" s="295"/>
      <c r="G262" s="29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.75" customHeight="1">
      <c r="B263" s="2"/>
      <c r="C263" s="43"/>
      <c r="D263" s="43"/>
      <c r="E263" s="43"/>
      <c r="F263" s="295"/>
      <c r="G263" s="29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.75" customHeight="1">
      <c r="B264" s="2"/>
      <c r="C264" s="43"/>
      <c r="D264" s="43"/>
      <c r="E264" s="43"/>
      <c r="F264" s="295"/>
      <c r="G264" s="29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.75" customHeight="1">
      <c r="B265" s="2"/>
      <c r="C265" s="43"/>
      <c r="D265" s="43"/>
      <c r="E265" s="43"/>
      <c r="F265" s="295"/>
      <c r="G265" s="29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.75" customHeight="1">
      <c r="B266" s="2"/>
      <c r="C266" s="43"/>
      <c r="D266" s="43"/>
      <c r="E266" s="43"/>
      <c r="F266" s="295"/>
      <c r="G266" s="29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.75" customHeight="1">
      <c r="B267" s="2"/>
      <c r="C267" s="43"/>
      <c r="D267" s="43"/>
      <c r="E267" s="43"/>
      <c r="F267" s="295"/>
      <c r="G267" s="29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.75" customHeight="1">
      <c r="B268" s="2"/>
      <c r="C268" s="43"/>
      <c r="D268" s="43"/>
      <c r="E268" s="43"/>
      <c r="F268" s="295"/>
      <c r="G268" s="29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.75" customHeight="1">
      <c r="B269" s="2"/>
      <c r="C269" s="43"/>
      <c r="D269" s="43"/>
      <c r="E269" s="43"/>
      <c r="F269" s="295"/>
      <c r="G269" s="29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.75" customHeight="1">
      <c r="B270" s="2"/>
      <c r="C270" s="43"/>
      <c r="D270" s="43"/>
      <c r="E270" s="43"/>
      <c r="F270" s="295"/>
      <c r="G270" s="29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.75" customHeight="1">
      <c r="B271" s="2"/>
      <c r="C271" s="43"/>
      <c r="D271" s="43"/>
      <c r="E271" s="43"/>
      <c r="F271" s="295"/>
      <c r="G271" s="29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.75" customHeight="1">
      <c r="B272" s="2"/>
      <c r="C272" s="43"/>
      <c r="D272" s="43"/>
      <c r="E272" s="43"/>
      <c r="F272" s="295"/>
      <c r="G272" s="29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.75" customHeight="1">
      <c r="B273" s="2"/>
      <c r="C273" s="43"/>
      <c r="D273" s="43"/>
      <c r="E273" s="43"/>
      <c r="F273" s="295"/>
      <c r="G273" s="29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.75" customHeight="1">
      <c r="B274" s="2"/>
      <c r="C274" s="43"/>
      <c r="D274" s="43"/>
      <c r="E274" s="43"/>
      <c r="F274" s="295"/>
      <c r="G274" s="29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.75" customHeight="1">
      <c r="B275" s="2"/>
      <c r="C275" s="43"/>
      <c r="D275" s="43"/>
      <c r="E275" s="43"/>
      <c r="F275" s="295"/>
      <c r="G275" s="29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.75" customHeight="1">
      <c r="B276" s="2"/>
      <c r="C276" s="43"/>
      <c r="D276" s="43"/>
      <c r="E276" s="43"/>
      <c r="F276" s="295"/>
      <c r="G276" s="29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.75" customHeight="1">
      <c r="B277" s="2"/>
      <c r="C277" s="43"/>
      <c r="D277" s="43"/>
      <c r="E277" s="43"/>
      <c r="F277" s="295"/>
      <c r="G277" s="29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.75" customHeight="1">
      <c r="B278" s="2"/>
      <c r="C278" s="43"/>
      <c r="D278" s="43"/>
      <c r="E278" s="43"/>
      <c r="F278" s="295"/>
      <c r="G278" s="29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.75" customHeight="1">
      <c r="B279" s="2"/>
      <c r="C279" s="43"/>
      <c r="D279" s="43"/>
      <c r="E279" s="43"/>
      <c r="F279" s="295"/>
      <c r="G279" s="29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.75" customHeight="1">
      <c r="B280" s="2"/>
      <c r="C280" s="43"/>
      <c r="D280" s="43"/>
      <c r="E280" s="43"/>
      <c r="F280" s="295"/>
      <c r="G280" s="29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.75" customHeight="1">
      <c r="B281" s="2"/>
      <c r="C281" s="43"/>
      <c r="D281" s="43"/>
      <c r="E281" s="43"/>
      <c r="F281" s="295"/>
      <c r="G281" s="29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.75" customHeight="1">
      <c r="B282" s="2"/>
      <c r="C282" s="43"/>
      <c r="D282" s="43"/>
      <c r="E282" s="43"/>
      <c r="F282" s="295"/>
      <c r="G282" s="29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.75" customHeight="1">
      <c r="B283" s="2"/>
      <c r="C283" s="43"/>
      <c r="D283" s="43"/>
      <c r="E283" s="43"/>
      <c r="F283" s="295"/>
      <c r="G283" s="29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.75" customHeight="1">
      <c r="B284" s="2"/>
      <c r="C284" s="43"/>
      <c r="D284" s="43"/>
      <c r="E284" s="43"/>
      <c r="F284" s="295"/>
      <c r="G284" s="29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.75" customHeight="1">
      <c r="B285" s="2"/>
      <c r="C285" s="43"/>
      <c r="D285" s="43"/>
      <c r="E285" s="43"/>
      <c r="F285" s="295"/>
      <c r="G285" s="29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.75" customHeight="1">
      <c r="B286" s="2"/>
      <c r="C286" s="43"/>
      <c r="D286" s="43"/>
      <c r="E286" s="43"/>
      <c r="F286" s="295"/>
      <c r="G286" s="29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.75" customHeight="1">
      <c r="B287" s="2"/>
      <c r="C287" s="43"/>
      <c r="D287" s="43"/>
      <c r="E287" s="43"/>
      <c r="F287" s="295"/>
      <c r="G287" s="29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.75" customHeight="1">
      <c r="B288" s="2"/>
      <c r="C288" s="43"/>
      <c r="D288" s="43"/>
      <c r="E288" s="43"/>
      <c r="F288" s="295"/>
      <c r="G288" s="29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.75" customHeight="1">
      <c r="B289" s="2"/>
      <c r="C289" s="43"/>
      <c r="D289" s="43"/>
      <c r="E289" s="43"/>
      <c r="F289" s="295"/>
      <c r="G289" s="29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.75" customHeight="1">
      <c r="B290" s="2"/>
      <c r="C290" s="43"/>
      <c r="D290" s="43"/>
      <c r="E290" s="43"/>
      <c r="F290" s="295"/>
      <c r="G290" s="29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.75" customHeight="1">
      <c r="B291" s="2"/>
      <c r="C291" s="43"/>
      <c r="D291" s="43"/>
      <c r="E291" s="43"/>
      <c r="F291" s="295"/>
      <c r="G291" s="29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.75" customHeight="1">
      <c r="B292" s="2"/>
      <c r="C292" s="43"/>
      <c r="D292" s="43"/>
      <c r="E292" s="43"/>
      <c r="F292" s="295"/>
      <c r="G292" s="29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.75" customHeight="1">
      <c r="B293" s="2"/>
      <c r="C293" s="43"/>
      <c r="D293" s="43"/>
      <c r="E293" s="43"/>
      <c r="F293" s="295"/>
      <c r="G293" s="29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.75" customHeight="1">
      <c r="B294" s="2"/>
      <c r="C294" s="43"/>
      <c r="D294" s="43"/>
      <c r="E294" s="43"/>
      <c r="F294" s="295"/>
      <c r="G294" s="29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.75" customHeight="1">
      <c r="B295" s="2"/>
      <c r="C295" s="43"/>
      <c r="D295" s="43"/>
      <c r="E295" s="43"/>
      <c r="F295" s="295"/>
      <c r="G295" s="29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.75" customHeight="1">
      <c r="B296" s="2"/>
      <c r="C296" s="43"/>
      <c r="D296" s="43"/>
      <c r="E296" s="43"/>
      <c r="F296" s="295"/>
      <c r="G296" s="29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.75" customHeight="1">
      <c r="B297" s="2"/>
      <c r="C297" s="43"/>
      <c r="D297" s="43"/>
      <c r="E297" s="43"/>
      <c r="F297" s="295"/>
      <c r="G297" s="29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.75" customHeight="1">
      <c r="B298" s="2"/>
      <c r="C298" s="43"/>
      <c r="D298" s="43"/>
      <c r="E298" s="43"/>
      <c r="F298" s="295"/>
      <c r="G298" s="29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.75" customHeight="1">
      <c r="B299" s="2"/>
      <c r="C299" s="43"/>
      <c r="D299" s="43"/>
      <c r="E299" s="43"/>
      <c r="F299" s="295"/>
      <c r="G299" s="29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.75" customHeight="1">
      <c r="B300" s="2"/>
      <c r="C300" s="43"/>
      <c r="D300" s="43"/>
      <c r="E300" s="43"/>
      <c r="F300" s="295"/>
      <c r="G300" s="29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.75" customHeight="1">
      <c r="B301" s="2"/>
      <c r="C301" s="43"/>
      <c r="D301" s="43"/>
      <c r="E301" s="43"/>
      <c r="F301" s="295"/>
      <c r="G301" s="29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.75" customHeight="1">
      <c r="B302" s="2"/>
      <c r="C302" s="43"/>
      <c r="D302" s="43"/>
      <c r="E302" s="43"/>
      <c r="F302" s="295"/>
      <c r="G302" s="29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.75" customHeight="1">
      <c r="B303" s="2"/>
      <c r="C303" s="43"/>
      <c r="D303" s="43"/>
      <c r="E303" s="43"/>
      <c r="F303" s="295"/>
      <c r="G303" s="29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.75" customHeight="1">
      <c r="B304" s="2"/>
      <c r="C304" s="43"/>
      <c r="D304" s="43"/>
      <c r="E304" s="43"/>
      <c r="F304" s="295"/>
      <c r="G304" s="29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.75" customHeight="1">
      <c r="B305" s="2"/>
      <c r="C305" s="43"/>
      <c r="D305" s="43"/>
      <c r="E305" s="43"/>
      <c r="F305" s="295"/>
      <c r="G305" s="29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.75" customHeight="1">
      <c r="B306" s="2"/>
      <c r="C306" s="43"/>
      <c r="D306" s="43"/>
      <c r="E306" s="43"/>
      <c r="F306" s="295"/>
      <c r="G306" s="29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.75" customHeight="1">
      <c r="B307" s="2"/>
      <c r="C307" s="43"/>
      <c r="D307" s="43"/>
      <c r="E307" s="43"/>
      <c r="F307" s="295"/>
      <c r="G307" s="29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.75" customHeight="1">
      <c r="B308" s="2"/>
      <c r="C308" s="43"/>
      <c r="D308" s="43"/>
      <c r="E308" s="43"/>
      <c r="F308" s="295"/>
      <c r="G308" s="29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.75" customHeight="1">
      <c r="B309" s="2"/>
      <c r="C309" s="43"/>
      <c r="D309" s="43"/>
      <c r="E309" s="43"/>
      <c r="F309" s="295"/>
      <c r="G309" s="29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.75" customHeight="1">
      <c r="B310" s="2"/>
      <c r="C310" s="43"/>
      <c r="D310" s="43"/>
      <c r="E310" s="43"/>
      <c r="F310" s="295"/>
      <c r="G310" s="29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.75" customHeight="1">
      <c r="B311" s="2"/>
      <c r="C311" s="43"/>
      <c r="D311" s="43"/>
      <c r="E311" s="43"/>
      <c r="F311" s="295"/>
      <c r="G311" s="29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.75" customHeight="1">
      <c r="B312" s="2"/>
      <c r="C312" s="43"/>
      <c r="D312" s="43"/>
      <c r="E312" s="43"/>
      <c r="F312" s="295"/>
      <c r="G312" s="29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.75" customHeight="1">
      <c r="B313" s="2"/>
      <c r="C313" s="43"/>
      <c r="D313" s="43"/>
      <c r="E313" s="43"/>
      <c r="F313" s="295"/>
      <c r="G313" s="29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.75" customHeight="1">
      <c r="B314" s="2"/>
      <c r="C314" s="43"/>
      <c r="D314" s="43"/>
      <c r="E314" s="43"/>
      <c r="F314" s="295"/>
      <c r="G314" s="29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.75" customHeight="1">
      <c r="B315" s="2"/>
      <c r="C315" s="43"/>
      <c r="D315" s="43"/>
      <c r="E315" s="43"/>
      <c r="F315" s="295"/>
      <c r="G315" s="29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.75" customHeight="1">
      <c r="B316" s="2"/>
      <c r="C316" s="43"/>
      <c r="D316" s="43"/>
      <c r="E316" s="43"/>
      <c r="F316" s="295"/>
      <c r="G316" s="29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.75" customHeight="1">
      <c r="B317" s="2"/>
      <c r="C317" s="43"/>
      <c r="D317" s="43"/>
      <c r="E317" s="43"/>
      <c r="F317" s="295"/>
      <c r="G317" s="29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.75" customHeight="1">
      <c r="B318" s="2"/>
      <c r="C318" s="43"/>
      <c r="D318" s="43"/>
      <c r="E318" s="43"/>
      <c r="F318" s="295"/>
      <c r="G318" s="29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.75" customHeight="1">
      <c r="B319" s="2"/>
      <c r="C319" s="43"/>
      <c r="D319" s="43"/>
      <c r="E319" s="43"/>
      <c r="F319" s="295"/>
      <c r="G319" s="29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.75" customHeight="1">
      <c r="B320" s="2"/>
      <c r="C320" s="43"/>
      <c r="D320" s="43"/>
      <c r="E320" s="43"/>
      <c r="F320" s="295"/>
      <c r="G320" s="29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.75" customHeight="1">
      <c r="B321" s="2"/>
      <c r="C321" s="43"/>
      <c r="D321" s="43"/>
      <c r="E321" s="43"/>
      <c r="F321" s="295"/>
      <c r="G321" s="29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.75" customHeight="1">
      <c r="B322" s="2"/>
      <c r="C322" s="43"/>
      <c r="D322" s="43"/>
      <c r="E322" s="43"/>
      <c r="F322" s="295"/>
      <c r="G322" s="29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.75" customHeight="1">
      <c r="B323" s="2"/>
      <c r="C323" s="43"/>
      <c r="D323" s="43"/>
      <c r="E323" s="43"/>
      <c r="F323" s="295"/>
      <c r="G323" s="29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.75" customHeight="1">
      <c r="B324" s="2"/>
      <c r="C324" s="43"/>
      <c r="D324" s="43"/>
      <c r="E324" s="43"/>
      <c r="F324" s="295"/>
      <c r="G324" s="29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.75" customHeight="1">
      <c r="B325" s="2"/>
      <c r="C325" s="43"/>
      <c r="D325" s="43"/>
      <c r="E325" s="43"/>
      <c r="F325" s="295"/>
      <c r="G325" s="29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.75" customHeight="1">
      <c r="B326" s="2"/>
      <c r="C326" s="43"/>
      <c r="D326" s="43"/>
      <c r="E326" s="43"/>
      <c r="F326" s="295"/>
      <c r="G326" s="29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.75" customHeight="1">
      <c r="B327" s="2"/>
      <c r="C327" s="43"/>
      <c r="D327" s="43"/>
      <c r="E327" s="43"/>
      <c r="F327" s="295"/>
      <c r="G327" s="29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.75" customHeight="1">
      <c r="B328" s="2"/>
      <c r="C328" s="43"/>
      <c r="D328" s="43"/>
      <c r="E328" s="43"/>
      <c r="F328" s="295"/>
      <c r="G328" s="29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.75" customHeight="1">
      <c r="B329" s="2"/>
      <c r="C329" s="43"/>
      <c r="D329" s="43"/>
      <c r="E329" s="43"/>
      <c r="F329" s="295"/>
      <c r="G329" s="29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.75" customHeight="1">
      <c r="B330" s="2"/>
      <c r="C330" s="43"/>
      <c r="D330" s="43"/>
      <c r="E330" s="43"/>
      <c r="F330" s="295"/>
      <c r="G330" s="29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.75" customHeight="1">
      <c r="B331" s="2"/>
      <c r="C331" s="43"/>
      <c r="D331" s="43"/>
      <c r="E331" s="43"/>
      <c r="F331" s="295"/>
      <c r="G331" s="29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.75" customHeight="1">
      <c r="B332" s="2"/>
      <c r="C332" s="43"/>
      <c r="D332" s="43"/>
      <c r="E332" s="43"/>
      <c r="F332" s="295"/>
      <c r="G332" s="29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.75" customHeight="1">
      <c r="B333" s="2"/>
      <c r="C333" s="43"/>
      <c r="D333" s="43"/>
      <c r="E333" s="43"/>
      <c r="F333" s="295"/>
      <c r="G333" s="29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.75" customHeight="1">
      <c r="B334" s="2"/>
      <c r="C334" s="43"/>
      <c r="D334" s="43"/>
      <c r="E334" s="43"/>
      <c r="F334" s="295"/>
      <c r="G334" s="29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.75" customHeight="1">
      <c r="B335" s="2"/>
      <c r="C335" s="43"/>
      <c r="D335" s="43"/>
      <c r="E335" s="43"/>
      <c r="F335" s="295"/>
      <c r="G335" s="29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.75" customHeight="1">
      <c r="B336" s="2"/>
      <c r="C336" s="43"/>
      <c r="D336" s="43"/>
      <c r="E336" s="43"/>
      <c r="F336" s="295"/>
      <c r="G336" s="29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.75" customHeight="1">
      <c r="B337" s="2"/>
      <c r="C337" s="43"/>
      <c r="D337" s="43"/>
      <c r="E337" s="43"/>
      <c r="F337" s="295"/>
      <c r="G337" s="29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.75" customHeight="1">
      <c r="B338" s="2"/>
      <c r="C338" s="43"/>
      <c r="D338" s="43"/>
      <c r="E338" s="43"/>
      <c r="F338" s="295"/>
      <c r="G338" s="29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.75" customHeight="1">
      <c r="B339" s="2"/>
      <c r="C339" s="43"/>
      <c r="D339" s="43"/>
      <c r="E339" s="43"/>
      <c r="F339" s="295"/>
      <c r="G339" s="29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.75" customHeight="1">
      <c r="B340" s="2"/>
      <c r="C340" s="43"/>
      <c r="D340" s="43"/>
      <c r="E340" s="43"/>
      <c r="F340" s="295"/>
      <c r="G340" s="29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.75" customHeight="1">
      <c r="B341" s="2"/>
      <c r="C341" s="43"/>
      <c r="D341" s="43"/>
      <c r="E341" s="43"/>
      <c r="F341" s="295"/>
      <c r="G341" s="29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.75" customHeight="1">
      <c r="B342" s="2"/>
      <c r="C342" s="43"/>
      <c r="D342" s="43"/>
      <c r="E342" s="43"/>
      <c r="F342" s="295"/>
      <c r="G342" s="29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.75" customHeight="1">
      <c r="B343" s="2"/>
      <c r="C343" s="43"/>
      <c r="D343" s="43"/>
      <c r="E343" s="43"/>
      <c r="F343" s="295"/>
      <c r="G343" s="29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.75" customHeight="1">
      <c r="B344" s="2"/>
      <c r="C344" s="43"/>
      <c r="D344" s="43"/>
      <c r="E344" s="43"/>
      <c r="F344" s="295"/>
      <c r="G344" s="29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.75" customHeight="1">
      <c r="B345" s="2"/>
      <c r="C345" s="43"/>
      <c r="D345" s="43"/>
      <c r="E345" s="43"/>
      <c r="F345" s="295"/>
      <c r="G345" s="29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.75" customHeight="1">
      <c r="B346" s="2"/>
      <c r="C346" s="43"/>
      <c r="D346" s="43"/>
      <c r="E346" s="43"/>
      <c r="F346" s="295"/>
      <c r="G346" s="29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.75" customHeight="1">
      <c r="B347" s="2"/>
      <c r="C347" s="43"/>
      <c r="D347" s="43"/>
      <c r="E347" s="43"/>
      <c r="F347" s="295"/>
      <c r="G347" s="29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.75" customHeight="1">
      <c r="B348" s="2"/>
      <c r="C348" s="43"/>
      <c r="D348" s="43"/>
      <c r="E348" s="43"/>
      <c r="F348" s="295"/>
      <c r="G348" s="29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.75" customHeight="1">
      <c r="B349" s="2"/>
      <c r="C349" s="43"/>
      <c r="D349" s="43"/>
      <c r="E349" s="43"/>
      <c r="F349" s="295"/>
      <c r="G349" s="29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.75" customHeight="1">
      <c r="B350" s="2"/>
      <c r="C350" s="43"/>
      <c r="D350" s="43"/>
      <c r="E350" s="43"/>
      <c r="F350" s="295"/>
      <c r="G350" s="29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.75" customHeight="1">
      <c r="B351" s="2"/>
      <c r="C351" s="43"/>
      <c r="D351" s="43"/>
      <c r="E351" s="43"/>
      <c r="F351" s="295"/>
      <c r="G351" s="29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.75" customHeight="1">
      <c r="B352" s="2"/>
      <c r="C352" s="43"/>
      <c r="D352" s="43"/>
      <c r="E352" s="43"/>
      <c r="F352" s="295"/>
      <c r="G352" s="29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.75" customHeight="1">
      <c r="B353" s="2"/>
      <c r="C353" s="43"/>
      <c r="D353" s="43"/>
      <c r="E353" s="43"/>
      <c r="F353" s="295"/>
      <c r="G353" s="29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.75" customHeight="1">
      <c r="B354" s="2"/>
      <c r="C354" s="43"/>
      <c r="D354" s="43"/>
      <c r="E354" s="43"/>
      <c r="F354" s="295"/>
      <c r="G354" s="29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.75" customHeight="1">
      <c r="B355" s="2"/>
      <c r="C355" s="43"/>
      <c r="D355" s="43"/>
      <c r="E355" s="43"/>
      <c r="F355" s="295"/>
      <c r="G355" s="29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.75" customHeight="1">
      <c r="B356" s="2"/>
      <c r="C356" s="43"/>
      <c r="D356" s="43"/>
      <c r="E356" s="43"/>
      <c r="F356" s="295"/>
      <c r="G356" s="29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.75" customHeight="1">
      <c r="B357" s="2"/>
      <c r="C357" s="43"/>
      <c r="D357" s="43"/>
      <c r="E357" s="43"/>
      <c r="F357" s="295"/>
      <c r="G357" s="29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.75" customHeight="1">
      <c r="B358" s="2"/>
      <c r="C358" s="43"/>
      <c r="D358" s="43"/>
      <c r="E358" s="43"/>
      <c r="F358" s="295"/>
      <c r="G358" s="29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.75" customHeight="1">
      <c r="B359" s="2"/>
      <c r="C359" s="43"/>
      <c r="D359" s="43"/>
      <c r="E359" s="43"/>
      <c r="F359" s="295"/>
      <c r="G359" s="29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.75" customHeight="1">
      <c r="B360" s="2"/>
      <c r="C360" s="43"/>
      <c r="D360" s="43"/>
      <c r="E360" s="43"/>
      <c r="F360" s="295"/>
      <c r="G360" s="29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.75" customHeight="1">
      <c r="B361" s="2"/>
      <c r="C361" s="43"/>
      <c r="D361" s="43"/>
      <c r="E361" s="43"/>
      <c r="F361" s="295"/>
      <c r="G361" s="29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.75" customHeight="1">
      <c r="B362" s="2"/>
      <c r="C362" s="43"/>
      <c r="D362" s="43"/>
      <c r="E362" s="43"/>
      <c r="F362" s="295"/>
      <c r="G362" s="29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.75" customHeight="1">
      <c r="B363" s="2"/>
      <c r="C363" s="43"/>
      <c r="D363" s="43"/>
      <c r="E363" s="43"/>
      <c r="F363" s="295"/>
      <c r="G363" s="29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.75" customHeight="1">
      <c r="B364" s="2"/>
      <c r="C364" s="43"/>
      <c r="D364" s="43"/>
      <c r="E364" s="43"/>
      <c r="F364" s="295"/>
      <c r="G364" s="29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.75" customHeight="1">
      <c r="B365" s="2"/>
      <c r="C365" s="43"/>
      <c r="D365" s="43"/>
      <c r="E365" s="43"/>
      <c r="F365" s="295"/>
      <c r="G365" s="29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.75" customHeight="1">
      <c r="B366" s="2"/>
      <c r="C366" s="43"/>
      <c r="D366" s="43"/>
      <c r="E366" s="43"/>
      <c r="F366" s="295"/>
      <c r="G366" s="29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.75" customHeight="1">
      <c r="B367" s="2"/>
      <c r="C367" s="43"/>
      <c r="D367" s="43"/>
      <c r="E367" s="43"/>
      <c r="F367" s="295"/>
      <c r="G367" s="29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.75" customHeight="1">
      <c r="B368" s="2"/>
      <c r="C368" s="43"/>
      <c r="D368" s="43"/>
      <c r="E368" s="43"/>
      <c r="F368" s="295"/>
      <c r="G368" s="29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.75" customHeight="1">
      <c r="B369" s="2"/>
      <c r="C369" s="43"/>
      <c r="D369" s="43"/>
      <c r="E369" s="43"/>
      <c r="F369" s="295"/>
      <c r="G369" s="29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.75" customHeight="1">
      <c r="B370" s="2"/>
      <c r="C370" s="43"/>
      <c r="D370" s="43"/>
      <c r="E370" s="43"/>
      <c r="F370" s="295"/>
      <c r="G370" s="29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.75" customHeight="1">
      <c r="B371" s="2"/>
      <c r="C371" s="43"/>
      <c r="D371" s="43"/>
      <c r="E371" s="43"/>
      <c r="F371" s="295"/>
      <c r="G371" s="29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.75" customHeight="1">
      <c r="B372" s="2"/>
      <c r="C372" s="43"/>
      <c r="D372" s="43"/>
      <c r="E372" s="43"/>
      <c r="F372" s="295"/>
      <c r="G372" s="29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.75" customHeight="1">
      <c r="B373" s="2"/>
      <c r="C373" s="43"/>
      <c r="D373" s="43"/>
      <c r="E373" s="43"/>
      <c r="F373" s="295"/>
      <c r="G373" s="29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.75" customHeight="1">
      <c r="B374" s="2"/>
      <c r="C374" s="43"/>
      <c r="D374" s="43"/>
      <c r="E374" s="43"/>
      <c r="F374" s="295"/>
      <c r="G374" s="29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.75" customHeight="1">
      <c r="B375" s="2"/>
      <c r="C375" s="43"/>
      <c r="D375" s="43"/>
      <c r="E375" s="43"/>
      <c r="F375" s="295"/>
      <c r="G375" s="29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.75" customHeight="1">
      <c r="B376" s="2"/>
      <c r="C376" s="43"/>
      <c r="D376" s="43"/>
      <c r="E376" s="43"/>
      <c r="F376" s="295"/>
      <c r="G376" s="29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.75" customHeight="1">
      <c r="B377" s="2"/>
      <c r="C377" s="43"/>
      <c r="D377" s="43"/>
      <c r="E377" s="43"/>
      <c r="F377" s="295"/>
      <c r="G377" s="29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.75" customHeight="1">
      <c r="B378" s="2"/>
      <c r="C378" s="43"/>
      <c r="D378" s="43"/>
      <c r="E378" s="43"/>
      <c r="F378" s="295"/>
      <c r="G378" s="29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.75" customHeight="1">
      <c r="B379" s="2"/>
      <c r="C379" s="43"/>
      <c r="D379" s="43"/>
      <c r="E379" s="43"/>
      <c r="F379" s="295"/>
      <c r="G379" s="29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.75" customHeight="1">
      <c r="B380" s="2"/>
      <c r="C380" s="43"/>
      <c r="D380" s="43"/>
      <c r="E380" s="43"/>
      <c r="F380" s="295"/>
      <c r="G380" s="29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.75" customHeight="1">
      <c r="B381" s="2"/>
      <c r="C381" s="43"/>
      <c r="D381" s="43"/>
      <c r="E381" s="43"/>
      <c r="F381" s="295"/>
      <c r="G381" s="29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.75" customHeight="1">
      <c r="B382" s="2"/>
      <c r="C382" s="43"/>
      <c r="D382" s="43"/>
      <c r="E382" s="43"/>
      <c r="F382" s="295"/>
      <c r="G382" s="29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.75" customHeight="1">
      <c r="B383" s="2"/>
      <c r="C383" s="43"/>
      <c r="D383" s="43"/>
      <c r="E383" s="43"/>
      <c r="F383" s="295"/>
      <c r="G383" s="29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.75" customHeight="1">
      <c r="B384" s="2"/>
      <c r="C384" s="43"/>
      <c r="D384" s="43"/>
      <c r="E384" s="43"/>
      <c r="F384" s="295"/>
      <c r="G384" s="29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.75" customHeight="1">
      <c r="B385" s="2"/>
      <c r="C385" s="43"/>
      <c r="D385" s="43"/>
      <c r="E385" s="43"/>
      <c r="F385" s="295"/>
      <c r="G385" s="29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.75" customHeight="1">
      <c r="B386" s="2"/>
      <c r="C386" s="43"/>
      <c r="D386" s="43"/>
      <c r="E386" s="43"/>
      <c r="F386" s="295"/>
      <c r="G386" s="29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.75" customHeight="1">
      <c r="B387" s="2"/>
      <c r="C387" s="43"/>
      <c r="D387" s="43"/>
      <c r="E387" s="43"/>
      <c r="F387" s="295"/>
      <c r="G387" s="29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.75" customHeight="1">
      <c r="B388" s="2"/>
      <c r="C388" s="43"/>
      <c r="D388" s="43"/>
      <c r="E388" s="43"/>
      <c r="F388" s="295"/>
      <c r="G388" s="29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.75" customHeight="1">
      <c r="B389" s="2"/>
      <c r="C389" s="43"/>
      <c r="D389" s="43"/>
      <c r="E389" s="43"/>
      <c r="F389" s="295"/>
      <c r="G389" s="29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.75" customHeight="1">
      <c r="B390" s="2"/>
      <c r="C390" s="43"/>
      <c r="D390" s="43"/>
      <c r="E390" s="43"/>
      <c r="F390" s="295"/>
      <c r="G390" s="29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.75" customHeight="1">
      <c r="B391" s="2"/>
      <c r="C391" s="43"/>
      <c r="D391" s="43"/>
      <c r="E391" s="43"/>
      <c r="F391" s="295"/>
      <c r="G391" s="29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.75" customHeight="1">
      <c r="B392" s="2"/>
      <c r="C392" s="43"/>
      <c r="D392" s="43"/>
      <c r="E392" s="43"/>
      <c r="F392" s="295"/>
      <c r="G392" s="29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.75" customHeight="1">
      <c r="B393" s="2"/>
      <c r="C393" s="43"/>
      <c r="D393" s="43"/>
      <c r="E393" s="43"/>
      <c r="F393" s="295"/>
      <c r="G393" s="29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.75" customHeight="1">
      <c r="B394" s="2"/>
      <c r="C394" s="43"/>
      <c r="D394" s="43"/>
      <c r="E394" s="43"/>
      <c r="F394" s="295"/>
      <c r="G394" s="29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.75" customHeight="1">
      <c r="B395" s="2"/>
      <c r="C395" s="43"/>
      <c r="D395" s="43"/>
      <c r="E395" s="43"/>
      <c r="F395" s="295"/>
      <c r="G395" s="29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.75" customHeight="1">
      <c r="B396" s="2"/>
      <c r="C396" s="43"/>
      <c r="D396" s="43"/>
      <c r="E396" s="43"/>
      <c r="F396" s="295"/>
      <c r="G396" s="29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.75" customHeight="1">
      <c r="B397" s="2"/>
      <c r="C397" s="43"/>
      <c r="D397" s="43"/>
      <c r="E397" s="43"/>
      <c r="F397" s="295"/>
      <c r="G397" s="29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.75" customHeight="1">
      <c r="B398" s="2"/>
      <c r="C398" s="43"/>
      <c r="D398" s="43"/>
      <c r="E398" s="43"/>
      <c r="F398" s="295"/>
      <c r="G398" s="29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.75" customHeight="1">
      <c r="B399" s="2"/>
      <c r="C399" s="43"/>
      <c r="D399" s="43"/>
      <c r="E399" s="43"/>
      <c r="F399" s="295"/>
      <c r="G399" s="29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.75" customHeight="1">
      <c r="B400" s="2"/>
      <c r="C400" s="43"/>
      <c r="D400" s="43"/>
      <c r="E400" s="43"/>
      <c r="F400" s="295"/>
      <c r="G400" s="29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.75" customHeight="1">
      <c r="B401" s="2"/>
      <c r="C401" s="43"/>
      <c r="D401" s="43"/>
      <c r="E401" s="43"/>
      <c r="F401" s="295"/>
      <c r="G401" s="29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.75" customHeight="1">
      <c r="B402" s="2"/>
      <c r="C402" s="43"/>
      <c r="D402" s="43"/>
      <c r="E402" s="43"/>
      <c r="F402" s="295"/>
      <c r="G402" s="29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.75" customHeight="1">
      <c r="B403" s="2"/>
      <c r="C403" s="43"/>
      <c r="D403" s="43"/>
      <c r="E403" s="43"/>
      <c r="F403" s="295"/>
      <c r="G403" s="29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.75" customHeight="1">
      <c r="B404" s="2"/>
      <c r="C404" s="43"/>
      <c r="D404" s="43"/>
      <c r="E404" s="43"/>
      <c r="F404" s="295"/>
      <c r="G404" s="29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.75" customHeight="1">
      <c r="B405" s="2"/>
      <c r="C405" s="43"/>
      <c r="D405" s="43"/>
      <c r="E405" s="43"/>
      <c r="F405" s="295"/>
      <c r="G405" s="29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.75" customHeight="1">
      <c r="B406" s="2"/>
      <c r="C406" s="43"/>
      <c r="D406" s="43"/>
      <c r="E406" s="43"/>
      <c r="F406" s="295"/>
      <c r="G406" s="29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.75" customHeight="1">
      <c r="B407" s="2"/>
      <c r="C407" s="43"/>
      <c r="D407" s="43"/>
      <c r="E407" s="43"/>
      <c r="F407" s="295"/>
      <c r="G407" s="29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.75" customHeight="1">
      <c r="B408" s="2"/>
      <c r="C408" s="43"/>
      <c r="D408" s="43"/>
      <c r="E408" s="43"/>
      <c r="F408" s="295"/>
      <c r="G408" s="29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.75" customHeight="1">
      <c r="B409" s="2"/>
      <c r="C409" s="43"/>
      <c r="D409" s="43"/>
      <c r="E409" s="43"/>
      <c r="F409" s="295"/>
      <c r="G409" s="29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.75" customHeight="1">
      <c r="B410" s="2"/>
      <c r="C410" s="43"/>
      <c r="D410" s="43"/>
      <c r="E410" s="43"/>
      <c r="F410" s="295"/>
      <c r="G410" s="29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.75" customHeight="1">
      <c r="B411" s="2"/>
      <c r="C411" s="43"/>
      <c r="D411" s="43"/>
      <c r="E411" s="43"/>
      <c r="F411" s="295"/>
      <c r="G411" s="29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.75" customHeight="1">
      <c r="B412" s="2"/>
      <c r="C412" s="43"/>
      <c r="D412" s="43"/>
      <c r="E412" s="43"/>
      <c r="F412" s="295"/>
      <c r="G412" s="29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.75" customHeight="1">
      <c r="B413" s="2"/>
      <c r="C413" s="43"/>
      <c r="D413" s="43"/>
      <c r="E413" s="43"/>
      <c r="F413" s="295"/>
      <c r="G413" s="29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.75" customHeight="1">
      <c r="B414" s="2"/>
      <c r="C414" s="43"/>
      <c r="D414" s="43"/>
      <c r="E414" s="43"/>
      <c r="F414" s="295"/>
      <c r="G414" s="29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.75" customHeight="1">
      <c r="B415" s="2"/>
      <c r="C415" s="43"/>
      <c r="D415" s="43"/>
      <c r="E415" s="43"/>
      <c r="F415" s="295"/>
      <c r="G415" s="29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.75" customHeight="1">
      <c r="B416" s="2"/>
      <c r="C416" s="43"/>
      <c r="D416" s="43"/>
      <c r="E416" s="43"/>
      <c r="F416" s="295"/>
      <c r="G416" s="29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.75" customHeight="1">
      <c r="B417" s="2"/>
      <c r="C417" s="43"/>
      <c r="D417" s="43"/>
      <c r="E417" s="43"/>
      <c r="F417" s="295"/>
      <c r="G417" s="29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.75" customHeight="1">
      <c r="B418" s="2"/>
      <c r="C418" s="43"/>
      <c r="D418" s="43"/>
      <c r="E418" s="43"/>
      <c r="F418" s="295"/>
      <c r="G418" s="29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.75" customHeight="1">
      <c r="B419" s="2"/>
      <c r="C419" s="43"/>
      <c r="D419" s="43"/>
      <c r="E419" s="43"/>
      <c r="F419" s="295"/>
      <c r="G419" s="29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.75" customHeight="1">
      <c r="B420" s="2"/>
      <c r="C420" s="43"/>
      <c r="D420" s="43"/>
      <c r="E420" s="43"/>
      <c r="F420" s="295"/>
      <c r="G420" s="29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.75" customHeight="1">
      <c r="B421" s="2"/>
      <c r="C421" s="43"/>
      <c r="D421" s="43"/>
      <c r="E421" s="43"/>
      <c r="F421" s="295"/>
      <c r="G421" s="29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.75" customHeight="1">
      <c r="B422" s="2"/>
      <c r="C422" s="43"/>
      <c r="D422" s="43"/>
      <c r="E422" s="43"/>
      <c r="F422" s="295"/>
      <c r="G422" s="29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.75" customHeight="1">
      <c r="B423" s="2"/>
      <c r="C423" s="43"/>
      <c r="D423" s="43"/>
      <c r="E423" s="43"/>
      <c r="F423" s="295"/>
      <c r="G423" s="29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.75" customHeight="1">
      <c r="B424" s="2"/>
      <c r="C424" s="43"/>
      <c r="D424" s="43"/>
      <c r="E424" s="43"/>
      <c r="F424" s="295"/>
      <c r="G424" s="29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.75" customHeight="1">
      <c r="B425" s="2"/>
      <c r="C425" s="43"/>
      <c r="D425" s="43"/>
      <c r="E425" s="43"/>
      <c r="F425" s="295"/>
      <c r="G425" s="29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.75" customHeight="1">
      <c r="B426" s="2"/>
      <c r="C426" s="43"/>
      <c r="D426" s="43"/>
      <c r="E426" s="43"/>
      <c r="F426" s="295"/>
      <c r="G426" s="29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.75" customHeight="1">
      <c r="B427" s="2"/>
      <c r="C427" s="43"/>
      <c r="D427" s="43"/>
      <c r="E427" s="43"/>
      <c r="F427" s="295"/>
      <c r="G427" s="29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.75" customHeight="1">
      <c r="B428" s="2"/>
      <c r="C428" s="43"/>
      <c r="D428" s="43"/>
      <c r="E428" s="43"/>
      <c r="F428" s="295"/>
      <c r="G428" s="29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.75" customHeight="1">
      <c r="B429" s="2"/>
      <c r="C429" s="43"/>
      <c r="D429" s="43"/>
      <c r="E429" s="43"/>
      <c r="F429" s="295"/>
      <c r="G429" s="29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.75" customHeight="1">
      <c r="B430" s="2"/>
      <c r="C430" s="43"/>
      <c r="D430" s="43"/>
      <c r="E430" s="43"/>
      <c r="F430" s="295"/>
      <c r="G430" s="29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.75" customHeight="1">
      <c r="B431" s="2"/>
      <c r="C431" s="43"/>
      <c r="D431" s="43"/>
      <c r="E431" s="43"/>
      <c r="F431" s="295"/>
      <c r="G431" s="29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.75" customHeight="1">
      <c r="B432" s="2"/>
      <c r="C432" s="43"/>
      <c r="D432" s="43"/>
      <c r="E432" s="43"/>
      <c r="F432" s="295"/>
      <c r="G432" s="29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.75" customHeight="1">
      <c r="B433" s="2"/>
      <c r="C433" s="43"/>
      <c r="D433" s="43"/>
      <c r="E433" s="43"/>
      <c r="F433" s="295"/>
      <c r="G433" s="29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.75" customHeight="1">
      <c r="B434" s="2"/>
      <c r="C434" s="43"/>
      <c r="D434" s="43"/>
      <c r="E434" s="43"/>
      <c r="F434" s="295"/>
      <c r="G434" s="29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.75" customHeight="1">
      <c r="B435" s="2"/>
      <c r="C435" s="43"/>
      <c r="D435" s="43"/>
      <c r="E435" s="43"/>
      <c r="F435" s="295"/>
      <c r="G435" s="29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.75" customHeight="1">
      <c r="B436" s="2"/>
      <c r="C436" s="43"/>
      <c r="D436" s="43"/>
      <c r="E436" s="43"/>
      <c r="F436" s="295"/>
      <c r="G436" s="29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.75" customHeight="1">
      <c r="B437" s="2"/>
      <c r="C437" s="43"/>
      <c r="D437" s="43"/>
      <c r="E437" s="43"/>
      <c r="F437" s="295"/>
      <c r="G437" s="29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.75" customHeight="1">
      <c r="B438" s="2"/>
      <c r="C438" s="43"/>
      <c r="D438" s="43"/>
      <c r="E438" s="43"/>
      <c r="F438" s="295"/>
      <c r="G438" s="29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.75" customHeight="1">
      <c r="B439" s="2"/>
      <c r="C439" s="43"/>
      <c r="D439" s="43"/>
      <c r="E439" s="43"/>
      <c r="F439" s="295"/>
      <c r="G439" s="29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.75" customHeight="1">
      <c r="B440" s="2"/>
      <c r="C440" s="43"/>
      <c r="D440" s="43"/>
      <c r="E440" s="43"/>
      <c r="F440" s="295"/>
      <c r="G440" s="29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.75" customHeight="1">
      <c r="B441" s="2"/>
      <c r="C441" s="43"/>
      <c r="D441" s="43"/>
      <c r="E441" s="43"/>
      <c r="F441" s="295"/>
      <c r="G441" s="29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.75" customHeight="1">
      <c r="B442" s="2"/>
      <c r="C442" s="43"/>
      <c r="D442" s="43"/>
      <c r="E442" s="43"/>
      <c r="F442" s="295"/>
      <c r="G442" s="29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.75" customHeight="1">
      <c r="B443" s="2"/>
      <c r="C443" s="43"/>
      <c r="D443" s="43"/>
      <c r="E443" s="43"/>
      <c r="F443" s="295"/>
      <c r="G443" s="29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.75" customHeight="1">
      <c r="B444" s="2"/>
      <c r="C444" s="43"/>
      <c r="D444" s="43"/>
      <c r="E444" s="43"/>
      <c r="F444" s="295"/>
      <c r="G444" s="29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.75" customHeight="1">
      <c r="B445" s="2"/>
      <c r="C445" s="43"/>
      <c r="D445" s="43"/>
      <c r="E445" s="43"/>
      <c r="F445" s="295"/>
      <c r="G445" s="29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.75" customHeight="1">
      <c r="B446" s="2"/>
      <c r="C446" s="43"/>
      <c r="D446" s="43"/>
      <c r="E446" s="43"/>
      <c r="F446" s="295"/>
      <c r="G446" s="29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.75" customHeight="1">
      <c r="B447" s="2"/>
      <c r="C447" s="43"/>
      <c r="D447" s="43"/>
      <c r="E447" s="43"/>
      <c r="F447" s="295"/>
      <c r="G447" s="29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.75" customHeight="1">
      <c r="B448" s="2"/>
      <c r="C448" s="43"/>
      <c r="D448" s="43"/>
      <c r="E448" s="43"/>
      <c r="F448" s="295"/>
      <c r="G448" s="29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.75" customHeight="1">
      <c r="B449" s="2"/>
      <c r="C449" s="43"/>
      <c r="D449" s="43"/>
      <c r="E449" s="43"/>
      <c r="F449" s="295"/>
      <c r="G449" s="29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.75" customHeight="1">
      <c r="B450" s="2"/>
      <c r="C450" s="43"/>
      <c r="D450" s="43"/>
      <c r="E450" s="43"/>
      <c r="F450" s="295"/>
      <c r="G450" s="29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.75" customHeight="1">
      <c r="B451" s="2"/>
      <c r="C451" s="43"/>
      <c r="D451" s="43"/>
      <c r="E451" s="43"/>
      <c r="F451" s="295"/>
      <c r="G451" s="29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.75" customHeight="1">
      <c r="B452" s="2"/>
      <c r="C452" s="43"/>
      <c r="D452" s="43"/>
      <c r="E452" s="43"/>
      <c r="F452" s="295"/>
      <c r="G452" s="29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.75" customHeight="1">
      <c r="B453" s="2"/>
      <c r="C453" s="43"/>
      <c r="D453" s="43"/>
      <c r="E453" s="43"/>
      <c r="F453" s="295"/>
      <c r="G453" s="29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.75" customHeight="1">
      <c r="B454" s="2"/>
      <c r="C454" s="43"/>
      <c r="D454" s="43"/>
      <c r="E454" s="43"/>
      <c r="F454" s="295"/>
      <c r="G454" s="29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.75" customHeight="1">
      <c r="B455" s="2"/>
      <c r="C455" s="43"/>
      <c r="D455" s="43"/>
      <c r="E455" s="43"/>
      <c r="F455" s="295"/>
      <c r="G455" s="29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.75" customHeight="1">
      <c r="B456" s="2"/>
      <c r="C456" s="43"/>
      <c r="D456" s="43"/>
      <c r="E456" s="43"/>
      <c r="F456" s="295"/>
      <c r="G456" s="29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.75" customHeight="1">
      <c r="B457" s="2"/>
      <c r="C457" s="43"/>
      <c r="D457" s="43"/>
      <c r="E457" s="43"/>
      <c r="F457" s="295"/>
      <c r="G457" s="29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.75" customHeight="1">
      <c r="B458" s="2"/>
      <c r="C458" s="43"/>
      <c r="D458" s="43"/>
      <c r="E458" s="43"/>
      <c r="F458" s="295"/>
      <c r="G458" s="29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.75" customHeight="1">
      <c r="B459" s="2"/>
      <c r="C459" s="43"/>
      <c r="D459" s="43"/>
      <c r="E459" s="43"/>
      <c r="F459" s="295"/>
      <c r="G459" s="29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.75" customHeight="1">
      <c r="B460" s="2"/>
      <c r="C460" s="43"/>
      <c r="D460" s="43"/>
      <c r="E460" s="43"/>
      <c r="F460" s="295"/>
      <c r="G460" s="29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.75" customHeight="1">
      <c r="B461" s="2"/>
      <c r="C461" s="43"/>
      <c r="D461" s="43"/>
      <c r="E461" s="43"/>
      <c r="F461" s="295"/>
      <c r="G461" s="29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.75" customHeight="1">
      <c r="B462" s="2"/>
      <c r="C462" s="43"/>
      <c r="D462" s="43"/>
      <c r="E462" s="43"/>
      <c r="F462" s="295"/>
      <c r="G462" s="29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.75" customHeight="1">
      <c r="B463" s="2"/>
      <c r="C463" s="43"/>
      <c r="D463" s="43"/>
      <c r="E463" s="43"/>
      <c r="F463" s="295"/>
      <c r="G463" s="29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.75" customHeight="1">
      <c r="B464" s="2"/>
      <c r="C464" s="43"/>
      <c r="D464" s="43"/>
      <c r="E464" s="43"/>
      <c r="F464" s="295"/>
      <c r="G464" s="29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.75" customHeight="1">
      <c r="B465" s="2"/>
      <c r="C465" s="43"/>
      <c r="D465" s="43"/>
      <c r="E465" s="43"/>
      <c r="F465" s="295"/>
      <c r="G465" s="29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.75" customHeight="1">
      <c r="B466" s="2"/>
      <c r="C466" s="43"/>
      <c r="D466" s="43"/>
      <c r="E466" s="43"/>
      <c r="F466" s="295"/>
      <c r="G466" s="29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.75" customHeight="1">
      <c r="B467" s="2"/>
      <c r="C467" s="43"/>
      <c r="D467" s="43"/>
      <c r="E467" s="43"/>
      <c r="F467" s="295"/>
      <c r="G467" s="29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.75" customHeight="1">
      <c r="B468" s="2"/>
      <c r="C468" s="43"/>
      <c r="D468" s="43"/>
      <c r="E468" s="43"/>
      <c r="F468" s="295"/>
      <c r="G468" s="29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.75" customHeight="1">
      <c r="B469" s="2"/>
      <c r="C469" s="43"/>
      <c r="D469" s="43"/>
      <c r="E469" s="43"/>
      <c r="F469" s="295"/>
      <c r="G469" s="29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.75" customHeight="1">
      <c r="B470" s="2"/>
      <c r="C470" s="43"/>
      <c r="D470" s="43"/>
      <c r="E470" s="43"/>
      <c r="F470" s="295"/>
      <c r="G470" s="29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.75" customHeight="1">
      <c r="B471" s="2"/>
      <c r="C471" s="43"/>
      <c r="D471" s="43"/>
      <c r="E471" s="43"/>
      <c r="F471" s="295"/>
      <c r="G471" s="29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.75" customHeight="1">
      <c r="B472" s="2"/>
      <c r="C472" s="43"/>
      <c r="D472" s="43"/>
      <c r="E472" s="43"/>
      <c r="F472" s="295"/>
      <c r="G472" s="29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.75" customHeight="1">
      <c r="B473" s="2"/>
      <c r="C473" s="43"/>
      <c r="D473" s="43"/>
      <c r="E473" s="43"/>
      <c r="F473" s="295"/>
      <c r="G473" s="29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.75" customHeight="1">
      <c r="B474" s="2"/>
      <c r="C474" s="43"/>
      <c r="D474" s="43"/>
      <c r="E474" s="43"/>
      <c r="F474" s="295"/>
      <c r="G474" s="29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.75" customHeight="1">
      <c r="B475" s="2"/>
      <c r="C475" s="43"/>
      <c r="D475" s="43"/>
      <c r="E475" s="43"/>
      <c r="F475" s="295"/>
      <c r="G475" s="29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.75" customHeight="1">
      <c r="B476" s="2"/>
      <c r="C476" s="43"/>
      <c r="D476" s="43"/>
      <c r="E476" s="43"/>
      <c r="F476" s="295"/>
      <c r="G476" s="29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.75" customHeight="1">
      <c r="B477" s="2"/>
      <c r="C477" s="43"/>
      <c r="D477" s="43"/>
      <c r="E477" s="43"/>
      <c r="F477" s="295"/>
      <c r="G477" s="29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.75" customHeight="1">
      <c r="B478" s="2"/>
      <c r="C478" s="43"/>
      <c r="D478" s="43"/>
      <c r="E478" s="43"/>
      <c r="F478" s="295"/>
      <c r="G478" s="29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.75" customHeight="1">
      <c r="B479" s="2"/>
      <c r="C479" s="43"/>
      <c r="D479" s="43"/>
      <c r="E479" s="43"/>
      <c r="F479" s="295"/>
      <c r="G479" s="29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.75" customHeight="1">
      <c r="B480" s="2"/>
      <c r="C480" s="43"/>
      <c r="D480" s="43"/>
      <c r="E480" s="43"/>
      <c r="F480" s="295"/>
      <c r="G480" s="29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.75" customHeight="1">
      <c r="B481" s="2"/>
      <c r="C481" s="43"/>
      <c r="D481" s="43"/>
      <c r="E481" s="43"/>
      <c r="F481" s="295"/>
      <c r="G481" s="29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.75" customHeight="1">
      <c r="B482" s="2"/>
      <c r="C482" s="43"/>
      <c r="D482" s="43"/>
      <c r="E482" s="43"/>
      <c r="F482" s="295"/>
      <c r="G482" s="29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.75" customHeight="1">
      <c r="B483" s="2"/>
      <c r="C483" s="43"/>
      <c r="D483" s="43"/>
      <c r="E483" s="43"/>
      <c r="F483" s="295"/>
      <c r="G483" s="29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.75" customHeight="1">
      <c r="B484" s="2"/>
      <c r="C484" s="43"/>
      <c r="D484" s="43"/>
      <c r="E484" s="43"/>
      <c r="F484" s="295"/>
      <c r="G484" s="29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.75" customHeight="1">
      <c r="B485" s="2"/>
      <c r="C485" s="43"/>
      <c r="D485" s="43"/>
      <c r="E485" s="43"/>
      <c r="F485" s="295"/>
      <c r="G485" s="29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.75" customHeight="1">
      <c r="B486" s="2"/>
      <c r="C486" s="43"/>
      <c r="D486" s="43"/>
      <c r="E486" s="43"/>
      <c r="F486" s="295"/>
      <c r="G486" s="29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ht="15.75" customHeight="1">
      <c r="B487" s="2"/>
      <c r="C487" s="43"/>
      <c r="D487" s="43"/>
      <c r="E487" s="43"/>
      <c r="F487" s="295"/>
      <c r="G487" s="29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ht="15.75" customHeight="1">
      <c r="B488" s="2"/>
      <c r="C488" s="43"/>
      <c r="D488" s="43"/>
      <c r="E488" s="43"/>
      <c r="F488" s="295"/>
      <c r="G488" s="29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ht="15.75" customHeight="1">
      <c r="B489" s="2"/>
      <c r="C489" s="43"/>
      <c r="D489" s="43"/>
      <c r="E489" s="43"/>
      <c r="F489" s="295"/>
      <c r="G489" s="29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ht="15.75" customHeight="1">
      <c r="B490" s="2"/>
      <c r="C490" s="43"/>
      <c r="D490" s="43"/>
      <c r="E490" s="43"/>
      <c r="F490" s="295"/>
      <c r="G490" s="29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ht="15.75" customHeight="1">
      <c r="B491" s="2"/>
      <c r="C491" s="43"/>
      <c r="D491" s="43"/>
      <c r="E491" s="43"/>
      <c r="F491" s="295"/>
      <c r="G491" s="29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ht="15.75" customHeight="1">
      <c r="B492" s="2"/>
      <c r="C492" s="43"/>
      <c r="D492" s="43"/>
      <c r="E492" s="43"/>
      <c r="F492" s="295"/>
      <c r="G492" s="29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ht="15.75" customHeight="1">
      <c r="B493" s="2"/>
      <c r="C493" s="43"/>
      <c r="D493" s="43"/>
      <c r="E493" s="43"/>
      <c r="F493" s="295"/>
      <c r="G493" s="29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ht="15.75" customHeight="1">
      <c r="B494" s="2"/>
      <c r="C494" s="43"/>
      <c r="D494" s="43"/>
      <c r="E494" s="43"/>
      <c r="F494" s="295"/>
      <c r="G494" s="29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ht="15.75" customHeight="1">
      <c r="B495" s="2"/>
      <c r="C495" s="43"/>
      <c r="D495" s="43"/>
      <c r="E495" s="43"/>
      <c r="F495" s="295"/>
      <c r="G495" s="29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ht="15.75" customHeight="1">
      <c r="B496" s="2"/>
      <c r="C496" s="43"/>
      <c r="D496" s="43"/>
      <c r="E496" s="43"/>
      <c r="F496" s="295"/>
      <c r="G496" s="29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ht="15.75" customHeight="1">
      <c r="B497" s="2"/>
      <c r="C497" s="43"/>
      <c r="D497" s="43"/>
      <c r="E497" s="43"/>
      <c r="F497" s="295"/>
      <c r="G497" s="29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ht="15.75" customHeight="1">
      <c r="B498" s="2"/>
      <c r="C498" s="43"/>
      <c r="D498" s="43"/>
      <c r="E498" s="43"/>
      <c r="F498" s="295"/>
      <c r="G498" s="29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ht="15.75" customHeight="1">
      <c r="B499" s="2"/>
      <c r="C499" s="43"/>
      <c r="D499" s="43"/>
      <c r="E499" s="43"/>
      <c r="F499" s="295"/>
      <c r="G499" s="29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ht="15.75" customHeight="1">
      <c r="B500" s="2"/>
      <c r="C500" s="43"/>
      <c r="D500" s="43"/>
      <c r="E500" s="43"/>
      <c r="F500" s="295"/>
      <c r="G500" s="29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ht="15.75" customHeight="1">
      <c r="B501" s="2"/>
      <c r="C501" s="43"/>
      <c r="D501" s="43"/>
      <c r="E501" s="43"/>
      <c r="F501" s="295"/>
      <c r="G501" s="29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ht="15.75" customHeight="1">
      <c r="B502" s="2"/>
      <c r="C502" s="43"/>
      <c r="D502" s="43"/>
      <c r="E502" s="43"/>
      <c r="F502" s="295"/>
      <c r="G502" s="29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ht="15.75" customHeight="1">
      <c r="B503" s="2"/>
      <c r="C503" s="43"/>
      <c r="D503" s="43"/>
      <c r="E503" s="43"/>
      <c r="F503" s="295"/>
      <c r="G503" s="29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ht="15.75" customHeight="1">
      <c r="B504" s="2"/>
      <c r="C504" s="43"/>
      <c r="D504" s="43"/>
      <c r="E504" s="43"/>
      <c r="F504" s="295"/>
      <c r="G504" s="29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ht="15.75" customHeight="1">
      <c r="B505" s="2"/>
      <c r="C505" s="43"/>
      <c r="D505" s="43"/>
      <c r="E505" s="43"/>
      <c r="F505" s="295"/>
      <c r="G505" s="29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ht="15.75" customHeight="1">
      <c r="B506" s="2"/>
      <c r="C506" s="43"/>
      <c r="D506" s="43"/>
      <c r="E506" s="43"/>
      <c r="F506" s="295"/>
      <c r="G506" s="29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ht="15.75" customHeight="1">
      <c r="B507" s="2"/>
      <c r="C507" s="43"/>
      <c r="D507" s="43"/>
      <c r="E507" s="43"/>
      <c r="F507" s="295"/>
      <c r="G507" s="29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ht="15.75" customHeight="1">
      <c r="B508" s="2"/>
      <c r="C508" s="43"/>
      <c r="D508" s="43"/>
      <c r="E508" s="43"/>
      <c r="F508" s="295"/>
      <c r="G508" s="29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ht="15.75" customHeight="1">
      <c r="B509" s="2"/>
      <c r="C509" s="43"/>
      <c r="D509" s="43"/>
      <c r="E509" s="43"/>
      <c r="F509" s="295"/>
      <c r="G509" s="29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ht="15.75" customHeight="1">
      <c r="B510" s="2"/>
      <c r="C510" s="43"/>
      <c r="D510" s="43"/>
      <c r="E510" s="43"/>
      <c r="F510" s="295"/>
      <c r="G510" s="29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ht="15.75" customHeight="1">
      <c r="B511" s="2"/>
      <c r="C511" s="43"/>
      <c r="D511" s="43"/>
      <c r="E511" s="43"/>
      <c r="F511" s="295"/>
      <c r="G511" s="29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ht="15.75" customHeight="1">
      <c r="B512" s="2"/>
      <c r="C512" s="43"/>
      <c r="D512" s="43"/>
      <c r="E512" s="43"/>
      <c r="F512" s="295"/>
      <c r="G512" s="29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ht="15.75" customHeight="1">
      <c r="B513" s="2"/>
      <c r="C513" s="43"/>
      <c r="D513" s="43"/>
      <c r="E513" s="43"/>
      <c r="F513" s="295"/>
      <c r="G513" s="29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ht="15.75" customHeight="1">
      <c r="B514" s="2"/>
      <c r="C514" s="43"/>
      <c r="D514" s="43"/>
      <c r="E514" s="43"/>
      <c r="F514" s="295"/>
      <c r="G514" s="29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ht="15.75" customHeight="1">
      <c r="B515" s="2"/>
      <c r="C515" s="43"/>
      <c r="D515" s="43"/>
      <c r="E515" s="43"/>
      <c r="F515" s="295"/>
      <c r="G515" s="29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ht="15.75" customHeight="1">
      <c r="B516" s="2"/>
      <c r="C516" s="43"/>
      <c r="D516" s="43"/>
      <c r="E516" s="43"/>
      <c r="F516" s="295"/>
      <c r="G516" s="29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ht="15.75" customHeight="1">
      <c r="B517" s="2"/>
      <c r="C517" s="43"/>
      <c r="D517" s="43"/>
      <c r="E517" s="43"/>
      <c r="F517" s="295"/>
      <c r="G517" s="29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ht="15.75" customHeight="1">
      <c r="B518" s="2"/>
      <c r="C518" s="43"/>
      <c r="D518" s="43"/>
      <c r="E518" s="43"/>
      <c r="F518" s="295"/>
      <c r="G518" s="29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ht="15.75" customHeight="1">
      <c r="B519" s="2"/>
      <c r="C519" s="43"/>
      <c r="D519" s="43"/>
      <c r="E519" s="43"/>
      <c r="F519" s="295"/>
      <c r="G519" s="29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ht="15.75" customHeight="1">
      <c r="B520" s="2"/>
      <c r="C520" s="43"/>
      <c r="D520" s="43"/>
      <c r="E520" s="43"/>
      <c r="F520" s="295"/>
      <c r="G520" s="29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ht="15.75" customHeight="1">
      <c r="B521" s="2"/>
      <c r="C521" s="43"/>
      <c r="D521" s="43"/>
      <c r="E521" s="43"/>
      <c r="F521" s="295"/>
      <c r="G521" s="29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ht="15.75" customHeight="1">
      <c r="B522" s="2"/>
      <c r="C522" s="43"/>
      <c r="D522" s="43"/>
      <c r="E522" s="43"/>
      <c r="F522" s="295"/>
      <c r="G522" s="29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ht="15.75" customHeight="1">
      <c r="B523" s="2"/>
      <c r="C523" s="43"/>
      <c r="D523" s="43"/>
      <c r="E523" s="43"/>
      <c r="F523" s="295"/>
      <c r="G523" s="29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ht="15.75" customHeight="1">
      <c r="B524" s="2"/>
      <c r="C524" s="43"/>
      <c r="D524" s="43"/>
      <c r="E524" s="43"/>
      <c r="F524" s="295"/>
      <c r="G524" s="29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ht="15.75" customHeight="1">
      <c r="B525" s="2"/>
      <c r="C525" s="43"/>
      <c r="D525" s="43"/>
      <c r="E525" s="43"/>
      <c r="F525" s="295"/>
      <c r="G525" s="29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ht="15.75" customHeight="1">
      <c r="B526" s="2"/>
      <c r="C526" s="43"/>
      <c r="D526" s="43"/>
      <c r="E526" s="43"/>
      <c r="F526" s="295"/>
      <c r="G526" s="29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ht="15.75" customHeight="1">
      <c r="B527" s="2"/>
      <c r="C527" s="43"/>
      <c r="D527" s="43"/>
      <c r="E527" s="43"/>
      <c r="F527" s="295"/>
      <c r="G527" s="29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ht="15.75" customHeight="1">
      <c r="B528" s="2"/>
      <c r="C528" s="43"/>
      <c r="D528" s="43"/>
      <c r="E528" s="43"/>
      <c r="F528" s="295"/>
      <c r="G528" s="29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ht="15.75" customHeight="1">
      <c r="B529" s="2"/>
      <c r="C529" s="43"/>
      <c r="D529" s="43"/>
      <c r="E529" s="43"/>
      <c r="F529" s="295"/>
      <c r="G529" s="29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ht="15.75" customHeight="1">
      <c r="B530" s="2"/>
      <c r="C530" s="43"/>
      <c r="D530" s="43"/>
      <c r="E530" s="43"/>
      <c r="F530" s="295"/>
      <c r="G530" s="29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ht="15.75" customHeight="1">
      <c r="B531" s="2"/>
      <c r="C531" s="43"/>
      <c r="D531" s="43"/>
      <c r="E531" s="43"/>
      <c r="F531" s="295"/>
      <c r="G531" s="29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ht="15.75" customHeight="1">
      <c r="B532" s="2"/>
      <c r="C532" s="43"/>
      <c r="D532" s="43"/>
      <c r="E532" s="43"/>
      <c r="F532" s="295"/>
      <c r="G532" s="29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ht="15.75" customHeight="1">
      <c r="B533" s="2"/>
      <c r="C533" s="43"/>
      <c r="D533" s="43"/>
      <c r="E533" s="43"/>
      <c r="F533" s="295"/>
      <c r="G533" s="29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ht="15.75" customHeight="1">
      <c r="B534" s="2"/>
      <c r="C534" s="43"/>
      <c r="D534" s="43"/>
      <c r="E534" s="43"/>
      <c r="F534" s="295"/>
      <c r="G534" s="29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ht="15.75" customHeight="1">
      <c r="B535" s="2"/>
      <c r="C535" s="43"/>
      <c r="D535" s="43"/>
      <c r="E535" s="43"/>
      <c r="F535" s="295"/>
      <c r="G535" s="29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ht="15.75" customHeight="1">
      <c r="B536" s="2"/>
      <c r="C536" s="43"/>
      <c r="D536" s="43"/>
      <c r="E536" s="43"/>
      <c r="F536" s="295"/>
      <c r="G536" s="29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ht="15.75" customHeight="1">
      <c r="B537" s="2"/>
      <c r="C537" s="43"/>
      <c r="D537" s="43"/>
      <c r="E537" s="43"/>
      <c r="F537" s="295"/>
      <c r="G537" s="29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ht="15.75" customHeight="1">
      <c r="B538" s="2"/>
      <c r="C538" s="43"/>
      <c r="D538" s="43"/>
      <c r="E538" s="43"/>
      <c r="F538" s="295"/>
      <c r="G538" s="29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ht="15.75" customHeight="1">
      <c r="B539" s="2"/>
      <c r="C539" s="43"/>
      <c r="D539" s="43"/>
      <c r="E539" s="43"/>
      <c r="F539" s="295"/>
      <c r="G539" s="29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ht="15.75" customHeight="1">
      <c r="B540" s="2"/>
      <c r="C540" s="43"/>
      <c r="D540" s="43"/>
      <c r="E540" s="43"/>
      <c r="F540" s="295"/>
      <c r="G540" s="29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ht="15.75" customHeight="1">
      <c r="B541" s="2"/>
      <c r="C541" s="43"/>
      <c r="D541" s="43"/>
      <c r="E541" s="43"/>
      <c r="F541" s="295"/>
      <c r="G541" s="29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ht="15.75" customHeight="1">
      <c r="B542" s="2"/>
      <c r="C542" s="43"/>
      <c r="D542" s="43"/>
      <c r="E542" s="43"/>
      <c r="F542" s="295"/>
      <c r="G542" s="29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ht="15.75" customHeight="1">
      <c r="B543" s="2"/>
      <c r="C543" s="43"/>
      <c r="D543" s="43"/>
      <c r="E543" s="43"/>
      <c r="F543" s="295"/>
      <c r="G543" s="29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ht="15.75" customHeight="1">
      <c r="B544" s="2"/>
      <c r="C544" s="43"/>
      <c r="D544" s="43"/>
      <c r="E544" s="43"/>
      <c r="F544" s="295"/>
      <c r="G544" s="29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ht="15.75" customHeight="1">
      <c r="B545" s="2"/>
      <c r="C545" s="43"/>
      <c r="D545" s="43"/>
      <c r="E545" s="43"/>
      <c r="F545" s="295"/>
      <c r="G545" s="29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ht="15.75" customHeight="1">
      <c r="B546" s="2"/>
      <c r="C546" s="43"/>
      <c r="D546" s="43"/>
      <c r="E546" s="43"/>
      <c r="F546" s="295"/>
      <c r="G546" s="29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ht="15.75" customHeight="1">
      <c r="B547" s="2"/>
      <c r="C547" s="43"/>
      <c r="D547" s="43"/>
      <c r="E547" s="43"/>
      <c r="F547" s="295"/>
      <c r="G547" s="29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ht="15.75" customHeight="1">
      <c r="B548" s="2"/>
      <c r="C548" s="43"/>
      <c r="D548" s="43"/>
      <c r="E548" s="43"/>
      <c r="F548" s="295"/>
      <c r="G548" s="29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ht="15.75" customHeight="1">
      <c r="B549" s="2"/>
      <c r="C549" s="43"/>
      <c r="D549" s="43"/>
      <c r="E549" s="43"/>
      <c r="F549" s="295"/>
      <c r="G549" s="29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ht="15.75" customHeight="1">
      <c r="B550" s="2"/>
      <c r="C550" s="43"/>
      <c r="D550" s="43"/>
      <c r="E550" s="43"/>
      <c r="F550" s="295"/>
      <c r="G550" s="29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ht="15.75" customHeight="1">
      <c r="B551" s="2"/>
      <c r="C551" s="43"/>
      <c r="D551" s="43"/>
      <c r="E551" s="43"/>
      <c r="F551" s="295"/>
      <c r="G551" s="29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ht="15.75" customHeight="1">
      <c r="B552" s="2"/>
      <c r="C552" s="43"/>
      <c r="D552" s="43"/>
      <c r="E552" s="43"/>
      <c r="F552" s="295"/>
      <c r="G552" s="29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ht="15.75" customHeight="1">
      <c r="B553" s="2"/>
      <c r="C553" s="43"/>
      <c r="D553" s="43"/>
      <c r="E553" s="43"/>
      <c r="F553" s="295"/>
      <c r="G553" s="29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ht="15.75" customHeight="1">
      <c r="B554" s="2"/>
      <c r="C554" s="43"/>
      <c r="D554" s="43"/>
      <c r="E554" s="43"/>
      <c r="F554" s="295"/>
      <c r="G554" s="29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ht="15.75" customHeight="1">
      <c r="B555" s="2"/>
      <c r="C555" s="43"/>
      <c r="D555" s="43"/>
      <c r="E555" s="43"/>
      <c r="F555" s="295"/>
      <c r="G555" s="29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ht="15.75" customHeight="1">
      <c r="B556" s="2"/>
      <c r="C556" s="43"/>
      <c r="D556" s="43"/>
      <c r="E556" s="43"/>
      <c r="F556" s="295"/>
      <c r="G556" s="29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ht="15.75" customHeight="1">
      <c r="B557" s="2"/>
      <c r="C557" s="43"/>
      <c r="D557" s="43"/>
      <c r="E557" s="43"/>
      <c r="F557" s="295"/>
      <c r="G557" s="29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ht="15.75" customHeight="1">
      <c r="B558" s="2"/>
      <c r="C558" s="43"/>
      <c r="D558" s="43"/>
      <c r="E558" s="43"/>
      <c r="F558" s="295"/>
      <c r="G558" s="29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ht="15.75" customHeight="1">
      <c r="B559" s="2"/>
      <c r="C559" s="43"/>
      <c r="D559" s="43"/>
      <c r="E559" s="43"/>
      <c r="F559" s="295"/>
      <c r="G559" s="29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ht="15.75" customHeight="1">
      <c r="B560" s="2"/>
      <c r="C560" s="43"/>
      <c r="D560" s="43"/>
      <c r="E560" s="43"/>
      <c r="F560" s="295"/>
      <c r="G560" s="29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ht="15.75" customHeight="1">
      <c r="B561" s="2"/>
      <c r="C561" s="43"/>
      <c r="D561" s="43"/>
      <c r="E561" s="43"/>
      <c r="F561" s="295"/>
      <c r="G561" s="29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ht="15.75" customHeight="1">
      <c r="B562" s="2"/>
      <c r="C562" s="43"/>
      <c r="D562" s="43"/>
      <c r="E562" s="43"/>
      <c r="F562" s="295"/>
      <c r="G562" s="29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ht="15.75" customHeight="1">
      <c r="B563" s="2"/>
      <c r="C563" s="43"/>
      <c r="D563" s="43"/>
      <c r="E563" s="43"/>
      <c r="F563" s="295"/>
      <c r="G563" s="29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ht="15.75" customHeight="1">
      <c r="B564" s="2"/>
      <c r="C564" s="43"/>
      <c r="D564" s="43"/>
      <c r="E564" s="43"/>
      <c r="F564" s="295"/>
      <c r="G564" s="29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ht="15.75" customHeight="1">
      <c r="B565" s="2"/>
      <c r="C565" s="43"/>
      <c r="D565" s="43"/>
      <c r="E565" s="43"/>
      <c r="F565" s="295"/>
      <c r="G565" s="29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ht="15.75" customHeight="1">
      <c r="B566" s="2"/>
      <c r="C566" s="43"/>
      <c r="D566" s="43"/>
      <c r="E566" s="43"/>
      <c r="F566" s="295"/>
      <c r="G566" s="29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ht="15.75" customHeight="1">
      <c r="B567" s="2"/>
      <c r="C567" s="43"/>
      <c r="D567" s="43"/>
      <c r="E567" s="43"/>
      <c r="F567" s="295"/>
      <c r="G567" s="29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ht="15.75" customHeight="1">
      <c r="B568" s="2"/>
      <c r="C568" s="43"/>
      <c r="D568" s="43"/>
      <c r="E568" s="43"/>
      <c r="F568" s="295"/>
      <c r="G568" s="29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ht="15.75" customHeight="1">
      <c r="B569" s="2"/>
      <c r="C569" s="43"/>
      <c r="D569" s="43"/>
      <c r="E569" s="43"/>
      <c r="F569" s="295"/>
      <c r="G569" s="29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ht="15.75" customHeight="1">
      <c r="B570" s="2"/>
      <c r="C570" s="43"/>
      <c r="D570" s="43"/>
      <c r="E570" s="43"/>
      <c r="F570" s="295"/>
      <c r="G570" s="29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ht="15.75" customHeight="1">
      <c r="B571" s="2"/>
      <c r="C571" s="43"/>
      <c r="D571" s="43"/>
      <c r="E571" s="43"/>
      <c r="F571" s="295"/>
      <c r="G571" s="29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ht="15.75" customHeight="1">
      <c r="B572" s="2"/>
      <c r="C572" s="43"/>
      <c r="D572" s="43"/>
      <c r="E572" s="43"/>
      <c r="F572" s="295"/>
      <c r="G572" s="29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ht="15.75" customHeight="1">
      <c r="B573" s="2"/>
      <c r="C573" s="43"/>
      <c r="D573" s="43"/>
      <c r="E573" s="43"/>
      <c r="F573" s="295"/>
      <c r="G573" s="29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ht="15.75" customHeight="1">
      <c r="B574" s="2"/>
      <c r="C574" s="43"/>
      <c r="D574" s="43"/>
      <c r="E574" s="43"/>
      <c r="F574" s="295"/>
      <c r="G574" s="29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ht="15.75" customHeight="1">
      <c r="B575" s="2"/>
      <c r="C575" s="43"/>
      <c r="D575" s="43"/>
      <c r="E575" s="43"/>
      <c r="F575" s="295"/>
      <c r="G575" s="29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ht="15.75" customHeight="1">
      <c r="B576" s="2"/>
      <c r="C576" s="43"/>
      <c r="D576" s="43"/>
      <c r="E576" s="43"/>
      <c r="F576" s="295"/>
      <c r="G576" s="29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ht="15.75" customHeight="1">
      <c r="B577" s="2"/>
      <c r="C577" s="43"/>
      <c r="D577" s="43"/>
      <c r="E577" s="43"/>
      <c r="F577" s="295"/>
      <c r="G577" s="29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ht="15.75" customHeight="1">
      <c r="B578" s="2"/>
      <c r="C578" s="43"/>
      <c r="D578" s="43"/>
      <c r="E578" s="43"/>
      <c r="F578" s="295"/>
      <c r="G578" s="29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ht="15.75" customHeight="1">
      <c r="B579" s="2"/>
      <c r="C579" s="43"/>
      <c r="D579" s="43"/>
      <c r="E579" s="43"/>
      <c r="F579" s="295"/>
      <c r="G579" s="29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ht="15.75" customHeight="1">
      <c r="B580" s="2"/>
      <c r="C580" s="43"/>
      <c r="D580" s="43"/>
      <c r="E580" s="43"/>
      <c r="F580" s="295"/>
      <c r="G580" s="29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ht="15.75" customHeight="1">
      <c r="B581" s="2"/>
      <c r="C581" s="43"/>
      <c r="D581" s="43"/>
      <c r="E581" s="43"/>
      <c r="F581" s="295"/>
      <c r="G581" s="29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ht="15.75" customHeight="1">
      <c r="B582" s="2"/>
      <c r="C582" s="43"/>
      <c r="D582" s="43"/>
      <c r="E582" s="43"/>
      <c r="F582" s="295"/>
      <c r="G582" s="29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ht="15.75" customHeight="1">
      <c r="B583" s="2"/>
      <c r="C583" s="43"/>
      <c r="D583" s="43"/>
      <c r="E583" s="43"/>
      <c r="F583" s="295"/>
      <c r="G583" s="29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ht="15.75" customHeight="1">
      <c r="B584" s="2"/>
      <c r="C584" s="43"/>
      <c r="D584" s="43"/>
      <c r="E584" s="43"/>
      <c r="F584" s="295"/>
      <c r="G584" s="29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ht="15.75" customHeight="1">
      <c r="B585" s="2"/>
      <c r="C585" s="43"/>
      <c r="D585" s="43"/>
      <c r="E585" s="43"/>
      <c r="F585" s="295"/>
      <c r="G585" s="29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ht="15.75" customHeight="1">
      <c r="B586" s="2"/>
      <c r="C586" s="43"/>
      <c r="D586" s="43"/>
      <c r="E586" s="43"/>
      <c r="F586" s="295"/>
      <c r="G586" s="29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ht="15.75" customHeight="1">
      <c r="B587" s="2"/>
      <c r="C587" s="43"/>
      <c r="D587" s="43"/>
      <c r="E587" s="43"/>
      <c r="F587" s="295"/>
      <c r="G587" s="29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ht="15.75" customHeight="1">
      <c r="B588" s="2"/>
      <c r="C588" s="43"/>
      <c r="D588" s="43"/>
      <c r="E588" s="43"/>
      <c r="F588" s="295"/>
      <c r="G588" s="29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ht="15.75" customHeight="1">
      <c r="B589" s="2"/>
      <c r="C589" s="43"/>
      <c r="D589" s="43"/>
      <c r="E589" s="43"/>
      <c r="F589" s="295"/>
      <c r="G589" s="29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ht="15.75" customHeight="1">
      <c r="B590" s="2"/>
      <c r="C590" s="43"/>
      <c r="D590" s="43"/>
      <c r="E590" s="43"/>
      <c r="F590" s="295"/>
      <c r="G590" s="29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ht="15.75" customHeight="1">
      <c r="B591" s="2"/>
      <c r="C591" s="43"/>
      <c r="D591" s="43"/>
      <c r="E591" s="43"/>
      <c r="F591" s="295"/>
      <c r="G591" s="29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ht="15.75" customHeight="1">
      <c r="B592" s="2"/>
      <c r="C592" s="43"/>
      <c r="D592" s="43"/>
      <c r="E592" s="43"/>
      <c r="F592" s="295"/>
      <c r="G592" s="29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ht="15.75" customHeight="1">
      <c r="B593" s="2"/>
      <c r="C593" s="43"/>
      <c r="D593" s="43"/>
      <c r="E593" s="43"/>
      <c r="F593" s="295"/>
      <c r="G593" s="29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ht="15.75" customHeight="1">
      <c r="B594" s="2"/>
      <c r="C594" s="43"/>
      <c r="D594" s="43"/>
      <c r="E594" s="43"/>
      <c r="F594" s="295"/>
      <c r="G594" s="29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ht="15.75" customHeight="1">
      <c r="B595" s="2"/>
      <c r="C595" s="43"/>
      <c r="D595" s="43"/>
      <c r="E595" s="43"/>
      <c r="F595" s="295"/>
      <c r="G595" s="29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ht="15.75" customHeight="1">
      <c r="B596" s="2"/>
      <c r="C596" s="43"/>
      <c r="D596" s="43"/>
      <c r="E596" s="43"/>
      <c r="F596" s="295"/>
      <c r="G596" s="29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ht="15.75" customHeight="1">
      <c r="B597" s="2"/>
      <c r="C597" s="43"/>
      <c r="D597" s="43"/>
      <c r="E597" s="43"/>
      <c r="F597" s="295"/>
      <c r="G597" s="29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ht="15.75" customHeight="1">
      <c r="B598" s="2"/>
      <c r="C598" s="43"/>
      <c r="D598" s="43"/>
      <c r="E598" s="43"/>
      <c r="F598" s="295"/>
      <c r="G598" s="29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ht="15.75" customHeight="1">
      <c r="B599" s="2"/>
      <c r="C599" s="43"/>
      <c r="D599" s="43"/>
      <c r="E599" s="43"/>
      <c r="F599" s="295"/>
      <c r="G599" s="29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ht="15.75" customHeight="1">
      <c r="B600" s="2"/>
      <c r="C600" s="43"/>
      <c r="D600" s="43"/>
      <c r="E600" s="43"/>
      <c r="F600" s="295"/>
      <c r="G600" s="29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ht="15.75" customHeight="1">
      <c r="B601" s="2"/>
      <c r="C601" s="43"/>
      <c r="D601" s="43"/>
      <c r="E601" s="43"/>
      <c r="F601" s="295"/>
      <c r="G601" s="29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ht="15.75" customHeight="1">
      <c r="B602" s="2"/>
      <c r="C602" s="43"/>
      <c r="D602" s="43"/>
      <c r="E602" s="43"/>
      <c r="F602" s="295"/>
      <c r="G602" s="29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ht="15.75" customHeight="1">
      <c r="B603" s="2"/>
      <c r="C603" s="43"/>
      <c r="D603" s="43"/>
      <c r="E603" s="43"/>
      <c r="F603" s="295"/>
      <c r="G603" s="29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ht="15.75" customHeight="1">
      <c r="B604" s="2"/>
      <c r="C604" s="43"/>
      <c r="D604" s="43"/>
      <c r="E604" s="43"/>
      <c r="F604" s="295"/>
      <c r="G604" s="29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ht="15.75" customHeight="1">
      <c r="B605" s="2"/>
      <c r="C605" s="43"/>
      <c r="D605" s="43"/>
      <c r="E605" s="43"/>
      <c r="F605" s="295"/>
      <c r="G605" s="29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ht="15.75" customHeight="1">
      <c r="B606" s="2"/>
      <c r="C606" s="43"/>
      <c r="D606" s="43"/>
      <c r="E606" s="43"/>
      <c r="F606" s="295"/>
      <c r="G606" s="29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ht="15.75" customHeight="1">
      <c r="B607" s="2"/>
      <c r="C607" s="43"/>
      <c r="D607" s="43"/>
      <c r="E607" s="43"/>
      <c r="F607" s="295"/>
      <c r="G607" s="29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ht="15.75" customHeight="1">
      <c r="B608" s="2"/>
      <c r="C608" s="43"/>
      <c r="D608" s="43"/>
      <c r="E608" s="43"/>
      <c r="F608" s="295"/>
      <c r="G608" s="29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ht="15.75" customHeight="1">
      <c r="B609" s="2"/>
      <c r="C609" s="43"/>
      <c r="D609" s="43"/>
      <c r="E609" s="43"/>
      <c r="F609" s="295"/>
      <c r="G609" s="29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ht="15.75" customHeight="1">
      <c r="B610" s="2"/>
      <c r="C610" s="43"/>
      <c r="D610" s="43"/>
      <c r="E610" s="43"/>
      <c r="F610" s="295"/>
      <c r="G610" s="29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ht="15.75" customHeight="1">
      <c r="B611" s="2"/>
      <c r="C611" s="43"/>
      <c r="D611" s="43"/>
      <c r="E611" s="43"/>
      <c r="F611" s="295"/>
      <c r="G611" s="29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ht="15.75" customHeight="1">
      <c r="B612" s="2"/>
      <c r="C612" s="43"/>
      <c r="D612" s="43"/>
      <c r="E612" s="43"/>
      <c r="F612" s="295"/>
      <c r="G612" s="29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ht="15.75" customHeight="1">
      <c r="B613" s="2"/>
      <c r="C613" s="43"/>
      <c r="D613" s="43"/>
      <c r="E613" s="43"/>
      <c r="F613" s="295"/>
      <c r="G613" s="29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ht="15.75" customHeight="1">
      <c r="B614" s="2"/>
      <c r="C614" s="43"/>
      <c r="D614" s="43"/>
      <c r="E614" s="43"/>
      <c r="F614" s="295"/>
      <c r="G614" s="29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ht="15.75" customHeight="1">
      <c r="B615" s="2"/>
      <c r="C615" s="43"/>
      <c r="D615" s="43"/>
      <c r="E615" s="43"/>
      <c r="F615" s="295"/>
      <c r="G615" s="29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ht="15.75" customHeight="1">
      <c r="B616" s="2"/>
      <c r="C616" s="43"/>
      <c r="D616" s="43"/>
      <c r="E616" s="43"/>
      <c r="F616" s="295"/>
      <c r="G616" s="29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ht="15.75" customHeight="1">
      <c r="B617" s="2"/>
      <c r="C617" s="43"/>
      <c r="D617" s="43"/>
      <c r="E617" s="43"/>
      <c r="F617" s="295"/>
      <c r="G617" s="29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ht="15.75" customHeight="1">
      <c r="B618" s="2"/>
      <c r="C618" s="43"/>
      <c r="D618" s="43"/>
      <c r="E618" s="43"/>
      <c r="F618" s="295"/>
      <c r="G618" s="29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ht="15.75" customHeight="1">
      <c r="B619" s="2"/>
      <c r="C619" s="43"/>
      <c r="D619" s="43"/>
      <c r="E619" s="43"/>
      <c r="F619" s="295"/>
      <c r="G619" s="29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ht="15.75" customHeight="1">
      <c r="B620" s="2"/>
      <c r="C620" s="43"/>
      <c r="D620" s="43"/>
      <c r="E620" s="43"/>
      <c r="F620" s="295"/>
      <c r="G620" s="29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ht="15.75" customHeight="1">
      <c r="B621" s="2"/>
      <c r="C621" s="43"/>
      <c r="D621" s="43"/>
      <c r="E621" s="43"/>
      <c r="F621" s="295"/>
      <c r="G621" s="29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ht="15.75" customHeight="1">
      <c r="B622" s="2"/>
      <c r="C622" s="43"/>
      <c r="D622" s="43"/>
      <c r="E622" s="43"/>
      <c r="F622" s="295"/>
      <c r="G622" s="29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ht="15.75" customHeight="1">
      <c r="B623" s="2"/>
      <c r="C623" s="43"/>
      <c r="D623" s="43"/>
      <c r="E623" s="43"/>
      <c r="F623" s="295"/>
      <c r="G623" s="29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ht="15.75" customHeight="1">
      <c r="B624" s="2"/>
      <c r="C624" s="43"/>
      <c r="D624" s="43"/>
      <c r="E624" s="43"/>
      <c r="F624" s="295"/>
      <c r="G624" s="29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2:24" ht="15.75" customHeight="1">
      <c r="B625" s="2"/>
      <c r="C625" s="43"/>
      <c r="D625" s="43"/>
      <c r="E625" s="43"/>
      <c r="F625" s="295"/>
      <c r="G625" s="29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ht="15.75" customHeight="1">
      <c r="B626" s="2"/>
      <c r="C626" s="43"/>
      <c r="D626" s="43"/>
      <c r="E626" s="43"/>
      <c r="F626" s="295"/>
      <c r="G626" s="29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ht="15.75" customHeight="1">
      <c r="B627" s="2"/>
      <c r="C627" s="43"/>
      <c r="D627" s="43"/>
      <c r="E627" s="43"/>
      <c r="F627" s="295"/>
      <c r="G627" s="29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ht="15.75" customHeight="1">
      <c r="B628" s="2"/>
      <c r="C628" s="43"/>
      <c r="D628" s="43"/>
      <c r="E628" s="43"/>
      <c r="F628" s="295"/>
      <c r="G628" s="29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ht="15.75" customHeight="1">
      <c r="B629" s="2"/>
      <c r="C629" s="43"/>
      <c r="D629" s="43"/>
      <c r="E629" s="43"/>
      <c r="F629" s="295"/>
      <c r="G629" s="29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ht="15.75" customHeight="1">
      <c r="B630" s="2"/>
      <c r="C630" s="43"/>
      <c r="D630" s="43"/>
      <c r="E630" s="43"/>
      <c r="F630" s="295"/>
      <c r="G630" s="29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ht="15.75" customHeight="1">
      <c r="B631" s="2"/>
      <c r="C631" s="43"/>
      <c r="D631" s="43"/>
      <c r="E631" s="43"/>
      <c r="F631" s="295"/>
      <c r="G631" s="29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ht="15.75" customHeight="1">
      <c r="B632" s="2"/>
      <c r="C632" s="43"/>
      <c r="D632" s="43"/>
      <c r="E632" s="43"/>
      <c r="F632" s="295"/>
      <c r="G632" s="29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ht="15.75" customHeight="1">
      <c r="B633" s="2"/>
      <c r="C633" s="43"/>
      <c r="D633" s="43"/>
      <c r="E633" s="43"/>
      <c r="F633" s="295"/>
      <c r="G633" s="29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ht="15.75" customHeight="1">
      <c r="B634" s="2"/>
      <c r="C634" s="43"/>
      <c r="D634" s="43"/>
      <c r="E634" s="43"/>
      <c r="F634" s="295"/>
      <c r="G634" s="29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ht="15.75" customHeight="1">
      <c r="B635" s="2"/>
      <c r="C635" s="43"/>
      <c r="D635" s="43"/>
      <c r="E635" s="43"/>
      <c r="F635" s="295"/>
      <c r="G635" s="29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ht="15.75" customHeight="1">
      <c r="B636" s="2"/>
      <c r="C636" s="43"/>
      <c r="D636" s="43"/>
      <c r="E636" s="43"/>
      <c r="F636" s="295"/>
      <c r="G636" s="29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ht="15.75" customHeight="1">
      <c r="B637" s="2"/>
      <c r="C637" s="43"/>
      <c r="D637" s="43"/>
      <c r="E637" s="43"/>
      <c r="F637" s="295"/>
      <c r="G637" s="29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ht="15.75" customHeight="1">
      <c r="B638" s="2"/>
      <c r="C638" s="43"/>
      <c r="D638" s="43"/>
      <c r="E638" s="43"/>
      <c r="F638" s="295"/>
      <c r="G638" s="29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ht="15.75" customHeight="1">
      <c r="B639" s="2"/>
      <c r="C639" s="43"/>
      <c r="D639" s="43"/>
      <c r="E639" s="43"/>
      <c r="F639" s="295"/>
      <c r="G639" s="29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ht="15.75" customHeight="1">
      <c r="B640" s="2"/>
      <c r="C640" s="43"/>
      <c r="D640" s="43"/>
      <c r="E640" s="43"/>
      <c r="F640" s="295"/>
      <c r="G640" s="29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ht="15.75" customHeight="1">
      <c r="B641" s="2"/>
      <c r="C641" s="43"/>
      <c r="D641" s="43"/>
      <c r="E641" s="43"/>
      <c r="F641" s="295"/>
      <c r="G641" s="29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ht="15.75" customHeight="1">
      <c r="B642" s="2"/>
      <c r="C642" s="43"/>
      <c r="D642" s="43"/>
      <c r="E642" s="43"/>
      <c r="F642" s="295"/>
      <c r="G642" s="29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ht="15.75" customHeight="1">
      <c r="B643" s="2"/>
      <c r="C643" s="43"/>
      <c r="D643" s="43"/>
      <c r="E643" s="43"/>
      <c r="F643" s="295"/>
      <c r="G643" s="29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ht="15.75" customHeight="1">
      <c r="B644" s="2"/>
      <c r="C644" s="43"/>
      <c r="D644" s="43"/>
      <c r="E644" s="43"/>
      <c r="F644" s="295"/>
      <c r="G644" s="29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ht="15.75" customHeight="1">
      <c r="B645" s="2"/>
      <c r="C645" s="43"/>
      <c r="D645" s="43"/>
      <c r="E645" s="43"/>
      <c r="F645" s="295"/>
      <c r="G645" s="29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ht="15.75" customHeight="1">
      <c r="B646" s="2"/>
      <c r="C646" s="43"/>
      <c r="D646" s="43"/>
      <c r="E646" s="43"/>
      <c r="F646" s="295"/>
      <c r="G646" s="29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ht="15.75" customHeight="1">
      <c r="B647" s="2"/>
      <c r="C647" s="43"/>
      <c r="D647" s="43"/>
      <c r="E647" s="43"/>
      <c r="F647" s="295"/>
      <c r="G647" s="29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ht="15.75" customHeight="1">
      <c r="B648" s="2"/>
      <c r="C648" s="43"/>
      <c r="D648" s="43"/>
      <c r="E648" s="43"/>
      <c r="F648" s="295"/>
      <c r="G648" s="29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ht="15.75" customHeight="1">
      <c r="B649" s="2"/>
      <c r="C649" s="43"/>
      <c r="D649" s="43"/>
      <c r="E649" s="43"/>
      <c r="F649" s="295"/>
      <c r="G649" s="29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ht="15.75" customHeight="1">
      <c r="B650" s="2"/>
      <c r="C650" s="43"/>
      <c r="D650" s="43"/>
      <c r="E650" s="43"/>
      <c r="F650" s="295"/>
      <c r="G650" s="29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ht="15.75" customHeight="1">
      <c r="B651" s="2"/>
      <c r="C651" s="43"/>
      <c r="D651" s="43"/>
      <c r="E651" s="43"/>
      <c r="F651" s="295"/>
      <c r="G651" s="29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ht="15.75" customHeight="1">
      <c r="B652" s="2"/>
      <c r="C652" s="43"/>
      <c r="D652" s="43"/>
      <c r="E652" s="43"/>
      <c r="F652" s="295"/>
      <c r="G652" s="29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ht="15.75" customHeight="1">
      <c r="B653" s="2"/>
      <c r="C653" s="43"/>
      <c r="D653" s="43"/>
      <c r="E653" s="43"/>
      <c r="F653" s="295"/>
      <c r="G653" s="29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ht="15.75" customHeight="1">
      <c r="B654" s="2"/>
      <c r="C654" s="43"/>
      <c r="D654" s="43"/>
      <c r="E654" s="43"/>
      <c r="F654" s="295"/>
      <c r="G654" s="29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ht="15.75" customHeight="1">
      <c r="B655" s="2"/>
      <c r="C655" s="43"/>
      <c r="D655" s="43"/>
      <c r="E655" s="43"/>
      <c r="F655" s="295"/>
      <c r="G655" s="29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ht="15.75" customHeight="1">
      <c r="B656" s="2"/>
      <c r="C656" s="43"/>
      <c r="D656" s="43"/>
      <c r="E656" s="43"/>
      <c r="F656" s="295"/>
      <c r="G656" s="29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ht="15.75" customHeight="1">
      <c r="B657" s="2"/>
      <c r="C657" s="43"/>
      <c r="D657" s="43"/>
      <c r="E657" s="43"/>
      <c r="F657" s="295"/>
      <c r="G657" s="29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ht="15.75" customHeight="1">
      <c r="B658" s="2"/>
      <c r="C658" s="43"/>
      <c r="D658" s="43"/>
      <c r="E658" s="43"/>
      <c r="F658" s="295"/>
      <c r="G658" s="29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ht="15.75" customHeight="1">
      <c r="B659" s="2"/>
      <c r="C659" s="43"/>
      <c r="D659" s="43"/>
      <c r="E659" s="43"/>
      <c r="F659" s="295"/>
      <c r="G659" s="29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ht="15.75" customHeight="1">
      <c r="B660" s="2"/>
      <c r="C660" s="43"/>
      <c r="D660" s="43"/>
      <c r="E660" s="43"/>
      <c r="F660" s="295"/>
      <c r="G660" s="29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ht="15.75" customHeight="1">
      <c r="B661" s="2"/>
      <c r="C661" s="43"/>
      <c r="D661" s="43"/>
      <c r="E661" s="43"/>
      <c r="F661" s="295"/>
      <c r="G661" s="29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spans="2:24" s="2" customFormat="1" ht="15.75" customHeight="1">
      <c r="B672"/>
      <c r="C672" s="51"/>
      <c r="D672" s="51"/>
      <c r="E672" s="51"/>
      <c r="F672" s="116"/>
      <c r="G672" s="116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2:24" s="2" customFormat="1" ht="15.75" customHeight="1">
      <c r="B673"/>
      <c r="C673" s="51"/>
      <c r="D673" s="51"/>
      <c r="E673" s="51"/>
      <c r="F673" s="116"/>
      <c r="G673" s="116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2:24" s="2" customFormat="1" ht="15.75" customHeight="1">
      <c r="B674"/>
      <c r="C674" s="51"/>
      <c r="D674" s="51"/>
      <c r="E674" s="51"/>
      <c r="F674" s="116"/>
      <c r="G674" s="116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2:24" s="2" customFormat="1" ht="15.75" customHeight="1">
      <c r="B675"/>
      <c r="C675" s="51"/>
      <c r="D675" s="51"/>
      <c r="E675" s="51"/>
      <c r="F675" s="116"/>
      <c r="G675" s="116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2:24" s="2" customFormat="1" ht="15.75" customHeight="1">
      <c r="B676"/>
      <c r="C676" s="51"/>
      <c r="D676" s="51"/>
      <c r="E676" s="51"/>
      <c r="F676" s="116"/>
      <c r="G676" s="11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2:24" s="2" customFormat="1" ht="15.75" customHeight="1">
      <c r="B677"/>
      <c r="C677" s="51"/>
      <c r="D677" s="51"/>
      <c r="E677" s="51"/>
      <c r="F677" s="116"/>
      <c r="G677" s="116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2:24" s="2" customFormat="1" ht="15.75" customHeight="1">
      <c r="B678"/>
      <c r="C678" s="51"/>
      <c r="D678" s="51"/>
      <c r="E678" s="51"/>
      <c r="F678" s="116"/>
      <c r="G678" s="116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2:24" s="2" customFormat="1" ht="15.75" customHeight="1">
      <c r="B679"/>
      <c r="C679" s="51"/>
      <c r="D679" s="51"/>
      <c r="E679" s="51"/>
      <c r="F679" s="116"/>
      <c r="G679" s="116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2:24" s="2" customFormat="1" ht="15.75" customHeight="1">
      <c r="B680"/>
      <c r="C680" s="51"/>
      <c r="D680" s="51"/>
      <c r="E680" s="51"/>
      <c r="F680" s="116"/>
      <c r="G680" s="116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2:24" s="2" customFormat="1" ht="15.75" customHeight="1">
      <c r="B681"/>
      <c r="C681" s="51"/>
      <c r="D681" s="51"/>
      <c r="E681" s="51"/>
      <c r="F681" s="116"/>
      <c r="G681" s="116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2:24" s="2" customFormat="1" ht="15.75" customHeight="1">
      <c r="B682"/>
      <c r="C682" s="51"/>
      <c r="D682" s="51"/>
      <c r="E682" s="51"/>
      <c r="F682" s="116"/>
      <c r="G682" s="116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2:24" s="2" customFormat="1" ht="15.75" customHeight="1">
      <c r="B683"/>
      <c r="C683" s="51"/>
      <c r="D683" s="51"/>
      <c r="E683" s="51"/>
      <c r="F683" s="116"/>
      <c r="G683" s="116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2:24" s="2" customFormat="1" ht="15.75" customHeight="1">
      <c r="B684"/>
      <c r="C684" s="51"/>
      <c r="D684" s="51"/>
      <c r="E684" s="51"/>
      <c r="F684" s="116"/>
      <c r="G684" s="116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2:24" s="2" customFormat="1" ht="15.75" customHeight="1">
      <c r="B685"/>
      <c r="C685" s="51"/>
      <c r="D685" s="51"/>
      <c r="E685" s="51"/>
      <c r="F685" s="116"/>
      <c r="G685" s="116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2:24" s="2" customFormat="1" ht="15.75" customHeight="1">
      <c r="B686"/>
      <c r="C686" s="51"/>
      <c r="D686" s="51"/>
      <c r="E686" s="51"/>
      <c r="F686" s="116"/>
      <c r="G686" s="11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2:24" s="2" customFormat="1" ht="15.75" customHeight="1">
      <c r="B687"/>
      <c r="C687" s="51"/>
      <c r="D687" s="51"/>
      <c r="E687" s="51"/>
      <c r="F687" s="116"/>
      <c r="G687" s="116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2:24" s="2" customFormat="1" ht="15.75" customHeight="1">
      <c r="B688"/>
      <c r="C688" s="51"/>
      <c r="D688" s="51"/>
      <c r="E688" s="51"/>
      <c r="F688" s="116"/>
      <c r="G688" s="116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2:24" s="2" customFormat="1" ht="15.75" customHeight="1">
      <c r="B689"/>
      <c r="C689" s="51"/>
      <c r="D689" s="51"/>
      <c r="E689" s="51"/>
      <c r="F689" s="116"/>
      <c r="G689" s="116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2:24" s="2" customFormat="1" ht="15.75" customHeight="1">
      <c r="B690"/>
      <c r="C690" s="51"/>
      <c r="D690" s="51"/>
      <c r="E690" s="51"/>
      <c r="F690" s="116"/>
      <c r="G690" s="116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2:24" s="2" customFormat="1" ht="15.75" customHeight="1">
      <c r="B691"/>
      <c r="C691" s="51"/>
      <c r="D691" s="51"/>
      <c r="E691" s="51"/>
      <c r="F691" s="116"/>
      <c r="G691" s="116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2:24" s="2" customFormat="1" ht="15.75" customHeight="1">
      <c r="B692"/>
      <c r="C692" s="51"/>
      <c r="D692" s="51"/>
      <c r="E692" s="51"/>
      <c r="F692" s="116"/>
      <c r="G692" s="116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2:24" s="2" customFormat="1" ht="15.75" customHeight="1">
      <c r="B693"/>
      <c r="C693" s="51"/>
      <c r="D693" s="51"/>
      <c r="E693" s="51"/>
      <c r="F693" s="116"/>
      <c r="G693" s="116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2:24" s="2" customFormat="1" ht="15.75" customHeight="1">
      <c r="B694"/>
      <c r="C694" s="51"/>
      <c r="D694" s="51"/>
      <c r="E694" s="51"/>
      <c r="F694" s="116"/>
      <c r="G694" s="116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2:24" s="2" customFormat="1" ht="15.75" customHeight="1">
      <c r="B695"/>
      <c r="C695" s="51"/>
      <c r="D695" s="51"/>
      <c r="E695" s="51"/>
      <c r="F695" s="116"/>
      <c r="G695" s="116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2:24" s="2" customFormat="1" ht="15.75" customHeight="1">
      <c r="B696"/>
      <c r="C696" s="51"/>
      <c r="D696" s="51"/>
      <c r="E696" s="51"/>
      <c r="F696" s="116"/>
      <c r="G696" s="11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2:24" s="2" customFormat="1" ht="15.75" customHeight="1">
      <c r="B697"/>
      <c r="C697" s="51"/>
      <c r="D697" s="51"/>
      <c r="E697" s="51"/>
      <c r="F697" s="116"/>
      <c r="G697" s="116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2:24" s="2" customFormat="1" ht="15.75" customHeight="1">
      <c r="B698"/>
      <c r="C698" s="51"/>
      <c r="D698" s="51"/>
      <c r="E698" s="51"/>
      <c r="F698" s="116"/>
      <c r="G698" s="116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2:24" s="2" customFormat="1" ht="15.75" customHeight="1">
      <c r="B699"/>
      <c r="C699" s="51"/>
      <c r="D699" s="51"/>
      <c r="E699" s="51"/>
      <c r="F699" s="116"/>
      <c r="G699" s="116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2:24" s="2" customFormat="1" ht="15.75" customHeight="1">
      <c r="B700"/>
      <c r="C700" s="51"/>
      <c r="D700" s="51"/>
      <c r="E700" s="51"/>
      <c r="F700" s="116"/>
      <c r="G700" s="116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2:24" s="2" customFormat="1" ht="15.75" customHeight="1">
      <c r="B701"/>
      <c r="C701" s="51"/>
      <c r="D701" s="51"/>
      <c r="E701" s="51"/>
      <c r="F701" s="116"/>
      <c r="G701" s="116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2:24" s="2" customFormat="1" ht="15.75" customHeight="1">
      <c r="B702"/>
      <c r="C702" s="51"/>
      <c r="D702" s="51"/>
      <c r="E702" s="51"/>
      <c r="F702" s="116"/>
      <c r="G702" s="116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2:24" s="2" customFormat="1" ht="15.75" customHeight="1">
      <c r="B703"/>
      <c r="C703" s="51"/>
      <c r="D703" s="51"/>
      <c r="E703" s="51"/>
      <c r="F703" s="116"/>
      <c r="G703" s="116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2:24" s="2" customFormat="1" ht="15.75" customHeight="1">
      <c r="B704"/>
      <c r="C704" s="51"/>
      <c r="D704" s="51"/>
      <c r="E704" s="51"/>
      <c r="F704" s="116"/>
      <c r="G704" s="116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2:24" s="2" customFormat="1" ht="15.75" customHeight="1">
      <c r="B705"/>
      <c r="C705" s="51"/>
      <c r="D705" s="51"/>
      <c r="E705" s="51"/>
      <c r="F705" s="116"/>
      <c r="G705" s="116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2:24" s="2" customFormat="1" ht="15.75" customHeight="1">
      <c r="B706"/>
      <c r="C706" s="51"/>
      <c r="D706" s="51"/>
      <c r="E706" s="51"/>
      <c r="F706" s="116"/>
      <c r="G706" s="11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2:24" s="2" customFormat="1" ht="15.75" customHeight="1">
      <c r="B707"/>
      <c r="C707" s="51"/>
      <c r="D707" s="51"/>
      <c r="E707" s="51"/>
      <c r="F707" s="116"/>
      <c r="G707" s="116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2:24" s="2" customFormat="1" ht="15.75" customHeight="1">
      <c r="B708"/>
      <c r="C708" s="51"/>
      <c r="D708" s="51"/>
      <c r="E708" s="51"/>
      <c r="F708" s="116"/>
      <c r="G708" s="116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2:24" s="2" customFormat="1" ht="15.75" customHeight="1">
      <c r="B709"/>
      <c r="C709" s="51"/>
      <c r="D709" s="51"/>
      <c r="E709" s="51"/>
      <c r="F709" s="116"/>
      <c r="G709" s="116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2:24" s="2" customFormat="1" ht="15.75" customHeight="1">
      <c r="B710"/>
      <c r="C710" s="51"/>
      <c r="D710" s="51"/>
      <c r="E710" s="51"/>
      <c r="F710" s="116"/>
      <c r="G710" s="116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2:24" s="2" customFormat="1" ht="15.75" customHeight="1">
      <c r="B711"/>
      <c r="C711" s="51"/>
      <c r="D711" s="51"/>
      <c r="E711" s="51"/>
      <c r="F711" s="116"/>
      <c r="G711" s="116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2:24" s="2" customFormat="1" ht="15.75" customHeight="1">
      <c r="B712"/>
      <c r="C712" s="51"/>
      <c r="D712" s="51"/>
      <c r="E712" s="51"/>
      <c r="F712" s="116"/>
      <c r="G712" s="116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2:24" s="2" customFormat="1" ht="15.75" customHeight="1">
      <c r="B713"/>
      <c r="C713" s="51"/>
      <c r="D713" s="51"/>
      <c r="E713" s="51"/>
      <c r="F713" s="116"/>
      <c r="G713" s="116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2:24" s="2" customFormat="1" ht="15.75" customHeight="1">
      <c r="B714"/>
      <c r="C714" s="51"/>
      <c r="D714" s="51"/>
      <c r="E714" s="51"/>
      <c r="F714" s="116"/>
      <c r="G714" s="116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2:24" s="2" customFormat="1" ht="15.75" customHeight="1">
      <c r="B715"/>
      <c r="C715" s="51"/>
      <c r="D715" s="51"/>
      <c r="E715" s="51"/>
      <c r="F715" s="116"/>
      <c r="G715" s="116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2:24" s="2" customFormat="1" ht="15.75" customHeight="1">
      <c r="B716"/>
      <c r="C716" s="51"/>
      <c r="D716" s="51"/>
      <c r="E716" s="51"/>
      <c r="F716" s="116"/>
      <c r="G716" s="1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2:24" s="2" customFormat="1" ht="15.75" customHeight="1">
      <c r="B717"/>
      <c r="C717" s="51"/>
      <c r="D717" s="51"/>
      <c r="E717" s="51"/>
      <c r="F717" s="116"/>
      <c r="G717" s="116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2:24" s="2" customFormat="1" ht="15.75" customHeight="1">
      <c r="B718"/>
      <c r="C718" s="51"/>
      <c r="D718" s="51"/>
      <c r="E718" s="51"/>
      <c r="F718" s="116"/>
      <c r="G718" s="116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2:24" s="2" customFormat="1" ht="15.75" customHeight="1">
      <c r="B719"/>
      <c r="C719" s="51"/>
      <c r="D719" s="51"/>
      <c r="E719" s="51"/>
      <c r="F719" s="116"/>
      <c r="G719" s="116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2:24" s="2" customFormat="1" ht="15.75" customHeight="1">
      <c r="B720"/>
      <c r="C720" s="51"/>
      <c r="D720" s="51"/>
      <c r="E720" s="51"/>
      <c r="F720" s="116"/>
      <c r="G720" s="116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2:24" s="2" customFormat="1" ht="15.75" customHeight="1">
      <c r="B721"/>
      <c r="C721" s="51"/>
      <c r="D721" s="51"/>
      <c r="E721" s="51"/>
      <c r="F721" s="116"/>
      <c r="G721" s="116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2:24" s="2" customFormat="1" ht="15.75" customHeight="1">
      <c r="B722"/>
      <c r="C722" s="51"/>
      <c r="D722" s="51"/>
      <c r="E722" s="51"/>
      <c r="F722" s="116"/>
      <c r="G722" s="116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2:24" s="2" customFormat="1" ht="15.75" customHeight="1">
      <c r="B723"/>
      <c r="C723" s="51"/>
      <c r="D723" s="51"/>
      <c r="E723" s="51"/>
      <c r="F723" s="116"/>
      <c r="G723" s="116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2:24" s="2" customFormat="1" ht="15.75" customHeight="1">
      <c r="B724"/>
      <c r="C724" s="51"/>
      <c r="D724" s="51"/>
      <c r="E724" s="51"/>
      <c r="F724" s="116"/>
      <c r="G724" s="116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2:24" s="2" customFormat="1" ht="15.75" customHeight="1">
      <c r="B725"/>
      <c r="C725" s="51"/>
      <c r="D725" s="51"/>
      <c r="E725" s="51"/>
      <c r="F725" s="116"/>
      <c r="G725" s="116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2:24" s="2" customFormat="1" ht="15.75" customHeight="1">
      <c r="B726"/>
      <c r="C726" s="51"/>
      <c r="D726" s="51"/>
      <c r="E726" s="51"/>
      <c r="F726" s="116"/>
      <c r="G726" s="11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2:24" s="2" customFormat="1" ht="15.75" customHeight="1">
      <c r="B727"/>
      <c r="C727" s="51"/>
      <c r="D727" s="51"/>
      <c r="E727" s="51"/>
      <c r="F727" s="116"/>
      <c r="G727" s="116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2:24" s="2" customFormat="1" ht="15.75" customHeight="1">
      <c r="B728"/>
      <c r="C728" s="51"/>
      <c r="D728" s="51"/>
      <c r="E728" s="51"/>
      <c r="F728" s="116"/>
      <c r="G728" s="116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2:24" s="2" customFormat="1" ht="15.75" customHeight="1">
      <c r="B729"/>
      <c r="C729" s="51"/>
      <c r="D729" s="51"/>
      <c r="E729" s="51"/>
      <c r="F729" s="116"/>
      <c r="G729" s="116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2:24" s="2" customFormat="1" ht="15.75" customHeight="1">
      <c r="B730"/>
      <c r="C730" s="51"/>
      <c r="D730" s="51"/>
      <c r="E730" s="51"/>
      <c r="F730" s="116"/>
      <c r="G730" s="116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2:24" s="2" customFormat="1" ht="15.75" customHeight="1">
      <c r="B731"/>
      <c r="C731" s="51"/>
      <c r="D731" s="51"/>
      <c r="E731" s="51"/>
      <c r="F731" s="116"/>
      <c r="G731" s="116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2:24" s="2" customFormat="1" ht="15.75" customHeight="1">
      <c r="B732"/>
      <c r="C732" s="51"/>
      <c r="D732" s="51"/>
      <c r="E732" s="51"/>
      <c r="F732" s="116"/>
      <c r="G732" s="116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2:24" s="2" customFormat="1" ht="15.75" customHeight="1">
      <c r="B733"/>
      <c r="C733" s="51"/>
      <c r="D733" s="51"/>
      <c r="E733" s="51"/>
      <c r="F733" s="116"/>
      <c r="G733" s="116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2:24" s="2" customFormat="1" ht="15.75" customHeight="1">
      <c r="B734"/>
      <c r="C734" s="51"/>
      <c r="D734" s="51"/>
      <c r="E734" s="51"/>
      <c r="F734" s="116"/>
      <c r="G734" s="116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2:24" s="2" customFormat="1" ht="15.75" customHeight="1">
      <c r="B735"/>
      <c r="C735" s="51"/>
      <c r="D735" s="51"/>
      <c r="E735" s="51"/>
      <c r="F735" s="116"/>
      <c r="G735" s="116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2:24" s="2" customFormat="1" ht="15.75" customHeight="1">
      <c r="B736"/>
      <c r="C736" s="51"/>
      <c r="D736" s="51"/>
      <c r="E736" s="51"/>
      <c r="F736" s="116"/>
      <c r="G736" s="11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2:24" s="2" customFormat="1" ht="15.75" customHeight="1">
      <c r="B737"/>
      <c r="C737" s="51"/>
      <c r="D737" s="51"/>
      <c r="E737" s="51"/>
      <c r="F737" s="116"/>
      <c r="G737" s="116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2:24" s="2" customFormat="1" ht="15.75" customHeight="1">
      <c r="B738"/>
      <c r="C738" s="51"/>
      <c r="D738" s="51"/>
      <c r="E738" s="51"/>
      <c r="F738" s="116"/>
      <c r="G738" s="116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2:24" s="2" customFormat="1" ht="15.75" customHeight="1">
      <c r="B739"/>
      <c r="C739" s="51"/>
      <c r="D739" s="51"/>
      <c r="E739" s="51"/>
      <c r="F739" s="116"/>
      <c r="G739" s="116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2:24" s="2" customFormat="1" ht="15.75" customHeight="1">
      <c r="B740"/>
      <c r="C740" s="51"/>
      <c r="D740" s="51"/>
      <c r="E740" s="51"/>
      <c r="F740" s="116"/>
      <c r="G740" s="116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2:24" s="2" customFormat="1" ht="15.75" customHeight="1">
      <c r="B741"/>
      <c r="C741" s="51"/>
      <c r="D741" s="51"/>
      <c r="E741" s="51"/>
      <c r="F741" s="116"/>
      <c r="G741" s="116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2:24" s="2" customFormat="1" ht="15.75" customHeight="1">
      <c r="B742"/>
      <c r="C742" s="51"/>
      <c r="D742" s="51"/>
      <c r="E742" s="51"/>
      <c r="F742" s="116"/>
      <c r="G742" s="116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2:24" s="2" customFormat="1" ht="15.75" customHeight="1">
      <c r="B743"/>
      <c r="C743" s="51"/>
      <c r="D743" s="51"/>
      <c r="E743" s="51"/>
      <c r="F743" s="116"/>
      <c r="G743" s="116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2:24" s="2" customFormat="1" ht="15.75" customHeight="1">
      <c r="B744"/>
      <c r="C744" s="51"/>
      <c r="D744" s="51"/>
      <c r="E744" s="51"/>
      <c r="F744" s="116"/>
      <c r="G744" s="116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2:24" s="2" customFormat="1" ht="15.75" customHeight="1">
      <c r="B745"/>
      <c r="C745" s="51"/>
      <c r="D745" s="51"/>
      <c r="E745" s="51"/>
      <c r="F745" s="116"/>
      <c r="G745" s="116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2:24" s="2" customFormat="1" ht="15.75" customHeight="1">
      <c r="B746"/>
      <c r="C746" s="51"/>
      <c r="D746" s="51"/>
      <c r="E746" s="51"/>
      <c r="F746" s="116"/>
      <c r="G746" s="11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2:24" s="2" customFormat="1" ht="15.75" customHeight="1">
      <c r="B747"/>
      <c r="C747" s="51"/>
      <c r="D747" s="51"/>
      <c r="E747" s="51"/>
      <c r="F747" s="116"/>
      <c r="G747" s="116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2:24" s="2" customFormat="1" ht="15.75" customHeight="1">
      <c r="B748"/>
      <c r="C748" s="51"/>
      <c r="D748" s="51"/>
      <c r="E748" s="51"/>
      <c r="F748" s="116"/>
      <c r="G748" s="116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2:24" s="2" customFormat="1" ht="15.75" customHeight="1">
      <c r="B749"/>
      <c r="C749" s="51"/>
      <c r="D749" s="51"/>
      <c r="E749" s="51"/>
      <c r="F749" s="116"/>
      <c r="G749" s="116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2:24" s="2" customFormat="1" ht="15.75" customHeight="1">
      <c r="B750"/>
      <c r="C750" s="51"/>
      <c r="D750" s="51"/>
      <c r="E750" s="51"/>
      <c r="F750" s="116"/>
      <c r="G750" s="116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2:24" s="2" customFormat="1" ht="15.75" customHeight="1">
      <c r="B751"/>
      <c r="C751" s="51"/>
      <c r="D751" s="51"/>
      <c r="E751" s="51"/>
      <c r="F751" s="116"/>
      <c r="G751" s="116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2:24" s="2" customFormat="1" ht="15.75" customHeight="1">
      <c r="B752"/>
      <c r="C752" s="51"/>
      <c r="D752" s="51"/>
      <c r="E752" s="51"/>
      <c r="F752" s="116"/>
      <c r="G752" s="116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2:24" s="2" customFormat="1" ht="15.75" customHeight="1">
      <c r="B753"/>
      <c r="C753" s="51"/>
      <c r="D753" s="51"/>
      <c r="E753" s="51"/>
      <c r="F753" s="116"/>
      <c r="G753" s="116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2:24" s="2" customFormat="1" ht="15.75" customHeight="1">
      <c r="B754"/>
      <c r="C754" s="51"/>
      <c r="D754" s="51"/>
      <c r="E754" s="51"/>
      <c r="F754" s="116"/>
      <c r="G754" s="116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2:24" s="2" customFormat="1" ht="15.75" customHeight="1">
      <c r="B755"/>
      <c r="C755" s="51"/>
      <c r="D755" s="51"/>
      <c r="E755" s="51"/>
      <c r="F755" s="116"/>
      <c r="G755" s="116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2:24" s="2" customFormat="1" ht="15.75" customHeight="1">
      <c r="B756"/>
      <c r="C756" s="51"/>
      <c r="D756" s="51"/>
      <c r="E756" s="51"/>
      <c r="F756" s="116"/>
      <c r="G756" s="11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2:24" s="2" customFormat="1" ht="15.75" customHeight="1">
      <c r="B757"/>
      <c r="C757" s="51"/>
      <c r="D757" s="51"/>
      <c r="E757" s="51"/>
      <c r="F757" s="116"/>
      <c r="G757" s="116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2:24" s="2" customFormat="1" ht="15.75" customHeight="1">
      <c r="B758"/>
      <c r="C758" s="51"/>
      <c r="D758" s="51"/>
      <c r="E758" s="51"/>
      <c r="F758" s="116"/>
      <c r="G758" s="116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2:24" s="2" customFormat="1" ht="15.75" customHeight="1">
      <c r="B759"/>
      <c r="C759" s="51"/>
      <c r="D759" s="51"/>
      <c r="E759" s="51"/>
      <c r="F759" s="116"/>
      <c r="G759" s="116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2:24" s="2" customFormat="1" ht="15.75" customHeight="1">
      <c r="B760"/>
      <c r="C760" s="51"/>
      <c r="D760" s="51"/>
      <c r="E760" s="51"/>
      <c r="F760" s="116"/>
      <c r="G760" s="116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2:24" s="2" customFormat="1" ht="15.75" customHeight="1">
      <c r="B761"/>
      <c r="C761" s="51"/>
      <c r="D761" s="51"/>
      <c r="E761" s="51"/>
      <c r="F761" s="116"/>
      <c r="G761" s="116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2:24" s="2" customFormat="1" ht="15.75" customHeight="1">
      <c r="B762"/>
      <c r="C762" s="51"/>
      <c r="D762" s="51"/>
      <c r="E762" s="51"/>
      <c r="F762" s="116"/>
      <c r="G762" s="116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2:24" s="2" customFormat="1" ht="15.75" customHeight="1">
      <c r="B763"/>
      <c r="C763" s="51"/>
      <c r="D763" s="51"/>
      <c r="E763" s="51"/>
      <c r="F763" s="116"/>
      <c r="G763" s="116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2:24" s="2" customFormat="1" ht="15.75" customHeight="1">
      <c r="B764"/>
      <c r="C764" s="51"/>
      <c r="D764" s="51"/>
      <c r="E764" s="51"/>
      <c r="F764" s="116"/>
      <c r="G764" s="116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2:24" s="2" customFormat="1" ht="15.75" customHeight="1">
      <c r="B765"/>
      <c r="C765" s="51"/>
      <c r="D765" s="51"/>
      <c r="E765" s="51"/>
      <c r="F765" s="116"/>
      <c r="G765" s="116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</sheetData>
  <sheetProtection/>
  <mergeCells count="2">
    <mergeCell ref="A2:E2"/>
    <mergeCell ref="A3:E3"/>
  </mergeCells>
  <printOptions/>
  <pageMargins left="0.93" right="0.15748031496062992" top="0.28" bottom="0.15748031496062992" header="0.15748031496062992" footer="0.15748031496062992"/>
  <pageSetup horizontalDpi="300" verticalDpi="300" orientation="portrait" paperSize="9" scale="74" r:id="rId1"/>
  <rowBreaks count="1" manualBreakCount="1">
    <brk id="82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20"/>
  <sheetViews>
    <sheetView zoomScaleSheetLayoutView="80" zoomScalePageLayoutView="0" workbookViewId="0" topLeftCell="A49">
      <selection activeCell="B78" sqref="B78"/>
    </sheetView>
  </sheetViews>
  <sheetFormatPr defaultColWidth="9.00390625" defaultRowHeight="12.75"/>
  <cols>
    <col min="1" max="1" width="6.25390625" style="2" customWidth="1"/>
    <col min="2" max="2" width="85.125" style="0" customWidth="1"/>
    <col min="3" max="3" width="19.75390625" style="372" customWidth="1"/>
    <col min="4" max="6" width="9.125" style="0" customWidth="1"/>
    <col min="7" max="7" width="9.875" style="0" customWidth="1"/>
    <col min="8" max="8" width="9.125" style="0" customWidth="1"/>
    <col min="9" max="9" width="10.375" style="0" customWidth="1"/>
    <col min="10" max="10" width="10.125" style="0" customWidth="1"/>
    <col min="11" max="18" width="9.125" style="0" customWidth="1"/>
    <col min="19" max="19" width="6.625" style="0" bestFit="1" customWidth="1"/>
  </cols>
  <sheetData>
    <row r="1" spans="1:38" ht="15" customHeight="1">
      <c r="A1" s="72"/>
      <c r="B1" s="336"/>
      <c r="C1" s="338" t="s">
        <v>254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9.5">
      <c r="A2" s="955" t="s">
        <v>29</v>
      </c>
      <c r="B2" s="955"/>
      <c r="C2" s="96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9.5">
      <c r="A3" s="955" t="s">
        <v>948</v>
      </c>
      <c r="B3" s="955"/>
      <c r="C3" s="96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 thickBot="1">
      <c r="A4" s="72"/>
      <c r="B4" s="72"/>
      <c r="C4" s="338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6.75" customHeight="1" thickBot="1">
      <c r="A5" s="424" t="s">
        <v>162</v>
      </c>
      <c r="B5" s="60" t="s">
        <v>256</v>
      </c>
      <c r="C5" s="61" t="s">
        <v>467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0.25" customHeight="1">
      <c r="A6" s="275" t="s">
        <v>164</v>
      </c>
      <c r="B6" s="533" t="s">
        <v>438</v>
      </c>
      <c r="C6" s="323">
        <f>SUM(C11+C28+C34)</f>
        <v>207110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 customHeight="1" hidden="1">
      <c r="A7" s="10" t="s">
        <v>167</v>
      </c>
      <c r="B7" s="10" t="s">
        <v>171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 customHeight="1" hidden="1">
      <c r="A8" s="10" t="s">
        <v>168</v>
      </c>
      <c r="B8" s="10" t="s">
        <v>172</v>
      </c>
      <c r="C8" s="3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 hidden="1">
      <c r="A9" s="10" t="s">
        <v>169</v>
      </c>
      <c r="B9" s="10" t="s">
        <v>173</v>
      </c>
      <c r="C9" s="36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 hidden="1">
      <c r="A10" s="10" t="s">
        <v>170</v>
      </c>
      <c r="B10" s="10" t="s">
        <v>175</v>
      </c>
      <c r="C10" s="36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" customHeight="1">
      <c r="A11" s="20" t="s">
        <v>176</v>
      </c>
      <c r="B11" s="35" t="s">
        <v>300</v>
      </c>
      <c r="C11" s="52">
        <f>SUM(C12+C17)</f>
        <v>199095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3.5" customHeight="1">
      <c r="A12" s="10" t="s">
        <v>177</v>
      </c>
      <c r="B12" s="10" t="s">
        <v>406</v>
      </c>
      <c r="C12" s="367">
        <f>SUM(C13:C15)</f>
        <v>22703</v>
      </c>
      <c r="D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 customHeight="1">
      <c r="A13" s="10"/>
      <c r="B13" s="924"/>
      <c r="C13" s="18"/>
      <c r="D13" s="2"/>
      <c r="E13" s="2"/>
      <c r="F13" s="832"/>
      <c r="G13" s="962" t="s">
        <v>1012</v>
      </c>
      <c r="H13" s="963" t="s">
        <v>1011</v>
      </c>
      <c r="I13" s="962" t="s">
        <v>1013</v>
      </c>
      <c r="J13" s="962" t="s">
        <v>1014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 customHeight="1">
      <c r="A14" s="10"/>
      <c r="B14" s="186" t="s">
        <v>995</v>
      </c>
      <c r="C14" s="18">
        <v>8581</v>
      </c>
      <c r="D14" s="2"/>
      <c r="E14" s="2"/>
      <c r="F14" s="832" t="s">
        <v>1010</v>
      </c>
      <c r="G14" s="962"/>
      <c r="H14" s="963"/>
      <c r="I14" s="962"/>
      <c r="J14" s="96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 customHeight="1">
      <c r="A15" s="10"/>
      <c r="B15" s="186" t="s">
        <v>1020</v>
      </c>
      <c r="C15" s="18">
        <v>14122</v>
      </c>
      <c r="D15" s="2"/>
      <c r="E15" s="2"/>
      <c r="F15" s="832" t="s">
        <v>1009</v>
      </c>
      <c r="G15" s="962"/>
      <c r="H15" s="963"/>
      <c r="I15" s="962"/>
      <c r="J15" s="96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 customHeight="1">
      <c r="A16" s="10"/>
      <c r="C16" s="910"/>
      <c r="D16" s="2"/>
      <c r="E16" s="2"/>
      <c r="F16" s="832"/>
      <c r="G16" s="962"/>
      <c r="H16" s="963"/>
      <c r="I16" s="962"/>
      <c r="J16" s="96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 customHeight="1">
      <c r="A17" s="10" t="s">
        <v>217</v>
      </c>
      <c r="B17" s="10" t="s">
        <v>407</v>
      </c>
      <c r="C17" s="8">
        <f>SUM(C18:C22)</f>
        <v>176392</v>
      </c>
      <c r="D17" s="2"/>
      <c r="E17" s="2"/>
      <c r="F17" s="832" t="s">
        <v>1004</v>
      </c>
      <c r="G17" s="840"/>
      <c r="H17" s="839"/>
      <c r="I17" s="840"/>
      <c r="J17" s="84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10"/>
      <c r="B18" s="31" t="s">
        <v>1022</v>
      </c>
      <c r="C18" s="367">
        <v>117144</v>
      </c>
      <c r="D18" s="2"/>
      <c r="E18" s="2" t="s">
        <v>1000</v>
      </c>
      <c r="F18" s="18">
        <v>633767</v>
      </c>
      <c r="G18" s="9">
        <v>665000</v>
      </c>
      <c r="H18" s="9">
        <f>(G18-F18)</f>
        <v>31233</v>
      </c>
      <c r="I18" s="9">
        <v>15000</v>
      </c>
      <c r="J18" s="833">
        <f>SUM(G18+I18)</f>
        <v>680000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10"/>
      <c r="B19" s="31" t="s">
        <v>963</v>
      </c>
      <c r="C19" s="18">
        <f>SUM(H18)</f>
        <v>31233</v>
      </c>
      <c r="D19" s="2"/>
      <c r="E19" s="2" t="s">
        <v>1001</v>
      </c>
      <c r="F19" s="19">
        <v>104400</v>
      </c>
      <c r="G19" s="9">
        <v>115800</v>
      </c>
      <c r="H19" s="9">
        <f>(G19-F19)</f>
        <v>11400</v>
      </c>
      <c r="I19" s="9">
        <v>4200</v>
      </c>
      <c r="J19" s="833">
        <f>SUM(G19+I19)</f>
        <v>120000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10"/>
      <c r="B20" s="10" t="s">
        <v>855</v>
      </c>
      <c r="C20" s="19">
        <f>SUM(H19)</f>
        <v>11400</v>
      </c>
      <c r="D20" s="2"/>
      <c r="E20" s="2" t="s">
        <v>1002</v>
      </c>
      <c r="F20" s="19">
        <v>130500</v>
      </c>
      <c r="G20" s="9">
        <v>144750</v>
      </c>
      <c r="H20" s="9">
        <f>(G20-F20)</f>
        <v>14250</v>
      </c>
      <c r="I20" s="9">
        <v>5250</v>
      </c>
      <c r="J20" s="833">
        <f>SUM(G20+I20)</f>
        <v>150000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10"/>
      <c r="B21" s="10" t="s">
        <v>962</v>
      </c>
      <c r="C21" s="19">
        <f>SUM(H20)</f>
        <v>14250</v>
      </c>
      <c r="D21" s="2"/>
      <c r="E21" s="2" t="s">
        <v>1003</v>
      </c>
      <c r="F21" s="19">
        <v>226930</v>
      </c>
      <c r="G21" s="9">
        <v>229295</v>
      </c>
      <c r="H21" s="9">
        <f>(G21-F21)</f>
        <v>2365</v>
      </c>
      <c r="I21" s="9">
        <v>5500</v>
      </c>
      <c r="J21" s="833">
        <f>SUM(G21+I21)</f>
        <v>234795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10"/>
      <c r="B22" s="31" t="s">
        <v>965</v>
      </c>
      <c r="C22" s="19">
        <f>SUM(H21)</f>
        <v>2365</v>
      </c>
      <c r="D22" s="2"/>
      <c r="E22" s="2"/>
      <c r="F22" s="9">
        <f>SUM(F18:F21)</f>
        <v>1095597</v>
      </c>
      <c r="G22" s="9"/>
      <c r="H22" s="9"/>
      <c r="I22" s="9"/>
      <c r="J22" s="83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 customHeight="1" hidden="1">
      <c r="A23" s="10"/>
      <c r="B23" s="10"/>
      <c r="C23" s="8"/>
      <c r="D23" s="2"/>
      <c r="E23" s="2"/>
      <c r="F23" s="9"/>
      <c r="G23" s="9"/>
      <c r="H23" s="9"/>
      <c r="I23" s="9"/>
      <c r="J23" s="83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 customHeight="1" hidden="1">
      <c r="A24" s="10"/>
      <c r="B24" s="10"/>
      <c r="C24" s="8"/>
      <c r="D24" s="2"/>
      <c r="E24" s="2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10" t="s">
        <v>178</v>
      </c>
      <c r="B25" s="10" t="s">
        <v>1015</v>
      </c>
      <c r="C25" s="367"/>
      <c r="D25" s="2"/>
      <c r="E25" s="2"/>
      <c r="F25" s="9"/>
      <c r="G25" s="9"/>
      <c r="H25" s="9"/>
      <c r="I25" s="9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10" t="s">
        <v>179</v>
      </c>
      <c r="B26" s="10" t="s">
        <v>1016</v>
      </c>
      <c r="C26" s="367"/>
      <c r="D26" s="2"/>
      <c r="E26" s="2"/>
      <c r="F26" s="2">
        <v>226638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10" t="s">
        <v>180</v>
      </c>
      <c r="B27" s="10" t="s">
        <v>1017</v>
      </c>
      <c r="C27" s="36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 customHeight="1">
      <c r="A28" s="20" t="s">
        <v>223</v>
      </c>
      <c r="B28" s="35" t="s">
        <v>301</v>
      </c>
      <c r="C28" s="52">
        <f>SUM(C29:C33)</f>
        <v>0</v>
      </c>
      <c r="D28" s="2"/>
      <c r="E28" s="2"/>
      <c r="F28" s="2">
        <v>1322235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3.5" customHeight="1">
      <c r="A29" s="10" t="s">
        <v>224</v>
      </c>
      <c r="B29" s="31" t="s">
        <v>549</v>
      </c>
      <c r="C29" s="367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3.5" customHeight="1">
      <c r="A30" s="10" t="s">
        <v>225</v>
      </c>
      <c r="B30" s="31" t="s">
        <v>955</v>
      </c>
      <c r="C30" s="18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3.5" customHeight="1">
      <c r="A31" s="10" t="s">
        <v>226</v>
      </c>
      <c r="B31" s="31" t="s">
        <v>718</v>
      </c>
      <c r="C31" s="367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3.5" customHeight="1">
      <c r="A32" s="10" t="s">
        <v>227</v>
      </c>
      <c r="B32" s="31" t="s">
        <v>302</v>
      </c>
      <c r="C32" s="367"/>
      <c r="D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3.5" customHeight="1">
      <c r="A33" s="10" t="s">
        <v>228</v>
      </c>
      <c r="B33" s="31" t="s">
        <v>303</v>
      </c>
      <c r="C33" s="36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8" customHeight="1">
      <c r="A34" s="20" t="s">
        <v>235</v>
      </c>
      <c r="B34" s="35" t="s">
        <v>497</v>
      </c>
      <c r="C34" s="52">
        <f>C36</f>
        <v>8015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3.5" customHeight="1" hidden="1">
      <c r="A35" s="10" t="s">
        <v>235</v>
      </c>
      <c r="B35" s="31" t="s">
        <v>513</v>
      </c>
      <c r="C35" s="6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3.5" customHeight="1">
      <c r="A36" s="10" t="s">
        <v>880</v>
      </c>
      <c r="B36" s="31" t="s">
        <v>248</v>
      </c>
      <c r="C36" s="312">
        <f>C37</f>
        <v>8015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5" customHeight="1">
      <c r="A37" s="10"/>
      <c r="B37" s="31" t="s">
        <v>956</v>
      </c>
      <c r="C37" s="541">
        <v>8015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0.25" customHeight="1">
      <c r="A38" s="10"/>
      <c r="B38" s="322" t="s">
        <v>439</v>
      </c>
      <c r="C38" s="301">
        <f>SUM(C39+C41)</f>
        <v>1273797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6.5" customHeight="1">
      <c r="A39" s="10"/>
      <c r="B39" s="27" t="s">
        <v>305</v>
      </c>
      <c r="C39" s="369">
        <f>SUM(C40)</f>
        <v>1095597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5" customHeight="1">
      <c r="A40" s="10"/>
      <c r="B40" s="45" t="s">
        <v>632</v>
      </c>
      <c r="C40" s="367">
        <f>SUM(F22)</f>
        <v>1095597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6.5" customHeight="1">
      <c r="A41" s="10"/>
      <c r="B41" s="361" t="s">
        <v>306</v>
      </c>
      <c r="C41" s="368">
        <f>SUM(C42:C43)</f>
        <v>178200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3.5" customHeight="1">
      <c r="A42" s="10"/>
      <c r="B42" s="30" t="s">
        <v>994</v>
      </c>
      <c r="C42" s="283">
        <v>78200</v>
      </c>
      <c r="D42" s="2"/>
      <c r="E42" s="2"/>
      <c r="F42" s="41">
        <v>22000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3.5" customHeight="1" thickBot="1">
      <c r="A43" s="15"/>
      <c r="B43" s="310" t="s">
        <v>1073</v>
      </c>
      <c r="C43" s="305">
        <v>100000</v>
      </c>
      <c r="D43" s="2"/>
      <c r="E43" s="2"/>
      <c r="F43" s="41">
        <v>30000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0.25" thickBot="1">
      <c r="A44" s="424"/>
      <c r="B44" s="423" t="s">
        <v>483</v>
      </c>
      <c r="C44" s="590">
        <f>SUM(C6+C38)</f>
        <v>1480907</v>
      </c>
      <c r="D44" s="2"/>
      <c r="E44" s="2"/>
      <c r="F44" s="41">
        <v>4300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.75">
      <c r="A45" s="275" t="s">
        <v>452</v>
      </c>
      <c r="B45" s="532" t="s">
        <v>440</v>
      </c>
      <c r="C45" s="370">
        <f>SUM(C46+C58+C70+C75)</f>
        <v>1532479</v>
      </c>
      <c r="D45" s="2"/>
      <c r="E45" s="2"/>
      <c r="F45" s="41">
        <v>2500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.75">
      <c r="A46" s="20" t="s">
        <v>304</v>
      </c>
      <c r="B46" s="35" t="s">
        <v>5</v>
      </c>
      <c r="C46" s="301">
        <f>SUM(C47+C56)</f>
        <v>117800</v>
      </c>
      <c r="D46" s="9">
        <f>SUM(C46+C58)</f>
        <v>873279</v>
      </c>
      <c r="E46" s="2"/>
      <c r="F46" s="41">
        <v>1600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8" customHeight="1">
      <c r="A47" s="20"/>
      <c r="B47" s="36" t="s">
        <v>441</v>
      </c>
      <c r="C47" s="277">
        <f>SUM(C48+C50+C55)</f>
        <v>115700</v>
      </c>
      <c r="D47" s="2"/>
      <c r="E47" s="2"/>
      <c r="F47" s="911">
        <f>SUM(F42:F46)</f>
        <v>60400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4.25">
      <c r="A48" s="20"/>
      <c r="B48" s="36" t="s">
        <v>445</v>
      </c>
      <c r="C48" s="277">
        <f>SUM(C49:C49)</f>
        <v>11441</v>
      </c>
      <c r="D48" s="2"/>
      <c r="E48" s="2"/>
      <c r="F48" s="4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0"/>
      <c r="B49" s="28" t="s">
        <v>1077</v>
      </c>
      <c r="C49" s="367">
        <v>11441</v>
      </c>
      <c r="D49" s="2"/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3.5" customHeight="1">
      <c r="A50" s="20"/>
      <c r="B50" s="34" t="s">
        <v>444</v>
      </c>
      <c r="C50" s="17">
        <f>SUM(C51:C54)</f>
        <v>26059</v>
      </c>
      <c r="D50" s="2"/>
      <c r="E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20"/>
      <c r="B51" s="30" t="s">
        <v>738</v>
      </c>
      <c r="C51" s="799">
        <v>22000</v>
      </c>
      <c r="D51" s="2"/>
      <c r="E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3.5" customHeight="1">
      <c r="A52" s="20"/>
      <c r="B52" s="30" t="s">
        <v>1091</v>
      </c>
      <c r="C52" s="799">
        <v>850</v>
      </c>
      <c r="D52" s="2"/>
      <c r="E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3.5" customHeight="1">
      <c r="A53" s="20"/>
      <c r="B53" s="30" t="s">
        <v>1087</v>
      </c>
      <c r="C53" s="799">
        <v>709</v>
      </c>
      <c r="D53" s="2"/>
      <c r="E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0"/>
      <c r="B54" s="30" t="s">
        <v>741</v>
      </c>
      <c r="C54" s="19">
        <v>2500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0"/>
      <c r="B55" s="34" t="s">
        <v>1076</v>
      </c>
      <c r="C55" s="17">
        <v>78200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customHeight="1">
      <c r="A56" s="20"/>
      <c r="B56" s="34" t="s">
        <v>492</v>
      </c>
      <c r="C56" s="17">
        <f>SUM(C57)</f>
        <v>2100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0"/>
      <c r="B57" s="30" t="s">
        <v>1094</v>
      </c>
      <c r="C57" s="18">
        <f>SUM('9.hivatal'!F73)</f>
        <v>2100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16" customFormat="1" ht="18" customHeight="1">
      <c r="A58" s="34" t="s">
        <v>455</v>
      </c>
      <c r="B58" s="362" t="s">
        <v>1</v>
      </c>
      <c r="C58" s="388">
        <f>SUM(C59+C65)</f>
        <v>755479</v>
      </c>
      <c r="D58" s="393"/>
      <c r="E58" s="393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</row>
    <row r="59" spans="1:38" s="116" customFormat="1" ht="13.5" customHeight="1">
      <c r="A59" s="34"/>
      <c r="B59" s="34" t="s">
        <v>2</v>
      </c>
      <c r="C59" s="357">
        <f>SUM(C60:C64)</f>
        <v>735453</v>
      </c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</row>
    <row r="60" spans="1:38" s="116" customFormat="1" ht="13.5" customHeight="1">
      <c r="A60" s="34"/>
      <c r="B60" s="10" t="s">
        <v>1062</v>
      </c>
      <c r="C60" s="283">
        <f>SUM('13.2.EU projekt részletesen'!G15+'13.2.EU projekt részletesen'!G16)/1000</f>
        <v>97800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</row>
    <row r="61" spans="1:38" s="116" customFormat="1" ht="13.5" customHeight="1">
      <c r="A61" s="34"/>
      <c r="B61" s="10" t="s">
        <v>961</v>
      </c>
      <c r="C61" s="283">
        <v>3408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</row>
    <row r="62" spans="1:38" s="116" customFormat="1" ht="13.5" customHeight="1">
      <c r="A62" s="34"/>
      <c r="B62" s="10" t="s">
        <v>964</v>
      </c>
      <c r="C62" s="283">
        <f>SUM('13.2.EU projekt részletesen'!J15)/1000</f>
        <v>122250</v>
      </c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</row>
    <row r="63" spans="1:38" s="116" customFormat="1" ht="13.5" customHeight="1">
      <c r="A63" s="34"/>
      <c r="B63" s="31" t="s">
        <v>1063</v>
      </c>
      <c r="C63" s="283">
        <f>SUM('13.2.EU projekt részletesen'!M15)/1000</f>
        <v>212795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</row>
    <row r="64" spans="1:38" s="116" customFormat="1" ht="13.5" customHeight="1">
      <c r="A64" s="34"/>
      <c r="B64" s="31" t="s">
        <v>1071</v>
      </c>
      <c r="C64" s="283">
        <f>SUM('13.2.EU projekt részletesen'!D15)/1000/2</f>
        <v>299200</v>
      </c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</row>
    <row r="65" spans="1:38" s="116" customFormat="1" ht="13.5" customHeight="1">
      <c r="A65" s="34"/>
      <c r="B65" s="34" t="s">
        <v>442</v>
      </c>
      <c r="C65" s="357">
        <f>SUM(C66:C68)</f>
        <v>20026</v>
      </c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</row>
    <row r="66" spans="1:38" s="116" customFormat="1" ht="13.5" customHeight="1">
      <c r="A66" s="34"/>
      <c r="B66" s="30" t="s">
        <v>1021</v>
      </c>
      <c r="C66" s="814">
        <f>(18486+540)</f>
        <v>19026</v>
      </c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</row>
    <row r="67" spans="1:38" s="116" customFormat="1" ht="13.5" customHeight="1">
      <c r="A67" s="34"/>
      <c r="B67" s="30" t="s">
        <v>739</v>
      </c>
      <c r="C67" s="18">
        <v>1000</v>
      </c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</row>
    <row r="68" spans="1:38" s="116" customFormat="1" ht="12.75">
      <c r="A68" s="30"/>
      <c r="B68" s="30"/>
      <c r="C68" s="18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</row>
    <row r="69" spans="1:38" s="116" customFormat="1" ht="12.75" hidden="1">
      <c r="A69" s="30"/>
      <c r="B69" s="315"/>
      <c r="C69" s="541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</row>
    <row r="70" spans="1:38" s="116" customFormat="1" ht="15">
      <c r="A70" s="34" t="s">
        <v>454</v>
      </c>
      <c r="B70" s="362" t="s">
        <v>14</v>
      </c>
      <c r="C70" s="324">
        <f>SUM(C71)</f>
        <v>110000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</row>
    <row r="71" spans="1:38" s="116" customFormat="1" ht="13.5" customHeight="1">
      <c r="A71" s="34"/>
      <c r="B71" s="34" t="s">
        <v>1130</v>
      </c>
      <c r="C71" s="17">
        <f>SUM(C73:C74)</f>
        <v>110000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</row>
    <row r="72" spans="1:38" s="116" customFormat="1" ht="13.5" customHeight="1" hidden="1">
      <c r="A72" s="34"/>
      <c r="B72" s="30" t="s">
        <v>526</v>
      </c>
      <c r="C72" s="18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</row>
    <row r="73" spans="1:38" s="116" customFormat="1" ht="12.75">
      <c r="A73" s="34"/>
      <c r="B73" s="531" t="s">
        <v>1115</v>
      </c>
      <c r="C73" s="565">
        <v>80000</v>
      </c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</row>
    <row r="74" spans="1:38" s="116" customFormat="1" ht="12.75">
      <c r="A74" s="34"/>
      <c r="B74" s="531" t="s">
        <v>1116</v>
      </c>
      <c r="C74" s="565">
        <v>30000</v>
      </c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</row>
    <row r="75" spans="1:38" s="116" customFormat="1" ht="15.75">
      <c r="A75" s="34"/>
      <c r="B75" s="361" t="s">
        <v>565</v>
      </c>
      <c r="C75" s="915">
        <f>SUM(C76:C77)</f>
        <v>549200</v>
      </c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</row>
    <row r="76" spans="1:38" s="116" customFormat="1" ht="13.5" customHeight="1">
      <c r="A76" s="34"/>
      <c r="B76" s="31" t="s">
        <v>1072</v>
      </c>
      <c r="C76" s="326">
        <f>SUM('13.2.EU projekt részletesen'!D15)/1000/2</f>
        <v>299200</v>
      </c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</row>
    <row r="77" spans="1:38" s="116" customFormat="1" ht="13.5" customHeight="1">
      <c r="A77" s="34"/>
      <c r="B77" s="31" t="s">
        <v>1074</v>
      </c>
      <c r="C77" s="326">
        <v>250000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</row>
    <row r="78" spans="1:38" ht="15.75">
      <c r="A78" s="20" t="s">
        <v>251</v>
      </c>
      <c r="B78" s="354" t="s">
        <v>443</v>
      </c>
      <c r="C78" s="932">
        <f>SUM(C79+C80+C81)</f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.75">
      <c r="A79" s="20"/>
      <c r="B79" s="355" t="s">
        <v>486</v>
      </c>
      <c r="C79" s="93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5">
      <c r="A80" s="20"/>
      <c r="B80" s="355" t="s">
        <v>488</v>
      </c>
      <c r="C80" s="56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5.75" thickBot="1">
      <c r="A81" s="33"/>
      <c r="B81" s="353" t="s">
        <v>489</v>
      </c>
      <c r="C81" s="93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24" customHeight="1" thickBot="1">
      <c r="A82" s="424"/>
      <c r="B82" s="591" t="s">
        <v>485</v>
      </c>
      <c r="C82" s="592">
        <f>SUM(C45+C78)</f>
        <v>1532479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5.75" customHeight="1">
      <c r="B83" s="2"/>
      <c r="C83" s="366">
        <f>SUM(C44-C82)</f>
        <v>-51572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318" customFormat="1" ht="13.5" customHeight="1">
      <c r="A84" s="306"/>
      <c r="C84" s="371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</row>
    <row r="85" spans="1:38" s="318" customFormat="1" ht="13.5" customHeight="1">
      <c r="A85" s="306"/>
      <c r="B85" s="602"/>
      <c r="C85" s="372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</row>
    <row r="86" spans="1:38" s="318" customFormat="1" ht="13.5" customHeight="1">
      <c r="A86" s="306"/>
      <c r="C86" s="371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</row>
    <row r="87" spans="1:38" s="318" customFormat="1" ht="13.5" customHeight="1">
      <c r="A87" s="306"/>
      <c r="C87" s="371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</row>
    <row r="88" spans="1:38" s="318" customFormat="1" ht="13.5" customHeight="1">
      <c r="A88" s="306"/>
      <c r="C88" s="371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</row>
    <row r="89" spans="1:38" s="318" customFormat="1" ht="13.5" customHeight="1">
      <c r="A89" s="306"/>
      <c r="C89" s="371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</row>
    <row r="90" spans="1:38" s="318" customFormat="1" ht="13.5" customHeight="1">
      <c r="A90" s="306"/>
      <c r="C90" s="371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</row>
    <row r="91" spans="1:38" s="318" customFormat="1" ht="13.5" customHeight="1">
      <c r="A91" s="306"/>
      <c r="C91" s="371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</row>
    <row r="92" spans="1:38" s="318" customFormat="1" ht="13.5" customHeight="1">
      <c r="A92" s="306"/>
      <c r="C92" s="371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</row>
    <row r="93" spans="1:38" s="318" customFormat="1" ht="13.5" customHeight="1">
      <c r="A93" s="306"/>
      <c r="C93" s="371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</row>
    <row r="94" spans="1:38" s="318" customFormat="1" ht="13.5" customHeight="1">
      <c r="A94" s="306"/>
      <c r="C94" s="371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</row>
    <row r="95" spans="1:38" s="318" customFormat="1" ht="13.5" customHeight="1">
      <c r="A95" s="306"/>
      <c r="C95" s="371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</row>
    <row r="96" spans="1:38" s="318" customFormat="1" ht="13.5" customHeight="1">
      <c r="A96" s="306"/>
      <c r="C96" s="371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</row>
    <row r="97" spans="1:38" s="318" customFormat="1" ht="13.5" customHeight="1">
      <c r="A97" s="306"/>
      <c r="C97" s="371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</row>
    <row r="98" spans="1:38" s="318" customFormat="1" ht="13.5" customHeight="1">
      <c r="A98" s="306"/>
      <c r="C98" s="371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</row>
    <row r="99" spans="1:38" s="318" customFormat="1" ht="13.5" customHeight="1">
      <c r="A99" s="306"/>
      <c r="C99" s="371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</row>
    <row r="100" spans="2:38" ht="15.75" customHeight="1">
      <c r="B100" s="2"/>
      <c r="C100" s="37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:38" ht="15.75" customHeight="1">
      <c r="B101" s="2"/>
      <c r="C101" s="36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:38" ht="15.75" customHeight="1">
      <c r="B102" s="2"/>
      <c r="C102" s="3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:38" ht="15.75" customHeight="1">
      <c r="B103" s="2"/>
      <c r="C103" s="37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:38" ht="15.75" customHeight="1">
      <c r="B104" s="2"/>
      <c r="C104" s="37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:38" ht="15.75" customHeight="1">
      <c r="B105" s="2"/>
      <c r="C105" s="37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:38" ht="15.75" customHeight="1">
      <c r="B106" s="2"/>
      <c r="C106" s="37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:38" ht="15.75" customHeight="1">
      <c r="B107" s="2"/>
      <c r="C107" s="37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:38" ht="15.75" customHeight="1">
      <c r="B108" s="2"/>
      <c r="C108" s="37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.75" customHeight="1">
      <c r="A109"/>
      <c r="B109" s="2"/>
      <c r="C109" s="37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5.75" customHeight="1">
      <c r="A110"/>
      <c r="B110" s="2"/>
      <c r="C110" s="37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customHeight="1">
      <c r="A111"/>
      <c r="B111" s="2"/>
      <c r="C111" s="37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.75" customHeight="1">
      <c r="A112"/>
      <c r="B112" s="2"/>
      <c r="C112" s="37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5.75" customHeight="1">
      <c r="A113"/>
      <c r="B113" s="2"/>
      <c r="C113" s="37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.75" customHeight="1">
      <c r="A114"/>
      <c r="B114" s="2"/>
      <c r="C114" s="37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.75" customHeight="1">
      <c r="A115"/>
      <c r="B115" s="2"/>
      <c r="C115" s="37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5.75" customHeight="1">
      <c r="A116"/>
      <c r="B116" s="2"/>
      <c r="C116" s="37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5.75" customHeight="1">
      <c r="A117"/>
      <c r="B117" s="2"/>
      <c r="C117" s="37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.75" customHeight="1">
      <c r="A118"/>
      <c r="B118" s="2"/>
      <c r="C118" s="37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5.75" customHeight="1">
      <c r="A119"/>
      <c r="B119" s="2"/>
      <c r="C119" s="37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5.75" customHeight="1">
      <c r="A120"/>
      <c r="B120" s="2"/>
      <c r="C120" s="37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.75" customHeight="1">
      <c r="A121"/>
      <c r="B121" s="2"/>
      <c r="C121" s="37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5.75" customHeight="1">
      <c r="A122"/>
      <c r="B122" s="2"/>
      <c r="C122" s="37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.75" customHeight="1">
      <c r="A123"/>
      <c r="B123" s="2"/>
      <c r="C123" s="37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customHeight="1">
      <c r="A124"/>
      <c r="B124" s="2"/>
      <c r="C124" s="37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>
      <c r="A125"/>
      <c r="B125" s="2"/>
      <c r="C125" s="37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.75" customHeight="1">
      <c r="A126"/>
      <c r="B126" s="2"/>
      <c r="C126" s="37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.75" customHeight="1">
      <c r="A127"/>
      <c r="B127" s="2"/>
      <c r="C127" s="37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 customHeight="1">
      <c r="A128"/>
      <c r="B128" s="2"/>
      <c r="C128" s="37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.75" customHeight="1">
      <c r="A129"/>
      <c r="B129" s="2"/>
      <c r="C129" s="37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 customHeight="1">
      <c r="A130"/>
      <c r="B130" s="2"/>
      <c r="C130" s="37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>
      <c r="A131"/>
      <c r="B131" s="2"/>
      <c r="C131" s="37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.75" customHeight="1">
      <c r="A132"/>
      <c r="B132" s="2"/>
      <c r="C132" s="37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 customHeight="1">
      <c r="A133"/>
      <c r="B133" s="2"/>
      <c r="C133" s="37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>
      <c r="A134"/>
      <c r="B134" s="2"/>
      <c r="C134" s="37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.75" customHeight="1">
      <c r="A135"/>
      <c r="B135" s="2"/>
      <c r="C135" s="37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/>
      <c r="B136" s="2"/>
      <c r="C136" s="37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.75" customHeight="1">
      <c r="A137"/>
      <c r="B137" s="2"/>
      <c r="C137" s="37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.75" customHeight="1">
      <c r="A138"/>
      <c r="B138" s="2"/>
      <c r="C138" s="37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.75" customHeight="1">
      <c r="A139"/>
      <c r="B139" s="2"/>
      <c r="C139" s="37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.75" customHeight="1">
      <c r="A140"/>
      <c r="B140" s="2"/>
      <c r="C140" s="37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.75" customHeight="1">
      <c r="A141"/>
      <c r="B141" s="2"/>
      <c r="C141" s="37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.75" customHeight="1">
      <c r="A142"/>
      <c r="B142" s="2"/>
      <c r="C142" s="37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customHeight="1">
      <c r="A143"/>
      <c r="B143" s="2"/>
      <c r="C143" s="37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>
      <c r="A144"/>
      <c r="B144" s="2"/>
      <c r="C144" s="37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.75" customHeight="1">
      <c r="A145"/>
      <c r="B145" s="2"/>
      <c r="C145" s="37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.75" customHeight="1">
      <c r="A146"/>
      <c r="B146" s="2"/>
      <c r="C146" s="37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.75" customHeight="1">
      <c r="A147"/>
      <c r="B147" s="2"/>
      <c r="C147" s="37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.75" customHeight="1">
      <c r="A148"/>
      <c r="B148" s="2"/>
      <c r="C148" s="37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 customHeight="1">
      <c r="A149"/>
      <c r="B149" s="2"/>
      <c r="C149" s="37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.75" customHeight="1">
      <c r="A150"/>
      <c r="B150" s="2"/>
      <c r="C150" s="37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.75" customHeight="1">
      <c r="A151"/>
      <c r="B151" s="2"/>
      <c r="C151" s="37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.75" customHeight="1">
      <c r="A152"/>
      <c r="B152" s="2"/>
      <c r="C152" s="37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.75" customHeight="1">
      <c r="A153"/>
      <c r="B153" s="2"/>
      <c r="C153" s="37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.75" customHeight="1">
      <c r="A154"/>
      <c r="B154" s="2"/>
      <c r="C154" s="37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>
      <c r="A155"/>
      <c r="B155" s="2"/>
      <c r="C155" s="37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.75" customHeight="1">
      <c r="A156"/>
      <c r="B156" s="2"/>
      <c r="C156" s="37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>
      <c r="A157"/>
      <c r="B157" s="2"/>
      <c r="C157" s="37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customHeight="1">
      <c r="A158"/>
      <c r="B158" s="2"/>
      <c r="C158" s="37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.75" customHeight="1">
      <c r="A159"/>
      <c r="B159" s="2"/>
      <c r="C159" s="37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.75" customHeight="1">
      <c r="A160"/>
      <c r="B160" s="2"/>
      <c r="C160" s="37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.75" customHeight="1">
      <c r="A161"/>
      <c r="B161" s="2"/>
      <c r="C161" s="37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.75" customHeight="1">
      <c r="A162"/>
      <c r="B162" s="2"/>
      <c r="C162" s="37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.75" customHeight="1">
      <c r="A163"/>
      <c r="B163" s="2"/>
      <c r="C163" s="37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.75" customHeight="1">
      <c r="A164"/>
      <c r="B164" s="2"/>
      <c r="C164" s="37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 customHeight="1">
      <c r="A165"/>
      <c r="B165" s="2"/>
      <c r="C165" s="37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.75" customHeight="1">
      <c r="A166"/>
      <c r="B166" s="2"/>
      <c r="C166" s="37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.75" customHeight="1">
      <c r="A167"/>
      <c r="B167" s="2"/>
      <c r="C167" s="37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customHeight="1">
      <c r="A168"/>
      <c r="B168" s="2"/>
      <c r="C168" s="37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customHeight="1">
      <c r="A169"/>
      <c r="B169" s="2"/>
      <c r="C169" s="37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 customHeight="1">
      <c r="A170"/>
      <c r="B170" s="2"/>
      <c r="C170" s="37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 customHeight="1">
      <c r="A171"/>
      <c r="B171" s="2"/>
      <c r="C171" s="37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.75" customHeight="1">
      <c r="A172"/>
      <c r="B172" s="2"/>
      <c r="C172" s="37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 customHeight="1">
      <c r="A173"/>
      <c r="B173" s="2"/>
      <c r="C173" s="37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 customHeight="1">
      <c r="A174"/>
      <c r="B174" s="2"/>
      <c r="C174" s="37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 customHeight="1">
      <c r="A175"/>
      <c r="B175" s="2"/>
      <c r="C175" s="37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.75" customHeight="1">
      <c r="A176"/>
      <c r="B176" s="2"/>
      <c r="C176" s="37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 customHeight="1">
      <c r="A177"/>
      <c r="B177" s="2"/>
      <c r="C177" s="37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.75" customHeight="1">
      <c r="A178"/>
      <c r="B178" s="2"/>
      <c r="C178" s="37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 customHeight="1">
      <c r="A179"/>
      <c r="B179" s="2"/>
      <c r="C179" s="37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customHeight="1">
      <c r="A180"/>
      <c r="B180" s="2"/>
      <c r="C180" s="37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 customHeight="1">
      <c r="A181"/>
      <c r="B181" s="2"/>
      <c r="C181" s="37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.75" customHeight="1">
      <c r="A182"/>
      <c r="B182" s="2"/>
      <c r="C182" s="37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.75" customHeight="1">
      <c r="A183"/>
      <c r="B183" s="2"/>
      <c r="C183" s="37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.75" customHeight="1">
      <c r="A184"/>
      <c r="B184" s="2"/>
      <c r="C184" s="37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.75" customHeight="1">
      <c r="A185"/>
      <c r="B185" s="2"/>
      <c r="C185" s="37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.75" customHeight="1">
      <c r="A186"/>
      <c r="B186" s="2"/>
      <c r="C186" s="37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.75" customHeight="1">
      <c r="A187"/>
      <c r="B187" s="2"/>
      <c r="C187" s="37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.75" customHeight="1">
      <c r="A188"/>
      <c r="B188" s="2"/>
      <c r="C188" s="37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 customHeight="1">
      <c r="A189"/>
      <c r="B189" s="2"/>
      <c r="C189" s="37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.75" customHeight="1">
      <c r="A190"/>
      <c r="B190" s="2"/>
      <c r="C190" s="37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 customHeight="1">
      <c r="A191"/>
      <c r="B191" s="2"/>
      <c r="C191" s="37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customHeight="1">
      <c r="A192"/>
      <c r="B192" s="2"/>
      <c r="C192" s="37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 customHeight="1">
      <c r="A193"/>
      <c r="B193" s="2"/>
      <c r="C193" s="37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 customHeight="1">
      <c r="A194"/>
      <c r="B194" s="2"/>
      <c r="C194" s="37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customHeight="1">
      <c r="A195"/>
      <c r="B195" s="2"/>
      <c r="C195" s="37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 customHeight="1">
      <c r="A196"/>
      <c r="B196" s="2"/>
      <c r="C196" s="37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 customHeight="1">
      <c r="A197"/>
      <c r="B197" s="2"/>
      <c r="C197" s="37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 customHeight="1">
      <c r="A198"/>
      <c r="B198" s="2"/>
      <c r="C198" s="37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 customHeight="1">
      <c r="A199"/>
      <c r="B199" s="2"/>
      <c r="C199" s="37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 customHeight="1">
      <c r="A200"/>
      <c r="B200" s="2"/>
      <c r="C200" s="37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 customHeight="1">
      <c r="A201"/>
      <c r="B201" s="2"/>
      <c r="C201" s="37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.75" customHeight="1">
      <c r="A202"/>
      <c r="B202" s="2"/>
      <c r="C202" s="37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.75" customHeight="1">
      <c r="A203"/>
      <c r="B203" s="2"/>
      <c r="C203" s="37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.75" customHeight="1">
      <c r="A204"/>
      <c r="B204" s="2"/>
      <c r="C204" s="37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customHeight="1">
      <c r="A205"/>
      <c r="B205" s="2"/>
      <c r="C205" s="37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.75" customHeight="1">
      <c r="A206"/>
      <c r="B206" s="2"/>
      <c r="C206" s="37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.75" customHeight="1">
      <c r="A207"/>
      <c r="B207" s="2"/>
      <c r="C207" s="37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customHeight="1">
      <c r="A208"/>
      <c r="B208" s="2"/>
      <c r="C208" s="37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customHeight="1">
      <c r="A209"/>
      <c r="B209" s="2"/>
      <c r="C209" s="37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.75" customHeight="1">
      <c r="A210"/>
      <c r="B210" s="2"/>
      <c r="C210" s="37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.75" customHeight="1">
      <c r="A211"/>
      <c r="B211" s="2"/>
      <c r="C211" s="37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.75" customHeight="1">
      <c r="A212"/>
      <c r="B212" s="2"/>
      <c r="C212" s="37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.75" customHeight="1">
      <c r="A213"/>
      <c r="B213" s="2"/>
      <c r="C213" s="37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.75" customHeight="1">
      <c r="A214"/>
      <c r="B214" s="2"/>
      <c r="C214" s="37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 customHeight="1">
      <c r="A215"/>
      <c r="B215" s="2"/>
      <c r="C215" s="37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 customHeight="1">
      <c r="A216"/>
      <c r="B216" s="2"/>
      <c r="C216" s="37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 customHeight="1">
      <c r="A217"/>
      <c r="B217" s="2"/>
      <c r="C217" s="37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.75" customHeight="1">
      <c r="A218"/>
      <c r="B218" s="2"/>
      <c r="C218" s="37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.75" customHeight="1">
      <c r="A219"/>
      <c r="B219" s="2"/>
      <c r="C219" s="37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.75" customHeight="1">
      <c r="A220"/>
      <c r="B220" s="2"/>
      <c r="C220" s="37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.75" customHeight="1">
      <c r="A221"/>
      <c r="B221" s="2"/>
      <c r="C221" s="37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.75" customHeight="1">
      <c r="A222"/>
      <c r="B222" s="2"/>
      <c r="C222" s="37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customHeight="1">
      <c r="A223"/>
      <c r="B223" s="2"/>
      <c r="C223" s="37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5.75" customHeight="1">
      <c r="A224"/>
      <c r="B224" s="2"/>
      <c r="C224" s="37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5.75" customHeight="1">
      <c r="A225"/>
      <c r="B225" s="2"/>
      <c r="C225" s="37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 customHeight="1">
      <c r="A226"/>
      <c r="B226" s="2"/>
      <c r="C226" s="37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.75" customHeight="1">
      <c r="A227"/>
      <c r="B227" s="2"/>
      <c r="C227" s="37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.75" customHeight="1">
      <c r="A228"/>
      <c r="B228" s="2"/>
      <c r="C228" s="37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.75" customHeight="1">
      <c r="A229"/>
      <c r="B229" s="2"/>
      <c r="C229" s="37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5.75" customHeight="1">
      <c r="A230"/>
      <c r="B230" s="2"/>
      <c r="C230" s="37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.75" customHeight="1">
      <c r="A231"/>
      <c r="B231" s="2"/>
      <c r="C231" s="37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.75" customHeight="1">
      <c r="A232"/>
      <c r="B232" s="2"/>
      <c r="C232" s="37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.75" customHeight="1">
      <c r="A233"/>
      <c r="B233" s="2"/>
      <c r="C233" s="37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5.75" customHeight="1">
      <c r="A234"/>
      <c r="B234" s="2"/>
      <c r="C234" s="37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 customHeight="1">
      <c r="A235"/>
      <c r="B235" s="2"/>
      <c r="C235" s="37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.75" customHeight="1">
      <c r="A236"/>
      <c r="B236" s="2"/>
      <c r="C236" s="37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.75" customHeight="1">
      <c r="A237"/>
      <c r="B237" s="2"/>
      <c r="C237" s="37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.75" customHeight="1">
      <c r="A238"/>
      <c r="B238" s="2"/>
      <c r="C238" s="37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.75" customHeight="1">
      <c r="A239"/>
      <c r="B239" s="2"/>
      <c r="C239" s="37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.75" customHeight="1">
      <c r="A240"/>
      <c r="B240" s="2"/>
      <c r="C240" s="37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.75" customHeight="1">
      <c r="A241"/>
      <c r="B241" s="2"/>
      <c r="C241" s="37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.75" customHeight="1">
      <c r="A242"/>
      <c r="B242" s="2"/>
      <c r="C242" s="37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.75" customHeight="1">
      <c r="A243"/>
      <c r="B243" s="2"/>
      <c r="C243" s="37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5.75" customHeight="1">
      <c r="A244"/>
      <c r="B244" s="2"/>
      <c r="C244" s="37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5.75" customHeight="1">
      <c r="A245"/>
      <c r="B245" s="2"/>
      <c r="C245" s="37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.75" customHeight="1">
      <c r="A246"/>
      <c r="B246" s="2"/>
      <c r="C246" s="37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.75" customHeight="1">
      <c r="A247"/>
      <c r="B247" s="2"/>
      <c r="C247" s="37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.75" customHeight="1">
      <c r="A248"/>
      <c r="B248" s="2"/>
      <c r="C248" s="37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.75" customHeight="1">
      <c r="A249"/>
      <c r="B249" s="2"/>
      <c r="C249" s="37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.75" customHeight="1">
      <c r="A250"/>
      <c r="B250" s="2"/>
      <c r="C250" s="37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.75" customHeight="1">
      <c r="A251"/>
      <c r="B251" s="2"/>
      <c r="C251" s="37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>
      <c r="A252"/>
      <c r="B252" s="2"/>
      <c r="C252" s="37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>
      <c r="A253"/>
      <c r="B253" s="2"/>
      <c r="C253" s="37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>
      <c r="A254"/>
      <c r="B254" s="2"/>
      <c r="C254" s="37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>
      <c r="A255"/>
      <c r="B255" s="2"/>
      <c r="C255" s="37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>
      <c r="A256"/>
      <c r="B256" s="2"/>
      <c r="C256" s="37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5.75" customHeight="1">
      <c r="A257"/>
      <c r="B257" s="2"/>
      <c r="C257" s="37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5.75" customHeight="1">
      <c r="A258"/>
      <c r="B258" s="2"/>
      <c r="C258" s="37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5.75" customHeight="1">
      <c r="A259"/>
      <c r="B259" s="2"/>
      <c r="C259" s="37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5.75" customHeight="1">
      <c r="A260"/>
      <c r="B260" s="2"/>
      <c r="C260" s="37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5.75" customHeight="1">
      <c r="A261"/>
      <c r="B261" s="2"/>
      <c r="C261" s="37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5.75" customHeight="1">
      <c r="A262"/>
      <c r="B262" s="2"/>
      <c r="C262" s="37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5.75" customHeight="1">
      <c r="A263"/>
      <c r="B263" s="2"/>
      <c r="C263" s="37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5.75" customHeight="1">
      <c r="A264"/>
      <c r="B264" s="2"/>
      <c r="C264" s="37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5.75" customHeight="1">
      <c r="A265"/>
      <c r="B265" s="2"/>
      <c r="C265" s="37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5.75" customHeight="1">
      <c r="A266"/>
      <c r="B266" s="2"/>
      <c r="C266" s="37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5.75" customHeight="1">
      <c r="A267"/>
      <c r="B267" s="2"/>
      <c r="C267" s="37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5.75" customHeight="1">
      <c r="A268"/>
      <c r="B268" s="2"/>
      <c r="C268" s="37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5.75" customHeight="1">
      <c r="A269"/>
      <c r="B269" s="2"/>
      <c r="C269" s="37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5.75" customHeight="1">
      <c r="A270"/>
      <c r="B270" s="2"/>
      <c r="C270" s="37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5.75" customHeight="1">
      <c r="A271"/>
      <c r="B271" s="2"/>
      <c r="C271" s="37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5.75" customHeight="1">
      <c r="A272"/>
      <c r="B272" s="2"/>
      <c r="C272" s="37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5.75" customHeight="1">
      <c r="A273"/>
      <c r="B273" s="2"/>
      <c r="C273" s="37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5.75" customHeight="1">
      <c r="A274"/>
      <c r="B274" s="2"/>
      <c r="C274" s="37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5.75" customHeight="1">
      <c r="A275"/>
      <c r="B275" s="2"/>
      <c r="C275" s="37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5.75" customHeight="1">
      <c r="A276"/>
      <c r="B276" s="2"/>
      <c r="C276" s="37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5.75" customHeight="1">
      <c r="A277"/>
      <c r="B277" s="2"/>
      <c r="C277" s="37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5.75" customHeight="1">
      <c r="A278"/>
      <c r="B278" s="2"/>
      <c r="C278" s="37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5.75" customHeight="1">
      <c r="A279"/>
      <c r="B279" s="2"/>
      <c r="C279" s="37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5.75" customHeight="1">
      <c r="A280"/>
      <c r="B280" s="2"/>
      <c r="C280" s="37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5.75" customHeight="1">
      <c r="A281"/>
      <c r="B281" s="2"/>
      <c r="C281" s="37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5.75" customHeight="1">
      <c r="A282"/>
      <c r="B282" s="2"/>
      <c r="C282" s="37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5.75" customHeight="1">
      <c r="A283"/>
      <c r="B283" s="2"/>
      <c r="C283" s="37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5.75" customHeight="1">
      <c r="A284"/>
      <c r="B284" s="2"/>
      <c r="C284" s="37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5.75" customHeight="1">
      <c r="A285"/>
      <c r="B285" s="2"/>
      <c r="C285" s="37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5.75" customHeight="1">
      <c r="A286"/>
      <c r="B286" s="2"/>
      <c r="C286" s="37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5.75" customHeight="1">
      <c r="A287"/>
      <c r="B287" s="2"/>
      <c r="C287" s="37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5.75" customHeight="1">
      <c r="A288"/>
      <c r="B288" s="2"/>
      <c r="C288" s="37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5.75" customHeight="1">
      <c r="A289"/>
      <c r="B289" s="2"/>
      <c r="C289" s="37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5.75" customHeight="1">
      <c r="A290"/>
      <c r="B290" s="2"/>
      <c r="C290" s="37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5.75" customHeight="1">
      <c r="A291"/>
      <c r="B291" s="2"/>
      <c r="C291" s="37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5.75" customHeight="1">
      <c r="A292"/>
      <c r="B292" s="2"/>
      <c r="C292" s="37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5.75" customHeight="1">
      <c r="A293"/>
      <c r="B293" s="2"/>
      <c r="C293" s="37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5.75" customHeight="1">
      <c r="A294"/>
      <c r="B294" s="2"/>
      <c r="C294" s="37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5.75" customHeight="1">
      <c r="A295"/>
      <c r="B295" s="2"/>
      <c r="C295" s="37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5.75" customHeight="1">
      <c r="A296"/>
      <c r="B296" s="2"/>
      <c r="C296" s="37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5.75" customHeight="1">
      <c r="A297"/>
      <c r="B297" s="2"/>
      <c r="C297" s="37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5.75" customHeight="1">
      <c r="A298"/>
      <c r="B298" s="2"/>
      <c r="C298" s="37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5.75" customHeight="1">
      <c r="A299"/>
      <c r="B299" s="2"/>
      <c r="C299" s="37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5.75" customHeight="1">
      <c r="A300"/>
      <c r="B300" s="2"/>
      <c r="C300" s="37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5.75" customHeight="1">
      <c r="A301"/>
      <c r="B301" s="2"/>
      <c r="C301" s="37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5.75" customHeight="1">
      <c r="A302"/>
      <c r="B302" s="2"/>
      <c r="C302" s="37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5.75" customHeight="1">
      <c r="A303"/>
      <c r="B303" s="2"/>
      <c r="C303" s="37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5.75" customHeight="1">
      <c r="A304"/>
      <c r="B304" s="2"/>
      <c r="C304" s="37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5.75" customHeight="1">
      <c r="A305"/>
      <c r="B305" s="2"/>
      <c r="C305" s="37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5.75" customHeight="1">
      <c r="A306"/>
      <c r="B306" s="2"/>
      <c r="C306" s="37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5.75" customHeight="1">
      <c r="A307"/>
      <c r="B307" s="2"/>
      <c r="C307" s="37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5.75" customHeight="1">
      <c r="A308"/>
      <c r="B308" s="2"/>
      <c r="C308" s="37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5.75" customHeight="1">
      <c r="A309"/>
      <c r="B309" s="2"/>
      <c r="C309" s="37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5.75" customHeight="1">
      <c r="A310"/>
      <c r="B310" s="2"/>
      <c r="C310" s="37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5.75" customHeight="1">
      <c r="A311"/>
      <c r="B311" s="2"/>
      <c r="C311" s="37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5.75" customHeight="1">
      <c r="A312"/>
      <c r="B312" s="2"/>
      <c r="C312" s="37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5.75" customHeight="1">
      <c r="A313"/>
      <c r="B313" s="2"/>
      <c r="C313" s="37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5.75" customHeight="1">
      <c r="A314"/>
      <c r="B314" s="2"/>
      <c r="C314" s="37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5.75" customHeight="1">
      <c r="A315"/>
      <c r="B315" s="2"/>
      <c r="C315" s="37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5.75" customHeight="1">
      <c r="A316"/>
      <c r="B316" s="2"/>
      <c r="C316" s="37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5.75" customHeight="1">
      <c r="A317"/>
      <c r="B317" s="2"/>
      <c r="C317" s="37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5.75" customHeight="1">
      <c r="A318"/>
      <c r="B318" s="2"/>
      <c r="C318" s="37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5.75" customHeight="1">
      <c r="A319"/>
      <c r="B319" s="2"/>
      <c r="C319" s="37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5.75" customHeight="1">
      <c r="A320"/>
      <c r="B320" s="2"/>
      <c r="C320" s="37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5.75" customHeight="1">
      <c r="A321"/>
      <c r="B321" s="2"/>
      <c r="C321" s="37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5.75" customHeight="1">
      <c r="A322"/>
      <c r="B322" s="2"/>
      <c r="C322" s="37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5.75" customHeight="1">
      <c r="A323"/>
      <c r="B323" s="2"/>
      <c r="C323" s="37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5.75" customHeight="1">
      <c r="A324"/>
      <c r="B324" s="2"/>
      <c r="C324" s="37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5.75" customHeight="1">
      <c r="A325"/>
      <c r="B325" s="2"/>
      <c r="C325" s="37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5.75" customHeight="1">
      <c r="A326"/>
      <c r="B326" s="2"/>
      <c r="C326" s="37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5.75" customHeight="1">
      <c r="A327"/>
      <c r="B327" s="2"/>
      <c r="C327" s="37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5.75" customHeight="1">
      <c r="A328"/>
      <c r="B328" s="2"/>
      <c r="C328" s="37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5.75" customHeight="1">
      <c r="A329"/>
      <c r="B329" s="2"/>
      <c r="C329" s="37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5.75" customHeight="1">
      <c r="A330"/>
      <c r="B330" s="2"/>
      <c r="C330" s="37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5.75" customHeight="1">
      <c r="A331"/>
      <c r="B331" s="2"/>
      <c r="C331" s="37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5.75" customHeight="1">
      <c r="A332"/>
      <c r="B332" s="2"/>
      <c r="C332" s="37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5.75" customHeight="1">
      <c r="A333"/>
      <c r="B333" s="2"/>
      <c r="C333" s="37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5.75" customHeight="1">
      <c r="A334"/>
      <c r="B334" s="2"/>
      <c r="C334" s="37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5.75" customHeight="1">
      <c r="A335"/>
      <c r="B335" s="2"/>
      <c r="C335" s="37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5.75" customHeight="1">
      <c r="A336"/>
      <c r="B336" s="2"/>
      <c r="C336" s="37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5.75" customHeight="1">
      <c r="A337"/>
      <c r="B337" s="2"/>
      <c r="C337" s="37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5.75" customHeight="1">
      <c r="A338"/>
      <c r="B338" s="2"/>
      <c r="C338" s="37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5.75" customHeight="1">
      <c r="A339"/>
      <c r="B339" s="2"/>
      <c r="C339" s="37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5.75" customHeight="1">
      <c r="A340"/>
      <c r="B340" s="2"/>
      <c r="C340" s="37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5.75" customHeight="1">
      <c r="A341"/>
      <c r="B341" s="2"/>
      <c r="C341" s="37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5.75" customHeight="1">
      <c r="A342"/>
      <c r="B342" s="2"/>
      <c r="C342" s="37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5.75" customHeight="1">
      <c r="A343"/>
      <c r="B343" s="2"/>
      <c r="C343" s="37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5.75" customHeight="1">
      <c r="A344"/>
      <c r="B344" s="2"/>
      <c r="C344" s="37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5.75" customHeight="1">
      <c r="A345"/>
      <c r="B345" s="2"/>
      <c r="C345" s="37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5.75" customHeight="1">
      <c r="A346"/>
      <c r="B346" s="2"/>
      <c r="C346" s="37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5.75" customHeight="1">
      <c r="A347"/>
      <c r="B347" s="2"/>
      <c r="C347" s="37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5.75" customHeight="1">
      <c r="A348"/>
      <c r="B348" s="2"/>
      <c r="C348" s="37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5.75" customHeight="1">
      <c r="A349"/>
      <c r="B349" s="2"/>
      <c r="C349" s="37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5.75" customHeight="1">
      <c r="A350"/>
      <c r="B350" s="2"/>
      <c r="C350" s="37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5.75" customHeight="1">
      <c r="A351"/>
      <c r="B351" s="2"/>
      <c r="C351" s="37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5.75" customHeight="1">
      <c r="A352"/>
      <c r="B352" s="2"/>
      <c r="C352" s="37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5.75" customHeight="1">
      <c r="A353"/>
      <c r="B353" s="2"/>
      <c r="C353" s="37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5.75" customHeight="1">
      <c r="A354"/>
      <c r="B354" s="2"/>
      <c r="C354" s="37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5.75" customHeight="1">
      <c r="A355"/>
      <c r="B355" s="2"/>
      <c r="C355" s="37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5.75" customHeight="1">
      <c r="A356"/>
      <c r="B356" s="2"/>
      <c r="C356" s="37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5.75" customHeight="1">
      <c r="A357"/>
      <c r="B357" s="2"/>
      <c r="C357" s="37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5.75" customHeight="1">
      <c r="A358"/>
      <c r="B358" s="2"/>
      <c r="C358" s="37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5.75" customHeight="1">
      <c r="A359"/>
      <c r="B359" s="2"/>
      <c r="C359" s="37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5.75" customHeight="1">
      <c r="A360"/>
      <c r="B360" s="2"/>
      <c r="C360" s="37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5.75" customHeight="1">
      <c r="A361"/>
      <c r="B361" s="2"/>
      <c r="C361" s="37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5.75" customHeight="1">
      <c r="A362"/>
      <c r="B362" s="2"/>
      <c r="C362" s="37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5.75" customHeight="1">
      <c r="A363"/>
      <c r="B363" s="2"/>
      <c r="C363" s="37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5.75" customHeight="1">
      <c r="A364"/>
      <c r="B364" s="2"/>
      <c r="C364" s="37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5.75" customHeight="1">
      <c r="A365"/>
      <c r="B365" s="2"/>
      <c r="C365" s="37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5.75" customHeight="1">
      <c r="A366"/>
      <c r="B366" s="2"/>
      <c r="C366" s="37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5.75" customHeight="1">
      <c r="A367"/>
      <c r="B367" s="2"/>
      <c r="C367" s="37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5.75" customHeight="1">
      <c r="A368"/>
      <c r="B368" s="2"/>
      <c r="C368" s="37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5.75" customHeight="1">
      <c r="A369"/>
      <c r="B369" s="2"/>
      <c r="C369" s="37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5.75" customHeight="1">
      <c r="A370"/>
      <c r="B370" s="2"/>
      <c r="C370" s="37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5.75" customHeight="1">
      <c r="A371"/>
      <c r="B371" s="2"/>
      <c r="C371" s="37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5.75" customHeight="1">
      <c r="A372"/>
      <c r="B372" s="2"/>
      <c r="C372" s="37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5.75" customHeight="1">
      <c r="A373"/>
      <c r="B373" s="2"/>
      <c r="C373" s="37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5.75" customHeight="1">
      <c r="A374"/>
      <c r="B374" s="2"/>
      <c r="C374" s="37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5.75" customHeight="1">
      <c r="A375"/>
      <c r="B375" s="2"/>
      <c r="C375" s="37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5.75" customHeight="1">
      <c r="A376"/>
      <c r="B376" s="2"/>
      <c r="C376" s="37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5.75" customHeight="1">
      <c r="A377"/>
      <c r="B377" s="2"/>
      <c r="C377" s="37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5.75" customHeight="1">
      <c r="A378"/>
      <c r="B378" s="2"/>
      <c r="C378" s="37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5.75" customHeight="1">
      <c r="A379"/>
      <c r="B379" s="2"/>
      <c r="C379" s="37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5.75" customHeight="1">
      <c r="A380"/>
      <c r="B380" s="2"/>
      <c r="C380" s="37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5.75" customHeight="1">
      <c r="A381"/>
      <c r="B381" s="2"/>
      <c r="C381" s="37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5.75" customHeight="1">
      <c r="A382"/>
      <c r="B382" s="2"/>
      <c r="C382" s="37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5.75" customHeight="1">
      <c r="A383"/>
      <c r="B383" s="2"/>
      <c r="C383" s="37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5.75" customHeight="1">
      <c r="A384"/>
      <c r="B384" s="2"/>
      <c r="C384" s="37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5.75" customHeight="1">
      <c r="A385"/>
      <c r="B385" s="2"/>
      <c r="C385" s="37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5.75" customHeight="1">
      <c r="A386"/>
      <c r="B386" s="2"/>
      <c r="C386" s="37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5.75" customHeight="1">
      <c r="A387"/>
      <c r="B387" s="2"/>
      <c r="C387" s="37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5.75" customHeight="1">
      <c r="A388"/>
      <c r="B388" s="2"/>
      <c r="C388" s="37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5.75" customHeight="1">
      <c r="A389"/>
      <c r="B389" s="2"/>
      <c r="C389" s="37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5.75" customHeight="1">
      <c r="A390"/>
      <c r="B390" s="2"/>
      <c r="C390" s="37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5.75" customHeight="1">
      <c r="A391"/>
      <c r="B391" s="2"/>
      <c r="C391" s="37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5.75" customHeight="1">
      <c r="A392"/>
      <c r="B392" s="2"/>
      <c r="C392" s="37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5.75" customHeight="1">
      <c r="A393"/>
      <c r="B393" s="2"/>
      <c r="C393" s="37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5.75" customHeight="1">
      <c r="A394"/>
      <c r="B394" s="2"/>
      <c r="C394" s="37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5.75" customHeight="1">
      <c r="A395"/>
      <c r="B395" s="2"/>
      <c r="C395" s="37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5.75" customHeight="1">
      <c r="A396"/>
      <c r="B396" s="2"/>
      <c r="C396" s="37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5.75" customHeight="1">
      <c r="A397"/>
      <c r="B397" s="2"/>
      <c r="C397" s="37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5.75" customHeight="1">
      <c r="A398"/>
      <c r="B398" s="2"/>
      <c r="C398" s="37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5.75" customHeight="1">
      <c r="A399"/>
      <c r="B399" s="2"/>
      <c r="C399" s="37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5.75" customHeight="1">
      <c r="A400"/>
      <c r="B400" s="2"/>
      <c r="C400" s="37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5.75" customHeight="1">
      <c r="A401"/>
      <c r="B401" s="2"/>
      <c r="C401" s="37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5.75" customHeight="1">
      <c r="A402"/>
      <c r="B402" s="2"/>
      <c r="C402" s="37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5.75" customHeight="1">
      <c r="A403"/>
      <c r="B403" s="2"/>
      <c r="C403" s="37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5.75" customHeight="1">
      <c r="A404"/>
      <c r="B404" s="2"/>
      <c r="C404" s="37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5.75" customHeight="1">
      <c r="A405"/>
      <c r="B405" s="2"/>
      <c r="C405" s="37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5.75" customHeight="1">
      <c r="A406"/>
      <c r="B406" s="2"/>
      <c r="C406" s="37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5.75" customHeight="1">
      <c r="A407"/>
      <c r="B407" s="2"/>
      <c r="C407" s="37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5.75" customHeight="1">
      <c r="A408"/>
      <c r="B408" s="2"/>
      <c r="C408" s="37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5.75" customHeight="1">
      <c r="A409"/>
      <c r="B409" s="2"/>
      <c r="C409" s="37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5.75" customHeight="1">
      <c r="A410"/>
      <c r="B410" s="2"/>
      <c r="C410" s="37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5.75" customHeight="1">
      <c r="A411"/>
      <c r="B411" s="2"/>
      <c r="C411" s="37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5.75" customHeight="1">
      <c r="A412"/>
      <c r="B412" s="2"/>
      <c r="C412" s="37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5.75" customHeight="1">
      <c r="A413"/>
      <c r="B413" s="2"/>
      <c r="C413" s="37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5.75" customHeight="1">
      <c r="A414"/>
      <c r="B414" s="2"/>
      <c r="C414" s="37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5.75" customHeight="1">
      <c r="A415"/>
      <c r="B415" s="2"/>
      <c r="C415" s="37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5.75" customHeight="1">
      <c r="A416"/>
      <c r="B416" s="2"/>
      <c r="C416" s="37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5.75" customHeight="1">
      <c r="A417"/>
      <c r="B417" s="2"/>
      <c r="C417" s="37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5.75" customHeight="1">
      <c r="A418"/>
      <c r="B418" s="2"/>
      <c r="C418" s="37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5.75" customHeight="1">
      <c r="A419"/>
      <c r="B419" s="2"/>
      <c r="C419" s="37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5.75" customHeight="1">
      <c r="A420"/>
      <c r="B420" s="2"/>
      <c r="C420" s="37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5.75" customHeight="1">
      <c r="A421"/>
      <c r="B421" s="2"/>
      <c r="C421" s="37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5.75" customHeight="1">
      <c r="A422"/>
      <c r="B422" s="2"/>
      <c r="C422" s="37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5.75" customHeight="1">
      <c r="A423"/>
      <c r="B423" s="2"/>
      <c r="C423" s="37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5.75" customHeight="1">
      <c r="A424"/>
      <c r="B424" s="2"/>
      <c r="C424" s="37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5.75" customHeight="1">
      <c r="A425"/>
      <c r="B425" s="2"/>
      <c r="C425" s="37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5.75" customHeight="1">
      <c r="A426"/>
      <c r="B426" s="2"/>
      <c r="C426" s="37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5.75" customHeight="1">
      <c r="A427"/>
      <c r="B427" s="2"/>
      <c r="C427" s="37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5.75" customHeight="1">
      <c r="A428"/>
      <c r="B428" s="2"/>
      <c r="C428" s="37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5.75" customHeight="1">
      <c r="A429"/>
      <c r="B429" s="2"/>
      <c r="C429" s="37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5.75" customHeight="1">
      <c r="A430"/>
      <c r="B430" s="2"/>
      <c r="C430" s="37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5.75" customHeight="1">
      <c r="A431"/>
      <c r="B431" s="2"/>
      <c r="C431" s="37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5.75" customHeight="1">
      <c r="A432"/>
      <c r="B432" s="2"/>
      <c r="C432" s="37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5.75" customHeight="1">
      <c r="A433"/>
      <c r="B433" s="2"/>
      <c r="C433" s="37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5.75" customHeight="1">
      <c r="A434"/>
      <c r="B434" s="2"/>
      <c r="C434" s="37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5.75" customHeight="1">
      <c r="A435"/>
      <c r="B435" s="2"/>
      <c r="C435" s="37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5.75" customHeight="1">
      <c r="A436"/>
      <c r="B436" s="2"/>
      <c r="C436" s="37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5.75" customHeight="1">
      <c r="A437"/>
      <c r="B437" s="2"/>
      <c r="C437" s="37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5.75" customHeight="1">
      <c r="A438"/>
      <c r="B438" s="2"/>
      <c r="C438" s="37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5.75" customHeight="1">
      <c r="A439"/>
      <c r="B439" s="2"/>
      <c r="C439" s="37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5.75" customHeight="1">
      <c r="A440"/>
      <c r="B440" s="2"/>
      <c r="C440" s="37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5.75" customHeight="1">
      <c r="A441"/>
      <c r="B441" s="2"/>
      <c r="C441" s="37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5.75" customHeight="1">
      <c r="A442"/>
      <c r="B442" s="2"/>
      <c r="C442" s="37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5.75" customHeight="1">
      <c r="A443"/>
      <c r="B443" s="2"/>
      <c r="C443" s="37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5.75" customHeight="1">
      <c r="A444"/>
      <c r="B444" s="2"/>
      <c r="C444" s="37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5.75" customHeight="1">
      <c r="A445"/>
      <c r="B445" s="2"/>
      <c r="C445" s="37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5.75" customHeight="1">
      <c r="A446"/>
      <c r="B446" s="2"/>
      <c r="C446" s="37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5.75" customHeight="1">
      <c r="A447"/>
      <c r="B447" s="2"/>
      <c r="C447" s="37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5.75" customHeight="1">
      <c r="A448"/>
      <c r="B448" s="2"/>
      <c r="C448" s="37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5.75" customHeight="1">
      <c r="A449"/>
      <c r="B449" s="2"/>
      <c r="C449" s="37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5.75" customHeight="1">
      <c r="A450"/>
      <c r="B450" s="2"/>
      <c r="C450" s="37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5.75" customHeight="1">
      <c r="A451"/>
      <c r="B451" s="2"/>
      <c r="C451" s="37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5.75" customHeight="1">
      <c r="A452"/>
      <c r="B452" s="2"/>
      <c r="C452" s="37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5.75" customHeight="1">
      <c r="A453"/>
      <c r="B453" s="2"/>
      <c r="C453" s="37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5.75" customHeight="1">
      <c r="A454"/>
      <c r="B454" s="2"/>
      <c r="C454" s="37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5.75" customHeight="1">
      <c r="A455"/>
      <c r="B455" s="2"/>
      <c r="C455" s="37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5.75" customHeight="1">
      <c r="A456"/>
      <c r="B456" s="2"/>
      <c r="C456" s="37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5.75" customHeight="1">
      <c r="A457"/>
      <c r="B457" s="2"/>
      <c r="C457" s="37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5.75" customHeight="1">
      <c r="A458"/>
      <c r="B458" s="2"/>
      <c r="C458" s="37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5.75" customHeight="1">
      <c r="A459"/>
      <c r="B459" s="2"/>
      <c r="C459" s="37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5.75" customHeight="1">
      <c r="A460"/>
      <c r="B460" s="2"/>
      <c r="C460" s="37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5.75" customHeight="1">
      <c r="A461"/>
      <c r="B461" s="2"/>
      <c r="C461" s="37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5.75" customHeight="1">
      <c r="A462"/>
      <c r="B462" s="2"/>
      <c r="C462" s="37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5.75" customHeight="1">
      <c r="A463"/>
      <c r="B463" s="2"/>
      <c r="C463" s="37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5.75" customHeight="1">
      <c r="A464"/>
      <c r="B464" s="2"/>
      <c r="C464" s="37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5.75" customHeight="1">
      <c r="A465"/>
      <c r="B465" s="2"/>
      <c r="C465" s="37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5.75" customHeight="1">
      <c r="A466"/>
      <c r="B466" s="2"/>
      <c r="C466" s="37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5.75" customHeight="1">
      <c r="A467"/>
      <c r="B467" s="2"/>
      <c r="C467" s="37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5.75" customHeight="1">
      <c r="A468"/>
      <c r="B468" s="2"/>
      <c r="C468" s="37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5.75" customHeight="1">
      <c r="A469"/>
      <c r="B469" s="2"/>
      <c r="C469" s="37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5.75" customHeight="1">
      <c r="A470"/>
      <c r="B470" s="2"/>
      <c r="C470" s="37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5.75" customHeight="1">
      <c r="A471"/>
      <c r="B471" s="2"/>
      <c r="C471" s="37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5.75" customHeight="1">
      <c r="A472"/>
      <c r="B472" s="2"/>
      <c r="C472" s="37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5.75" customHeight="1">
      <c r="A473"/>
      <c r="B473" s="2"/>
      <c r="C473" s="37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5.75" customHeight="1">
      <c r="A474"/>
      <c r="B474" s="2"/>
      <c r="C474" s="37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5.75" customHeight="1">
      <c r="A475"/>
      <c r="B475" s="2"/>
      <c r="C475" s="37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5.75" customHeight="1">
      <c r="A476"/>
      <c r="B476" s="2"/>
      <c r="C476" s="37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5.75" customHeight="1">
      <c r="A477"/>
      <c r="B477" s="2"/>
      <c r="C477" s="37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5.75" customHeight="1">
      <c r="A478"/>
      <c r="B478" s="2"/>
      <c r="C478" s="37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5.75" customHeight="1">
      <c r="A479"/>
      <c r="B479" s="2"/>
      <c r="C479" s="37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5.75" customHeight="1">
      <c r="A480"/>
      <c r="B480" s="2"/>
      <c r="C480" s="37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5.75" customHeight="1">
      <c r="A481"/>
      <c r="B481" s="2"/>
      <c r="C481" s="37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5.75" customHeight="1">
      <c r="A482"/>
      <c r="B482" s="2"/>
      <c r="C482" s="37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5.75" customHeight="1">
      <c r="A483"/>
      <c r="B483" s="2"/>
      <c r="C483" s="37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5.75" customHeight="1">
      <c r="A484"/>
      <c r="B484" s="2"/>
      <c r="C484" s="37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5.75" customHeight="1">
      <c r="A485"/>
      <c r="B485" s="2"/>
      <c r="C485" s="37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5.75" customHeight="1">
      <c r="A486"/>
      <c r="B486" s="2"/>
      <c r="C486" s="37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5.75" customHeight="1">
      <c r="A487"/>
      <c r="B487" s="2"/>
      <c r="C487" s="37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5.75" customHeight="1">
      <c r="A488"/>
      <c r="B488" s="2"/>
      <c r="C488" s="37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5.75" customHeight="1">
      <c r="A489"/>
      <c r="B489" s="2"/>
      <c r="C489" s="37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5.75" customHeight="1">
      <c r="A490"/>
      <c r="B490" s="2"/>
      <c r="C490" s="37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5.75" customHeight="1">
      <c r="A491"/>
      <c r="B491" s="2"/>
      <c r="C491" s="37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5.75" customHeight="1">
      <c r="A492"/>
      <c r="B492" s="2"/>
      <c r="C492" s="37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5.75" customHeight="1">
      <c r="A493"/>
      <c r="B493" s="2"/>
      <c r="C493" s="37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5.75" customHeight="1">
      <c r="A494"/>
      <c r="B494" s="2"/>
      <c r="C494" s="37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5.75" customHeight="1">
      <c r="A495"/>
      <c r="B495" s="2"/>
      <c r="C495" s="37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5.75" customHeight="1">
      <c r="A496"/>
      <c r="B496" s="2"/>
      <c r="C496" s="37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5.75" customHeight="1">
      <c r="A497"/>
      <c r="B497" s="2"/>
      <c r="C497" s="37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5.75" customHeight="1">
      <c r="A498"/>
      <c r="B498" s="2"/>
      <c r="C498" s="37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5.75" customHeight="1">
      <c r="A499"/>
      <c r="B499" s="2"/>
      <c r="C499" s="37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5.75" customHeight="1">
      <c r="A500"/>
      <c r="B500" s="2"/>
      <c r="C500" s="37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5.75" customHeight="1">
      <c r="A501"/>
      <c r="B501" s="2"/>
      <c r="C501" s="37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5.75" customHeight="1">
      <c r="A502"/>
      <c r="B502" s="2"/>
      <c r="C502" s="37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5.75" customHeight="1">
      <c r="A503"/>
      <c r="B503" s="2"/>
      <c r="C503" s="37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5.75" customHeight="1">
      <c r="A504"/>
      <c r="B504" s="2"/>
      <c r="C504" s="37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5.75" customHeight="1">
      <c r="A505"/>
      <c r="B505" s="2"/>
      <c r="C505" s="37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5.75" customHeight="1">
      <c r="A506"/>
      <c r="B506" s="2"/>
      <c r="C506" s="37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5.75" customHeight="1">
      <c r="A507"/>
      <c r="B507" s="2"/>
      <c r="C507" s="37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5.75" customHeight="1">
      <c r="A508"/>
      <c r="B508" s="2"/>
      <c r="C508" s="37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5.75" customHeight="1">
      <c r="A509"/>
      <c r="B509" s="2"/>
      <c r="C509" s="37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5.75" customHeight="1">
      <c r="A510"/>
      <c r="B510" s="2"/>
      <c r="C510" s="37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5.75" customHeight="1">
      <c r="A511"/>
      <c r="B511" s="2"/>
      <c r="C511" s="37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5.75" customHeight="1">
      <c r="A512"/>
      <c r="B512" s="2"/>
      <c r="C512" s="37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5.75" customHeight="1">
      <c r="A513"/>
      <c r="B513" s="2"/>
      <c r="C513" s="37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5.75" customHeight="1">
      <c r="A514"/>
      <c r="B514" s="2"/>
      <c r="C514" s="37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5.75" customHeight="1">
      <c r="A515"/>
      <c r="B515" s="2"/>
      <c r="C515" s="37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5.75" customHeight="1">
      <c r="A516"/>
      <c r="B516" s="2"/>
      <c r="C516" s="37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5.75" customHeight="1">
      <c r="A517"/>
      <c r="B517" s="2"/>
      <c r="C517" s="37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5.75" customHeight="1">
      <c r="A518"/>
      <c r="B518" s="2"/>
      <c r="C518" s="37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5.75" customHeight="1">
      <c r="A519"/>
      <c r="B519" s="2"/>
      <c r="C519" s="37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5.75" customHeight="1">
      <c r="A520"/>
      <c r="B520" s="2"/>
      <c r="C520" s="37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5.75" customHeight="1">
      <c r="A521"/>
      <c r="B521" s="2"/>
      <c r="C521" s="37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5.75" customHeight="1">
      <c r="A522"/>
      <c r="B522" s="2"/>
      <c r="C522" s="37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5.75" customHeight="1">
      <c r="A523"/>
      <c r="B523" s="2"/>
      <c r="C523" s="37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5.75" customHeight="1">
      <c r="A524"/>
      <c r="B524" s="2"/>
      <c r="C524" s="37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5.75" customHeight="1">
      <c r="A525"/>
      <c r="B525" s="2"/>
      <c r="C525" s="37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5.75" customHeight="1">
      <c r="A526"/>
      <c r="B526" s="2"/>
      <c r="C526" s="37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5.75" customHeight="1">
      <c r="A527"/>
      <c r="B527" s="2"/>
      <c r="C527" s="37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5.75" customHeight="1">
      <c r="A528"/>
      <c r="B528" s="2"/>
      <c r="C528" s="37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5.75" customHeight="1">
      <c r="A529"/>
      <c r="B529" s="2"/>
      <c r="C529" s="37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5.75" customHeight="1">
      <c r="A530"/>
      <c r="B530" s="2"/>
      <c r="C530" s="37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5.75" customHeight="1">
      <c r="A531"/>
      <c r="B531" s="2"/>
      <c r="C531" s="37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5.75" customHeight="1">
      <c r="A532"/>
      <c r="B532" s="2"/>
      <c r="C532" s="37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5.75" customHeight="1">
      <c r="A533"/>
      <c r="B533" s="2"/>
      <c r="C533" s="37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5.75" customHeight="1">
      <c r="A534"/>
      <c r="B534" s="2"/>
      <c r="C534" s="37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5.75" customHeight="1">
      <c r="A535"/>
      <c r="B535" s="2"/>
      <c r="C535" s="37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5.75" customHeight="1">
      <c r="A536"/>
      <c r="B536" s="2"/>
      <c r="C536" s="37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5.75" customHeight="1">
      <c r="A537"/>
      <c r="B537" s="2"/>
      <c r="C537" s="37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5.75" customHeight="1">
      <c r="A538"/>
      <c r="B538" s="2"/>
      <c r="C538" s="37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5.75" customHeight="1">
      <c r="A539"/>
      <c r="B539" s="2"/>
      <c r="C539" s="37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5.75" customHeight="1">
      <c r="A540"/>
      <c r="B540" s="2"/>
      <c r="C540" s="37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5.75" customHeight="1">
      <c r="A541"/>
      <c r="B541" s="2"/>
      <c r="C541" s="37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5.75" customHeight="1">
      <c r="A542"/>
      <c r="B542" s="2"/>
      <c r="C542" s="37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5.75" customHeight="1">
      <c r="A543"/>
      <c r="B543" s="2"/>
      <c r="C543" s="37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5.75" customHeight="1">
      <c r="A544"/>
      <c r="B544" s="2"/>
      <c r="C544" s="37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5.75" customHeight="1">
      <c r="A545"/>
      <c r="B545" s="2"/>
      <c r="C545" s="37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5.75" customHeight="1">
      <c r="A546"/>
      <c r="B546" s="2"/>
      <c r="C546" s="37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5.75" customHeight="1">
      <c r="A547"/>
      <c r="B547" s="2"/>
      <c r="C547" s="37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5.75" customHeight="1">
      <c r="A548"/>
      <c r="B548" s="2"/>
      <c r="C548" s="37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5.75" customHeight="1">
      <c r="A549"/>
      <c r="B549" s="2"/>
      <c r="C549" s="37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5.75" customHeight="1">
      <c r="A550"/>
      <c r="B550" s="2"/>
      <c r="C550" s="37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5.75" customHeight="1">
      <c r="A551"/>
      <c r="B551" s="2"/>
      <c r="C551" s="37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5.75" customHeight="1">
      <c r="A552"/>
      <c r="B552" s="2"/>
      <c r="C552" s="37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5.75" customHeight="1">
      <c r="A553"/>
      <c r="B553" s="2"/>
      <c r="C553" s="37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5.75" customHeight="1">
      <c r="A554"/>
      <c r="B554" s="2"/>
      <c r="C554" s="37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5.75" customHeight="1">
      <c r="A555"/>
      <c r="B555" s="2"/>
      <c r="C555" s="37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5.75" customHeight="1">
      <c r="A556"/>
      <c r="B556" s="2"/>
      <c r="C556" s="37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5.75" customHeight="1">
      <c r="A557"/>
      <c r="B557" s="2"/>
      <c r="C557" s="37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5.75" customHeight="1">
      <c r="A558"/>
      <c r="B558" s="2"/>
      <c r="C558" s="37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5.75" customHeight="1">
      <c r="A559"/>
      <c r="B559" s="2"/>
      <c r="C559" s="37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5.75" customHeight="1">
      <c r="A560"/>
      <c r="B560" s="2"/>
      <c r="C560" s="37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5.75" customHeight="1">
      <c r="A561"/>
      <c r="B561" s="2"/>
      <c r="C561" s="37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5.75" customHeight="1">
      <c r="A562"/>
      <c r="B562" s="2"/>
      <c r="C562" s="37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5.75" customHeight="1">
      <c r="A563"/>
      <c r="B563" s="2"/>
      <c r="C563" s="37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5.75" customHeight="1">
      <c r="A564"/>
      <c r="B564" s="2"/>
      <c r="C564" s="37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5.75" customHeight="1">
      <c r="A565"/>
      <c r="B565" s="2"/>
      <c r="C565" s="37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5.75" customHeight="1">
      <c r="A566"/>
      <c r="B566" s="2"/>
      <c r="C566" s="37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5.75" customHeight="1">
      <c r="A567"/>
      <c r="B567" s="2"/>
      <c r="C567" s="37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5.75" customHeight="1">
      <c r="A568"/>
      <c r="B568" s="2"/>
      <c r="C568" s="37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5.75" customHeight="1">
      <c r="A569"/>
      <c r="B569" s="2"/>
      <c r="C569" s="37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5.75" customHeight="1">
      <c r="A570"/>
      <c r="B570" s="2"/>
      <c r="C570" s="37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5.75" customHeight="1">
      <c r="A571"/>
      <c r="B571" s="2"/>
      <c r="C571" s="37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5.75" customHeight="1">
      <c r="A572"/>
      <c r="B572" s="2"/>
      <c r="C572" s="37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5.75" customHeight="1">
      <c r="A573"/>
      <c r="B573" s="2"/>
      <c r="C573" s="37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5.75" customHeight="1">
      <c r="A574"/>
      <c r="B574" s="2"/>
      <c r="C574" s="37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5.75" customHeight="1">
      <c r="A575"/>
      <c r="B575" s="2"/>
      <c r="C575" s="37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5.75" customHeight="1">
      <c r="A576"/>
      <c r="B576" s="2"/>
      <c r="C576" s="37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5.75" customHeight="1">
      <c r="A577"/>
      <c r="B577" s="2"/>
      <c r="C577" s="37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5.75" customHeight="1">
      <c r="A578"/>
      <c r="B578" s="2"/>
      <c r="C578" s="37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5.75" customHeight="1">
      <c r="A579"/>
      <c r="B579" s="2"/>
      <c r="C579" s="37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5.75" customHeight="1">
      <c r="A580"/>
      <c r="B580" s="2"/>
      <c r="C580" s="37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5.75" customHeight="1">
      <c r="A581"/>
      <c r="B581" s="2"/>
      <c r="C581" s="37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5.75" customHeight="1">
      <c r="A582"/>
      <c r="B582" s="2"/>
      <c r="C582" s="37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5.75" customHeight="1">
      <c r="A583"/>
      <c r="B583" s="2"/>
      <c r="C583" s="37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5.75" customHeight="1">
      <c r="A584"/>
      <c r="B584" s="2"/>
      <c r="C584" s="37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5.75" customHeight="1">
      <c r="A585"/>
      <c r="B585" s="2"/>
      <c r="C585" s="37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5.75" customHeight="1">
      <c r="A586"/>
      <c r="B586" s="2"/>
      <c r="C586" s="37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5.75" customHeight="1">
      <c r="A587"/>
      <c r="B587" s="2"/>
      <c r="C587" s="37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5.75" customHeight="1">
      <c r="A588"/>
      <c r="B588" s="2"/>
      <c r="C588" s="37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5.75" customHeight="1">
      <c r="A589"/>
      <c r="B589" s="2"/>
      <c r="C589" s="37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5.75" customHeight="1">
      <c r="A590"/>
      <c r="B590" s="2"/>
      <c r="C590" s="37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5.75" customHeight="1">
      <c r="A591"/>
      <c r="B591" s="2"/>
      <c r="C591" s="37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5.75" customHeight="1">
      <c r="A592"/>
      <c r="B592" s="2"/>
      <c r="C592" s="37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5.75" customHeight="1">
      <c r="A593"/>
      <c r="B593" s="2"/>
      <c r="C593" s="37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5.75" customHeight="1">
      <c r="A594"/>
      <c r="B594" s="2"/>
      <c r="C594" s="37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5.75" customHeight="1">
      <c r="A595"/>
      <c r="B595" s="2"/>
      <c r="C595" s="37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5.75" customHeight="1">
      <c r="A596"/>
      <c r="B596" s="2"/>
      <c r="C596" s="37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5.75" customHeight="1">
      <c r="A597"/>
      <c r="B597" s="2"/>
      <c r="C597" s="37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5.75" customHeight="1">
      <c r="A598"/>
      <c r="B598" s="2"/>
      <c r="C598" s="37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5.75" customHeight="1">
      <c r="A599"/>
      <c r="B599" s="2"/>
      <c r="C599" s="37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5.75" customHeight="1">
      <c r="A600"/>
      <c r="B600" s="2"/>
      <c r="C600" s="37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5.75" customHeight="1">
      <c r="A601"/>
      <c r="B601" s="2"/>
      <c r="C601" s="37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5.75" customHeight="1">
      <c r="A602"/>
      <c r="B602" s="2"/>
      <c r="C602" s="37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5.75" customHeight="1">
      <c r="A603"/>
      <c r="B603" s="2"/>
      <c r="C603" s="37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5.75" customHeight="1">
      <c r="A604"/>
      <c r="B604" s="2"/>
      <c r="C604" s="37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5.75" customHeight="1">
      <c r="A605"/>
      <c r="B605" s="2"/>
      <c r="C605" s="37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5.75" customHeight="1">
      <c r="A606"/>
      <c r="B606" s="2"/>
      <c r="C606" s="37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5.75" customHeight="1">
      <c r="A607"/>
      <c r="B607" s="2"/>
      <c r="C607" s="37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5.75" customHeight="1">
      <c r="A608"/>
      <c r="B608" s="2"/>
      <c r="C608" s="37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5.75" customHeight="1">
      <c r="A609"/>
      <c r="B609" s="2"/>
      <c r="C609" s="37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5.75" customHeight="1">
      <c r="A610"/>
      <c r="B610" s="2"/>
      <c r="C610" s="37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5.75" customHeight="1">
      <c r="A611"/>
      <c r="B611" s="2"/>
      <c r="C611" s="37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5.75" customHeight="1">
      <c r="A612"/>
      <c r="B612" s="2"/>
      <c r="C612" s="37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5.75" customHeight="1">
      <c r="A613"/>
      <c r="B613" s="2"/>
      <c r="C613" s="37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5.75" customHeight="1">
      <c r="A614"/>
      <c r="B614" s="2"/>
      <c r="C614" s="37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5.75" customHeight="1">
      <c r="A615"/>
      <c r="B615" s="2"/>
      <c r="C615" s="37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5.75" customHeight="1">
      <c r="A616"/>
      <c r="B616" s="2"/>
      <c r="C616" s="37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ht="15.75" customHeight="1">
      <c r="A617"/>
    </row>
    <row r="618" ht="15.75" customHeight="1">
      <c r="A618"/>
    </row>
    <row r="619" ht="15.75" customHeight="1">
      <c r="A619"/>
    </row>
    <row r="620" ht="15.75" customHeight="1">
      <c r="A620"/>
    </row>
    <row r="621" spans="1:3" ht="15.75" customHeight="1">
      <c r="A621"/>
      <c r="C621" s="118"/>
    </row>
    <row r="622" spans="1:3" ht="15.75" customHeight="1">
      <c r="A622"/>
      <c r="C622" s="118"/>
    </row>
    <row r="623" spans="1:3" ht="15.75" customHeight="1">
      <c r="A623"/>
      <c r="C623" s="118"/>
    </row>
    <row r="624" spans="1:3" ht="15.75" customHeight="1">
      <c r="A624"/>
      <c r="C624" s="118"/>
    </row>
    <row r="625" spans="1:3" ht="15.75" customHeight="1">
      <c r="A625"/>
      <c r="C625" s="118"/>
    </row>
    <row r="626" spans="1:3" ht="15.75" customHeight="1">
      <c r="A626"/>
      <c r="C626" s="118"/>
    </row>
    <row r="627" spans="1:3" ht="15.75" customHeight="1">
      <c r="A627"/>
      <c r="C627" s="118"/>
    </row>
    <row r="628" spans="1:3" ht="15.75" customHeight="1">
      <c r="A628"/>
      <c r="C628" s="118"/>
    </row>
    <row r="629" spans="1:3" ht="15.75" customHeight="1">
      <c r="A629"/>
      <c r="C629" s="118"/>
    </row>
    <row r="630" spans="1:3" ht="15.75" customHeight="1">
      <c r="A630"/>
      <c r="C630" s="118"/>
    </row>
    <row r="631" spans="1:3" ht="15.75" customHeight="1">
      <c r="A631"/>
      <c r="C631" s="118"/>
    </row>
    <row r="632" spans="1:3" ht="15.75" customHeight="1">
      <c r="A632"/>
      <c r="C632" s="118"/>
    </row>
    <row r="633" spans="1:3" ht="15.75" customHeight="1">
      <c r="A633"/>
      <c r="C633" s="118"/>
    </row>
    <row r="634" spans="1:3" ht="15.75" customHeight="1">
      <c r="A634"/>
      <c r="C634" s="118"/>
    </row>
    <row r="635" spans="1:3" ht="15.75" customHeight="1">
      <c r="A635"/>
      <c r="C635" s="118"/>
    </row>
    <row r="636" spans="1:3" ht="15.75" customHeight="1">
      <c r="A636"/>
      <c r="C636" s="118"/>
    </row>
    <row r="637" spans="1:3" ht="15.75" customHeight="1">
      <c r="A637"/>
      <c r="C637" s="118"/>
    </row>
    <row r="638" spans="1:3" ht="15.75" customHeight="1">
      <c r="A638"/>
      <c r="C638" s="118"/>
    </row>
    <row r="639" spans="1:3" ht="15.75" customHeight="1">
      <c r="A639"/>
      <c r="C639" s="118"/>
    </row>
    <row r="640" spans="1:3" ht="15.75" customHeight="1">
      <c r="A640"/>
      <c r="C640" s="118"/>
    </row>
    <row r="641" spans="1:3" ht="15.75" customHeight="1">
      <c r="A641"/>
      <c r="C641" s="118"/>
    </row>
    <row r="642" spans="1:3" ht="15.75" customHeight="1">
      <c r="A642"/>
      <c r="C642" s="118"/>
    </row>
    <row r="643" spans="1:3" ht="15.75" customHeight="1">
      <c r="A643"/>
      <c r="C643" s="118"/>
    </row>
    <row r="644" spans="1:3" ht="15.75" customHeight="1">
      <c r="A644"/>
      <c r="C644" s="118"/>
    </row>
    <row r="645" spans="1:3" ht="15.75" customHeight="1">
      <c r="A645"/>
      <c r="C645" s="118"/>
    </row>
    <row r="646" spans="1:3" ht="15.75" customHeight="1">
      <c r="A646"/>
      <c r="C646" s="118"/>
    </row>
    <row r="647" spans="1:3" ht="15.75" customHeight="1">
      <c r="A647"/>
      <c r="C647" s="118"/>
    </row>
    <row r="648" spans="1:3" ht="15.75" customHeight="1">
      <c r="A648"/>
      <c r="C648" s="118"/>
    </row>
    <row r="649" spans="1:3" ht="15.75" customHeight="1">
      <c r="A649"/>
      <c r="C649" s="118"/>
    </row>
    <row r="650" spans="1:3" ht="15.75" customHeight="1">
      <c r="A650"/>
      <c r="C650" s="118"/>
    </row>
    <row r="651" spans="1:3" ht="15.75" customHeight="1">
      <c r="A651"/>
      <c r="C651" s="118"/>
    </row>
    <row r="652" spans="1:3" ht="15.75" customHeight="1">
      <c r="A652"/>
      <c r="C652" s="118"/>
    </row>
    <row r="653" spans="1:3" ht="15.75" customHeight="1">
      <c r="A653"/>
      <c r="C653" s="118"/>
    </row>
    <row r="654" spans="1:3" ht="15.75" customHeight="1">
      <c r="A654"/>
      <c r="C654" s="118"/>
    </row>
    <row r="655" spans="1:3" ht="15.75" customHeight="1">
      <c r="A655"/>
      <c r="C655" s="118"/>
    </row>
    <row r="656" spans="1:3" ht="15.75" customHeight="1">
      <c r="A656"/>
      <c r="C656" s="118"/>
    </row>
    <row r="657" spans="1:3" ht="15.75" customHeight="1">
      <c r="A657"/>
      <c r="C657" s="118"/>
    </row>
    <row r="658" spans="1:3" ht="15.75" customHeight="1">
      <c r="A658"/>
      <c r="C658" s="118"/>
    </row>
    <row r="659" spans="1:3" ht="15.75" customHeight="1">
      <c r="A659"/>
      <c r="C659" s="118"/>
    </row>
    <row r="660" spans="1:3" ht="15.75" customHeight="1">
      <c r="A660"/>
      <c r="C660" s="118"/>
    </row>
    <row r="661" spans="1:3" ht="15.75" customHeight="1">
      <c r="A661"/>
      <c r="C661" s="118"/>
    </row>
    <row r="662" spans="1:3" ht="15.75" customHeight="1">
      <c r="A662"/>
      <c r="C662" s="118"/>
    </row>
    <row r="663" spans="1:3" ht="15.75" customHeight="1">
      <c r="A663"/>
      <c r="C663" s="118"/>
    </row>
    <row r="664" spans="1:3" ht="15.75" customHeight="1">
      <c r="A664"/>
      <c r="C664" s="118"/>
    </row>
    <row r="665" spans="1:3" ht="15.75" customHeight="1">
      <c r="A665"/>
      <c r="C665" s="118"/>
    </row>
    <row r="666" spans="1:3" ht="15.75" customHeight="1">
      <c r="A666"/>
      <c r="C666" s="118"/>
    </row>
    <row r="667" spans="1:3" ht="15.75" customHeight="1">
      <c r="A667"/>
      <c r="C667" s="118"/>
    </row>
    <row r="668" spans="1:3" ht="15.75" customHeight="1">
      <c r="A668"/>
      <c r="C668" s="118"/>
    </row>
    <row r="669" spans="1:3" ht="15.75" customHeight="1">
      <c r="A669"/>
      <c r="C669" s="118"/>
    </row>
    <row r="670" spans="1:3" ht="15.75" customHeight="1">
      <c r="A670"/>
      <c r="C670" s="118"/>
    </row>
    <row r="671" spans="1:3" ht="15.75" customHeight="1">
      <c r="A671"/>
      <c r="C671" s="118"/>
    </row>
    <row r="672" spans="1:3" ht="15.75" customHeight="1">
      <c r="A672"/>
      <c r="C672" s="118"/>
    </row>
    <row r="673" spans="1:3" ht="15.75" customHeight="1">
      <c r="A673"/>
      <c r="C673" s="118"/>
    </row>
    <row r="674" spans="1:3" ht="15.75" customHeight="1">
      <c r="A674"/>
      <c r="C674" s="118"/>
    </row>
    <row r="675" spans="1:3" ht="15.75" customHeight="1">
      <c r="A675"/>
      <c r="C675" s="118"/>
    </row>
    <row r="676" spans="1:3" ht="15.75" customHeight="1">
      <c r="A676"/>
      <c r="C676" s="118"/>
    </row>
    <row r="677" spans="1:3" ht="15.75" customHeight="1">
      <c r="A677"/>
      <c r="C677" s="118"/>
    </row>
    <row r="678" spans="1:3" ht="15.75" customHeight="1">
      <c r="A678"/>
      <c r="C678" s="118"/>
    </row>
    <row r="679" spans="1:3" ht="15.75" customHeight="1">
      <c r="A679"/>
      <c r="C679" s="118"/>
    </row>
    <row r="680" spans="1:3" ht="15.75" customHeight="1">
      <c r="A680"/>
      <c r="C680" s="118"/>
    </row>
    <row r="681" spans="1:3" ht="15.75" customHeight="1">
      <c r="A681"/>
      <c r="C681" s="118"/>
    </row>
    <row r="682" spans="1:3" ht="15.75" customHeight="1">
      <c r="A682"/>
      <c r="C682" s="118"/>
    </row>
    <row r="683" spans="1:3" ht="15.75" customHeight="1">
      <c r="A683"/>
      <c r="C683" s="118"/>
    </row>
    <row r="684" spans="1:3" ht="15.75" customHeight="1">
      <c r="A684"/>
      <c r="C684" s="118"/>
    </row>
    <row r="685" spans="1:3" ht="15.75" customHeight="1">
      <c r="A685"/>
      <c r="C685" s="118"/>
    </row>
    <row r="686" spans="1:3" ht="15.75" customHeight="1">
      <c r="A686"/>
      <c r="C686" s="118"/>
    </row>
    <row r="687" spans="1:3" ht="15.75" customHeight="1">
      <c r="A687"/>
      <c r="C687" s="118"/>
    </row>
    <row r="688" spans="1:3" ht="15.75" customHeight="1">
      <c r="A688"/>
      <c r="C688" s="118"/>
    </row>
    <row r="689" spans="1:3" ht="15.75" customHeight="1">
      <c r="A689"/>
      <c r="C689" s="118"/>
    </row>
    <row r="690" spans="1:3" ht="15.75" customHeight="1">
      <c r="A690"/>
      <c r="C690" s="118"/>
    </row>
    <row r="691" spans="1:3" ht="15.75" customHeight="1">
      <c r="A691"/>
      <c r="C691" s="118"/>
    </row>
    <row r="692" spans="1:3" ht="15.75" customHeight="1">
      <c r="A692"/>
      <c r="C692" s="118"/>
    </row>
    <row r="693" spans="1:3" ht="15.75" customHeight="1">
      <c r="A693"/>
      <c r="C693" s="118"/>
    </row>
    <row r="694" spans="1:3" ht="15.75" customHeight="1">
      <c r="A694"/>
      <c r="C694" s="118"/>
    </row>
    <row r="695" spans="1:3" ht="15.75" customHeight="1">
      <c r="A695"/>
      <c r="C695" s="118"/>
    </row>
    <row r="696" spans="1:3" ht="15.75" customHeight="1">
      <c r="A696"/>
      <c r="C696" s="118"/>
    </row>
    <row r="697" spans="1:3" ht="15.75" customHeight="1">
      <c r="A697"/>
      <c r="C697" s="118"/>
    </row>
    <row r="698" spans="1:3" ht="15.75" customHeight="1">
      <c r="A698"/>
      <c r="C698" s="118"/>
    </row>
    <row r="699" spans="1:3" ht="15.75" customHeight="1">
      <c r="A699"/>
      <c r="C699" s="118"/>
    </row>
    <row r="700" spans="1:3" ht="15.75" customHeight="1">
      <c r="A700"/>
      <c r="C700" s="118"/>
    </row>
    <row r="701" spans="1:3" ht="15.75" customHeight="1">
      <c r="A701"/>
      <c r="C701" s="118"/>
    </row>
    <row r="702" spans="1:3" ht="15.75" customHeight="1">
      <c r="A702"/>
      <c r="C702" s="118"/>
    </row>
    <row r="703" spans="1:3" ht="15.75" customHeight="1">
      <c r="A703"/>
      <c r="C703" s="118"/>
    </row>
    <row r="704" spans="1:3" ht="15.75" customHeight="1">
      <c r="A704"/>
      <c r="C704" s="118"/>
    </row>
    <row r="705" spans="1:3" ht="15.75" customHeight="1">
      <c r="A705"/>
      <c r="C705" s="118"/>
    </row>
    <row r="706" spans="1:3" ht="15.75" customHeight="1">
      <c r="A706"/>
      <c r="C706" s="118"/>
    </row>
    <row r="707" spans="1:3" ht="15.75" customHeight="1">
      <c r="A707"/>
      <c r="C707" s="118"/>
    </row>
    <row r="708" spans="1:3" ht="15.75" customHeight="1">
      <c r="A708"/>
      <c r="C708" s="118"/>
    </row>
    <row r="709" spans="1:3" ht="15.75" customHeight="1">
      <c r="A709"/>
      <c r="C709" s="118"/>
    </row>
    <row r="710" spans="1:3" ht="15.75" customHeight="1">
      <c r="A710"/>
      <c r="C710" s="118"/>
    </row>
    <row r="711" spans="1:3" ht="15.75" customHeight="1">
      <c r="A711"/>
      <c r="C711" s="118"/>
    </row>
    <row r="712" spans="1:3" ht="15.75" customHeight="1">
      <c r="A712"/>
      <c r="C712" s="118"/>
    </row>
    <row r="713" spans="1:3" ht="15.75" customHeight="1">
      <c r="A713"/>
      <c r="C713" s="118"/>
    </row>
    <row r="714" spans="1:3" ht="15.75" customHeight="1">
      <c r="A714"/>
      <c r="C714" s="118"/>
    </row>
    <row r="715" spans="1:3" ht="15.75" customHeight="1">
      <c r="A715"/>
      <c r="C715" s="118"/>
    </row>
    <row r="716" spans="1:3" ht="15.75" customHeight="1">
      <c r="A716"/>
      <c r="C716" s="118"/>
    </row>
    <row r="717" spans="1:3" ht="15.75" customHeight="1">
      <c r="A717"/>
      <c r="C717" s="118"/>
    </row>
    <row r="718" spans="1:3" ht="15.75" customHeight="1">
      <c r="A718"/>
      <c r="C718" s="118"/>
    </row>
    <row r="719" spans="1:3" ht="15.75" customHeight="1">
      <c r="A719"/>
      <c r="C719" s="118"/>
    </row>
    <row r="720" spans="1:3" ht="15.75" customHeight="1">
      <c r="A720"/>
      <c r="C720" s="118"/>
    </row>
  </sheetData>
  <sheetProtection/>
  <mergeCells count="6">
    <mergeCell ref="G13:G16"/>
    <mergeCell ref="H13:H16"/>
    <mergeCell ref="I13:I16"/>
    <mergeCell ref="J13:J16"/>
    <mergeCell ref="A2:C2"/>
    <mergeCell ref="A3:C3"/>
  </mergeCells>
  <printOptions/>
  <pageMargins left="0.7" right="0.15748031496062992" top="0.15748031496062992" bottom="0.15748031496062992" header="0.15748031496062992" footer="0.15748031496062992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SheetLayoutView="90" zoomScalePageLayoutView="0" workbookViewId="0" topLeftCell="A37">
      <selection activeCell="D48" sqref="D48"/>
    </sheetView>
  </sheetViews>
  <sheetFormatPr defaultColWidth="0" defaultRowHeight="12.75"/>
  <cols>
    <col min="1" max="1" width="80.625" style="0" customWidth="1"/>
    <col min="2" max="3" width="15.125" style="0" hidden="1" customWidth="1"/>
    <col min="4" max="4" width="22.00390625" style="0" customWidth="1"/>
    <col min="5" max="5" width="12.25390625" style="11" customWidth="1"/>
    <col min="6" max="6" width="7.00390625" style="0" hidden="1" customWidth="1"/>
    <col min="7" max="7" width="8.125" style="11" hidden="1" customWidth="1"/>
    <col min="8" max="8" width="9.125" style="0" hidden="1" customWidth="1"/>
    <col min="9" max="9" width="9.125" style="0" customWidth="1"/>
    <col min="10" max="10" width="8.125" style="0" customWidth="1"/>
    <col min="11" max="11" width="8.875" style="0" customWidth="1"/>
    <col min="12" max="223" width="9.125" style="0" customWidth="1"/>
    <col min="224" max="16384" width="0" style="0" hidden="1" customWidth="1"/>
  </cols>
  <sheetData>
    <row r="1" spans="1:4" ht="15.75" customHeight="1">
      <c r="A1" s="23"/>
      <c r="D1" s="71" t="s">
        <v>307</v>
      </c>
    </row>
    <row r="2" spans="1:4" ht="19.5">
      <c r="A2" s="971" t="s">
        <v>503</v>
      </c>
      <c r="B2" s="972"/>
      <c r="C2" s="972"/>
      <c r="D2" s="972"/>
    </row>
    <row r="3" spans="1:4" ht="19.5" customHeight="1">
      <c r="A3" s="973" t="s">
        <v>949</v>
      </c>
      <c r="B3" s="974"/>
      <c r="C3" s="974"/>
      <c r="D3" s="974"/>
    </row>
    <row r="4" spans="1:4" ht="12.75">
      <c r="A4" s="69"/>
      <c r="B4" s="70"/>
      <c r="C4" s="70"/>
      <c r="D4" s="70"/>
    </row>
    <row r="5" spans="1:5" ht="13.5" thickBot="1">
      <c r="A5" s="69"/>
      <c r="D5" s="331" t="s">
        <v>0</v>
      </c>
      <c r="E5" s="12"/>
    </row>
    <row r="6" spans="1:7" s="6" customFormat="1" ht="54.75" customHeight="1" thickBot="1">
      <c r="A6" s="59" t="s">
        <v>16</v>
      </c>
      <c r="B6" s="60" t="s">
        <v>850</v>
      </c>
      <c r="C6" s="806" t="s">
        <v>887</v>
      </c>
      <c r="D6" s="61" t="s">
        <v>467</v>
      </c>
      <c r="E6" s="540"/>
      <c r="G6" s="11"/>
    </row>
    <row r="7" spans="1:7" s="6" customFormat="1" ht="18" customHeight="1">
      <c r="A7" s="818" t="s">
        <v>17</v>
      </c>
      <c r="B7" s="410">
        <f>SUM(B8+B33)</f>
        <v>171259</v>
      </c>
      <c r="C7" s="410">
        <f>SUM(C8+C33)</f>
        <v>188843</v>
      </c>
      <c r="D7" s="410">
        <f>SUM(D8+D33)</f>
        <v>182974</v>
      </c>
      <c r="E7" s="56"/>
      <c r="G7" s="11"/>
    </row>
    <row r="8" spans="1:7" s="6" customFormat="1" ht="14.25" customHeight="1">
      <c r="A8" s="26" t="s">
        <v>3</v>
      </c>
      <c r="B8" s="7">
        <f>SUM(B9+B17)</f>
        <v>165094</v>
      </c>
      <c r="C8" s="7">
        <f>SUM(C9+C17)</f>
        <v>182678</v>
      </c>
      <c r="D8" s="7">
        <f>SUM(D9+D17)</f>
        <v>182974</v>
      </c>
      <c r="E8" s="56"/>
      <c r="G8" s="11"/>
    </row>
    <row r="9" spans="1:7" s="6" customFormat="1" ht="14.25" customHeight="1">
      <c r="A9" s="26" t="s">
        <v>534</v>
      </c>
      <c r="B9" s="7">
        <f>SUM(B10:B16)</f>
        <v>140563</v>
      </c>
      <c r="C9" s="7">
        <f>SUM(C10:C16)</f>
        <v>153297</v>
      </c>
      <c r="D9" s="7">
        <f>SUM(D10:D16)</f>
        <v>158126</v>
      </c>
      <c r="E9" s="56"/>
      <c r="G9" s="51"/>
    </row>
    <row r="10" spans="1:7" s="6" customFormat="1" ht="14.25" customHeight="1">
      <c r="A10" s="24" t="s">
        <v>417</v>
      </c>
      <c r="B10" s="19">
        <f>SUM('2.működés'!C20)</f>
        <v>51451</v>
      </c>
      <c r="C10" s="19">
        <v>51451</v>
      </c>
      <c r="D10" s="19">
        <f>SUM('2.működés'!E20)</f>
        <v>52828</v>
      </c>
      <c r="E10" s="56"/>
      <c r="G10" s="11"/>
    </row>
    <row r="11" spans="1:7" s="6" customFormat="1" ht="14.25" customHeight="1">
      <c r="A11" s="24" t="s">
        <v>719</v>
      </c>
      <c r="B11" s="19">
        <f>SUM('2.működés'!C26+'2.működés'!C27)</f>
        <v>47422</v>
      </c>
      <c r="C11" s="19">
        <v>52422</v>
      </c>
      <c r="D11" s="19">
        <f>SUM('2.működés'!E26+'2.működés'!E27)</f>
        <v>47844</v>
      </c>
      <c r="E11" s="56"/>
      <c r="G11" s="11"/>
    </row>
    <row r="12" spans="1:9" s="6" customFormat="1" ht="14.25" customHeight="1">
      <c r="A12" s="24" t="s">
        <v>720</v>
      </c>
      <c r="B12" s="19">
        <f>SUM('2.működés'!C25+'2.működés'!C24)</f>
        <v>33840</v>
      </c>
      <c r="C12" s="19">
        <v>33840</v>
      </c>
      <c r="D12" s="19">
        <f>SUM('2.működés'!E24+'2.működés'!E25)</f>
        <v>49580</v>
      </c>
      <c r="E12" s="56"/>
      <c r="F12" s="51"/>
      <c r="G12" s="11"/>
      <c r="I12" s="318"/>
    </row>
    <row r="13" spans="1:9" s="6" customFormat="1" ht="15" customHeight="1">
      <c r="A13" s="24" t="s">
        <v>1079</v>
      </c>
      <c r="B13" s="19">
        <v>7475</v>
      </c>
      <c r="C13" s="19">
        <f>7475-3175</f>
        <v>4300</v>
      </c>
      <c r="D13" s="19">
        <v>368</v>
      </c>
      <c r="E13" s="56"/>
      <c r="F13" s="51"/>
      <c r="G13" s="11"/>
      <c r="I13" s="318"/>
    </row>
    <row r="14" spans="1:9" s="6" customFormat="1" ht="14.25" customHeight="1">
      <c r="A14" s="24" t="s">
        <v>1080</v>
      </c>
      <c r="B14" s="19">
        <v>375</v>
      </c>
      <c r="C14" s="19">
        <f>375+218</f>
        <v>593</v>
      </c>
      <c r="D14" s="18">
        <v>7506</v>
      </c>
      <c r="E14" s="916"/>
      <c r="F14" s="51"/>
      <c r="G14" s="11"/>
      <c r="I14" s="318">
        <v>8055</v>
      </c>
    </row>
    <row r="15" spans="1:9" s="6" customFormat="1" ht="18" hidden="1">
      <c r="A15" s="24" t="s">
        <v>860</v>
      </c>
      <c r="B15" s="19">
        <v>0</v>
      </c>
      <c r="C15" s="19">
        <v>7100</v>
      </c>
      <c r="D15" s="19"/>
      <c r="E15" s="56"/>
      <c r="F15" s="51"/>
      <c r="G15" s="11"/>
      <c r="I15" s="318"/>
    </row>
    <row r="16" spans="1:9" s="6" customFormat="1" ht="18" hidden="1">
      <c r="A16" s="24" t="s">
        <v>861</v>
      </c>
      <c r="B16" s="19">
        <v>0</v>
      </c>
      <c r="C16" s="19">
        <v>3591</v>
      </c>
      <c r="D16" s="19"/>
      <c r="E16" s="56"/>
      <c r="F16" s="51"/>
      <c r="G16" s="11"/>
      <c r="I16" s="318"/>
    </row>
    <row r="17" spans="1:9" s="6" customFormat="1" ht="28.5" customHeight="1">
      <c r="A17" s="529" t="s">
        <v>569</v>
      </c>
      <c r="B17" s="7">
        <f>SUM(B18+B29+B30+B31+B32+B28)</f>
        <v>24531</v>
      </c>
      <c r="C17" s="7">
        <f>SUM(C18+C29+C30+C31+C32+C28)</f>
        <v>29381</v>
      </c>
      <c r="D17" s="7">
        <f>SUM(D18+D29+D30+D31+D32+D28)</f>
        <v>24848</v>
      </c>
      <c r="E17" s="56"/>
      <c r="G17" s="11"/>
      <c r="I17" s="318"/>
    </row>
    <row r="18" spans="1:9" s="6" customFormat="1" ht="14.25" customHeight="1">
      <c r="A18" s="24" t="s">
        <v>19</v>
      </c>
      <c r="B18" s="965">
        <v>24196</v>
      </c>
      <c r="C18" s="965">
        <v>24196</v>
      </c>
      <c r="D18" s="968">
        <v>20707</v>
      </c>
      <c r="E18" s="56"/>
      <c r="G18" s="11"/>
      <c r="I18" s="318"/>
    </row>
    <row r="19" spans="1:7" s="6" customFormat="1" ht="14.25" customHeight="1">
      <c r="A19" s="24" t="s">
        <v>20</v>
      </c>
      <c r="B19" s="966"/>
      <c r="C19" s="966"/>
      <c r="D19" s="969"/>
      <c r="E19" s="56"/>
      <c r="G19" s="11"/>
    </row>
    <row r="20" spans="1:7" s="6" customFormat="1" ht="14.25" customHeight="1">
      <c r="A20" s="32" t="s">
        <v>21</v>
      </c>
      <c r="B20" s="966"/>
      <c r="C20" s="966"/>
      <c r="D20" s="969"/>
      <c r="E20" s="56"/>
      <c r="G20" s="11"/>
    </row>
    <row r="21" spans="1:7" s="6" customFormat="1" ht="14.25" customHeight="1">
      <c r="A21" s="24" t="s">
        <v>22</v>
      </c>
      <c r="B21" s="966"/>
      <c r="C21" s="966"/>
      <c r="D21" s="969"/>
      <c r="E21" s="56"/>
      <c r="G21" s="11"/>
    </row>
    <row r="22" spans="1:7" s="6" customFormat="1" ht="14.25" customHeight="1">
      <c r="A22" s="24" t="s">
        <v>747</v>
      </c>
      <c r="B22" s="966"/>
      <c r="C22" s="966"/>
      <c r="D22" s="969"/>
      <c r="E22" s="56"/>
      <c r="G22" s="11"/>
    </row>
    <row r="23" spans="1:7" s="6" customFormat="1" ht="14.25" customHeight="1">
      <c r="A23" s="24" t="s">
        <v>23</v>
      </c>
      <c r="B23" s="966"/>
      <c r="C23" s="966"/>
      <c r="D23" s="969"/>
      <c r="E23" s="56"/>
      <c r="G23" s="11"/>
    </row>
    <row r="24" spans="1:7" s="6" customFormat="1" ht="14.25" customHeight="1">
      <c r="A24" s="24" t="s">
        <v>24</v>
      </c>
      <c r="B24" s="966"/>
      <c r="C24" s="966"/>
      <c r="D24" s="969"/>
      <c r="E24" s="56"/>
      <c r="G24" s="11"/>
    </row>
    <row r="25" spans="1:7" s="6" customFormat="1" ht="14.25" customHeight="1">
      <c r="A25" s="22" t="s">
        <v>25</v>
      </c>
      <c r="B25" s="966"/>
      <c r="C25" s="966"/>
      <c r="D25" s="969"/>
      <c r="E25" s="56"/>
      <c r="G25" s="11"/>
    </row>
    <row r="26" spans="1:7" s="6" customFormat="1" ht="14.25" customHeight="1">
      <c r="A26" s="24" t="s">
        <v>26</v>
      </c>
      <c r="B26" s="966"/>
      <c r="C26" s="966"/>
      <c r="D26" s="969"/>
      <c r="E26" s="56"/>
      <c r="G26" s="11"/>
    </row>
    <row r="27" spans="1:7" s="6" customFormat="1" ht="14.25" customHeight="1">
      <c r="A27" s="24" t="s">
        <v>27</v>
      </c>
      <c r="B27" s="967"/>
      <c r="C27" s="967"/>
      <c r="D27" s="970"/>
      <c r="E27" s="56"/>
      <c r="G27" s="11"/>
    </row>
    <row r="28" spans="1:7" s="6" customFormat="1" ht="14.25" customHeight="1">
      <c r="A28" s="24" t="s">
        <v>976</v>
      </c>
      <c r="B28" s="728"/>
      <c r="C28" s="728">
        <v>0</v>
      </c>
      <c r="D28" s="728">
        <v>3000</v>
      </c>
      <c r="E28" s="56"/>
      <c r="G28" s="11"/>
    </row>
    <row r="29" spans="1:7" s="6" customFormat="1" ht="14.25" customHeight="1">
      <c r="A29" s="24" t="s">
        <v>568</v>
      </c>
      <c r="B29" s="541">
        <v>189</v>
      </c>
      <c r="C29" s="734">
        <v>189</v>
      </c>
      <c r="D29" s="734">
        <v>100</v>
      </c>
      <c r="E29" s="56"/>
      <c r="G29" s="11"/>
    </row>
    <row r="30" spans="1:7" s="6" customFormat="1" ht="14.25" customHeight="1">
      <c r="A30" s="10" t="s">
        <v>919</v>
      </c>
      <c r="B30" s="18">
        <v>0</v>
      </c>
      <c r="C30" s="18">
        <v>788</v>
      </c>
      <c r="D30" s="18">
        <v>895</v>
      </c>
      <c r="E30" s="56"/>
      <c r="G30" s="11"/>
    </row>
    <row r="31" spans="1:7" s="6" customFormat="1" ht="18" customHeight="1" hidden="1">
      <c r="A31" s="10" t="s">
        <v>920</v>
      </c>
      <c r="B31" s="18">
        <v>0</v>
      </c>
      <c r="C31" s="18">
        <v>4062</v>
      </c>
      <c r="D31" s="18"/>
      <c r="E31" s="909" t="s">
        <v>974</v>
      </c>
      <c r="G31" s="11"/>
    </row>
    <row r="32" spans="1:7" s="6" customFormat="1" ht="14.25" customHeight="1">
      <c r="A32" s="10" t="s">
        <v>975</v>
      </c>
      <c r="B32" s="19">
        <f>(141+5)</f>
        <v>146</v>
      </c>
      <c r="C32" s="19">
        <f>(141+5)</f>
        <v>146</v>
      </c>
      <c r="D32" s="19">
        <f>(141+5)</f>
        <v>146</v>
      </c>
      <c r="E32" s="56"/>
      <c r="G32" s="11"/>
    </row>
    <row r="33" spans="1:7" s="6" customFormat="1" ht="14.25" customHeight="1" thickBot="1">
      <c r="A33" s="26" t="s">
        <v>423</v>
      </c>
      <c r="B33" s="313">
        <f>SUM(B34:B36)</f>
        <v>6165</v>
      </c>
      <c r="C33" s="313">
        <f>SUM(C34:C36)</f>
        <v>6165</v>
      </c>
      <c r="D33" s="313">
        <f>SUM(D34:D36)</f>
        <v>0</v>
      </c>
      <c r="E33" s="56"/>
      <c r="G33" s="11"/>
    </row>
    <row r="34" spans="1:7" s="6" customFormat="1" ht="18.75" hidden="1" thickBot="1">
      <c r="A34" s="24" t="s">
        <v>424</v>
      </c>
      <c r="B34" s="312"/>
      <c r="C34" s="312"/>
      <c r="D34" s="312"/>
      <c r="E34" s="56">
        <f>D34-B34</f>
        <v>0</v>
      </c>
      <c r="G34" s="11"/>
    </row>
    <row r="35" spans="1:7" s="6" customFormat="1" ht="18.75" hidden="1" thickBot="1">
      <c r="A35" s="24"/>
      <c r="B35" s="541">
        <f>(6500-335)</f>
        <v>6165</v>
      </c>
      <c r="C35" s="541">
        <f>(6500-335)</f>
        <v>6165</v>
      </c>
      <c r="D35" s="541"/>
      <c r="E35" s="56"/>
      <c r="G35" s="11"/>
    </row>
    <row r="36" spans="1:7" s="6" customFormat="1" ht="14.25" customHeight="1" hidden="1" thickBot="1">
      <c r="A36" s="311"/>
      <c r="B36" s="67"/>
      <c r="C36" s="67"/>
      <c r="D36" s="67"/>
      <c r="E36" s="56"/>
      <c r="G36" s="11"/>
    </row>
    <row r="37" spans="1:7" s="6" customFormat="1" ht="18.75" customHeight="1" thickBot="1">
      <c r="A37" s="819" t="s">
        <v>18</v>
      </c>
      <c r="B37" s="561" t="e">
        <f>SUM(B38+B50+B51)</f>
        <v>#REF!</v>
      </c>
      <c r="C37" s="561" t="e">
        <f>SUM(C38+C50+C51)</f>
        <v>#REF!</v>
      </c>
      <c r="D37" s="777">
        <f>SUM(D38+D50+D51)</f>
        <v>134713</v>
      </c>
      <c r="E37" s="56"/>
      <c r="G37" s="11"/>
    </row>
    <row r="38" spans="1:12" s="6" customFormat="1" ht="14.25" customHeight="1">
      <c r="A38" s="25" t="s">
        <v>4</v>
      </c>
      <c r="B38" s="55" t="e">
        <f>SUM(B39+B47+B48+B49)</f>
        <v>#REF!</v>
      </c>
      <c r="C38" s="55" t="e">
        <f>SUM(C39+C47+C48+C49)</f>
        <v>#REF!</v>
      </c>
      <c r="D38" s="55">
        <f>SUM(D39+D47+D48+D49)</f>
        <v>92263</v>
      </c>
      <c r="E38" s="56"/>
      <c r="G38" s="11"/>
      <c r="J38" s="11"/>
      <c r="K38" s="11"/>
      <c r="L38" s="11"/>
    </row>
    <row r="39" spans="1:12" s="6" customFormat="1" ht="14.25" customHeight="1">
      <c r="A39" s="32" t="s">
        <v>636</v>
      </c>
      <c r="B39" s="18" t="e">
        <f>SUM(B40+B41+B44+#REF!)</f>
        <v>#REF!</v>
      </c>
      <c r="C39" s="18" t="e">
        <f>SUM(C40+C41+C44+#REF!)</f>
        <v>#REF!</v>
      </c>
      <c r="D39" s="18">
        <f>SUM(D40+D41+D44)</f>
        <v>91863</v>
      </c>
      <c r="E39" s="56"/>
      <c r="G39" s="11"/>
      <c r="J39" s="11"/>
      <c r="K39" s="11"/>
      <c r="L39" s="11"/>
    </row>
    <row r="40" spans="1:12" s="6" customFormat="1" ht="14.25" customHeight="1">
      <c r="A40" s="32" t="s">
        <v>748</v>
      </c>
      <c r="B40" s="18">
        <v>0</v>
      </c>
      <c r="C40" s="18">
        <v>0</v>
      </c>
      <c r="D40" s="18">
        <v>0</v>
      </c>
      <c r="E40" s="56"/>
      <c r="F40" s="56">
        <v>-20000</v>
      </c>
      <c r="J40" s="912" t="s">
        <v>1078</v>
      </c>
      <c r="K40" s="11" t="s">
        <v>1065</v>
      </c>
      <c r="L40" s="11"/>
    </row>
    <row r="41" spans="1:12" s="6" customFormat="1" ht="14.25" customHeight="1">
      <c r="A41" s="32" t="s">
        <v>1067</v>
      </c>
      <c r="B41" s="18">
        <f>SUM(B42:B43)</f>
        <v>19117</v>
      </c>
      <c r="C41" s="18">
        <f>SUM(C42:C43)</f>
        <v>19117</v>
      </c>
      <c r="D41" s="18">
        <f>SUM(D42:D43)</f>
        <v>14826</v>
      </c>
      <c r="E41" s="56"/>
      <c r="F41" s="610" t="s">
        <v>756</v>
      </c>
      <c r="G41" s="611" t="s">
        <v>755</v>
      </c>
      <c r="H41" s="612" t="s">
        <v>431</v>
      </c>
      <c r="J41" s="11">
        <v>34310</v>
      </c>
      <c r="K41" s="11"/>
      <c r="L41" s="11"/>
    </row>
    <row r="42" spans="1:12" s="6" customFormat="1" ht="14.25" customHeight="1">
      <c r="A42" s="32" t="s">
        <v>1068</v>
      </c>
      <c r="B42" s="326">
        <f>SUM('2.működés'!C30)</f>
        <v>2678</v>
      </c>
      <c r="C42" s="326">
        <f>SUM('2.működés'!C30)</f>
        <v>2678</v>
      </c>
      <c r="D42" s="326">
        <f>SUM('2.működés'!E30)</f>
        <v>2842</v>
      </c>
      <c r="E42" s="56"/>
      <c r="F42" s="56" t="e">
        <f>SUM(#REF!+#REF!+#REF!+#REF!)</f>
        <v>#REF!</v>
      </c>
      <c r="G42" s="51" t="e">
        <f>SUM(#REF!+#REF!)</f>
        <v>#REF!</v>
      </c>
      <c r="H42" s="51" t="e">
        <f>SUM(F42:G42)</f>
        <v>#REF!</v>
      </c>
      <c r="J42" s="11"/>
      <c r="K42" s="11"/>
      <c r="L42" s="11"/>
    </row>
    <row r="43" spans="1:12" s="6" customFormat="1" ht="14.25" customHeight="1">
      <c r="A43" s="542" t="s">
        <v>749</v>
      </c>
      <c r="B43" s="609">
        <f>(11639+4800)</f>
        <v>16439</v>
      </c>
      <c r="C43" s="609">
        <f>(11639+4800)</f>
        <v>16439</v>
      </c>
      <c r="D43" s="609">
        <v>11984</v>
      </c>
      <c r="E43" s="56"/>
      <c r="F43" s="56"/>
      <c r="H43" s="11"/>
      <c r="J43" s="11">
        <v>14826</v>
      </c>
      <c r="K43" s="11">
        <v>13134</v>
      </c>
      <c r="L43" s="11"/>
    </row>
    <row r="44" spans="1:12" s="6" customFormat="1" ht="13.5" customHeight="1">
      <c r="A44" s="32" t="s">
        <v>1066</v>
      </c>
      <c r="B44" s="18">
        <f>SUM(B45:B46)</f>
        <v>90205</v>
      </c>
      <c r="C44" s="18">
        <f>SUM(C45:C46)</f>
        <v>90205</v>
      </c>
      <c r="D44" s="18">
        <f>SUM(D45:D46)</f>
        <v>77037</v>
      </c>
      <c r="E44" s="56"/>
      <c r="F44" s="56"/>
      <c r="H44" s="11"/>
      <c r="J44" s="11"/>
      <c r="K44" s="11"/>
      <c r="L44" s="11"/>
    </row>
    <row r="45" spans="1:12" s="6" customFormat="1" ht="13.5" customHeight="1">
      <c r="A45" s="32" t="s">
        <v>750</v>
      </c>
      <c r="B45" s="326">
        <f>SUM('2.működés'!C12+'2.működés'!C14+'2.működés'!C15)</f>
        <v>13155</v>
      </c>
      <c r="C45" s="326">
        <f>SUM('2.működés'!C12+'2.működés'!C14+'2.működés'!C15)</f>
        <v>13155</v>
      </c>
      <c r="D45" s="326">
        <f>SUM('2.működés'!E12+'2.működés'!E14+'2.működés'!E15)</f>
        <v>7566</v>
      </c>
      <c r="E45" s="56"/>
      <c r="F45" s="56"/>
      <c r="H45" s="11"/>
      <c r="J45" s="11"/>
      <c r="K45" s="11"/>
      <c r="L45" s="11"/>
    </row>
    <row r="46" spans="1:12" s="6" customFormat="1" ht="13.5" customHeight="1">
      <c r="A46" s="542" t="s">
        <v>751</v>
      </c>
      <c r="B46" s="609">
        <f>(59379+17671)</f>
        <v>77050</v>
      </c>
      <c r="C46" s="609">
        <f>(59379+17671)</f>
        <v>77050</v>
      </c>
      <c r="D46" s="609">
        <f>(70471-4000+3000)</f>
        <v>69471</v>
      </c>
      <c r="E46" s="56"/>
      <c r="F46" s="56">
        <v>17671</v>
      </c>
      <c r="H46" s="11"/>
      <c r="J46" s="11">
        <v>78037</v>
      </c>
      <c r="K46" s="11">
        <v>15000</v>
      </c>
      <c r="L46" s="11"/>
    </row>
    <row r="47" spans="1:12" s="6" customFormat="1" ht="13.5" customHeight="1" hidden="1">
      <c r="A47" s="10" t="s">
        <v>676</v>
      </c>
      <c r="B47" s="18">
        <v>0</v>
      </c>
      <c r="C47" s="18">
        <v>14212</v>
      </c>
      <c r="D47" s="18"/>
      <c r="E47" s="56"/>
      <c r="F47" s="56"/>
      <c r="H47" s="11"/>
      <c r="J47" s="11"/>
      <c r="K47" s="11"/>
      <c r="L47" s="11"/>
    </row>
    <row r="48" spans="1:12" s="6" customFormat="1" ht="13.5" customHeight="1">
      <c r="A48" s="24" t="s">
        <v>914</v>
      </c>
      <c r="B48" s="541">
        <v>400</v>
      </c>
      <c r="C48" s="541">
        <v>400</v>
      </c>
      <c r="D48" s="541">
        <v>400</v>
      </c>
      <c r="E48" s="56"/>
      <c r="F48" s="56"/>
      <c r="H48" s="11"/>
      <c r="J48" s="11"/>
      <c r="K48" s="11"/>
      <c r="L48" s="11"/>
    </row>
    <row r="49" spans="1:12" s="6" customFormat="1" ht="14.25" customHeight="1" hidden="1">
      <c r="A49" s="10"/>
      <c r="B49" s="18"/>
      <c r="C49" s="18"/>
      <c r="D49" s="18"/>
      <c r="E49" s="56"/>
      <c r="G49" s="11"/>
      <c r="J49" s="11"/>
      <c r="K49" s="11"/>
      <c r="L49" s="11"/>
    </row>
    <row r="50" spans="1:12" s="6" customFormat="1" ht="14.25" customHeight="1">
      <c r="A50" s="26" t="s">
        <v>496</v>
      </c>
      <c r="B50" s="7"/>
      <c r="C50" s="7">
        <v>0</v>
      </c>
      <c r="D50" s="7">
        <v>0</v>
      </c>
      <c r="E50" s="56"/>
      <c r="G50" s="11"/>
      <c r="J50" s="11"/>
      <c r="K50" s="11"/>
      <c r="L50" s="11"/>
    </row>
    <row r="51" spans="1:12" s="6" customFormat="1" ht="14.25" customHeight="1">
      <c r="A51" s="26" t="s">
        <v>28</v>
      </c>
      <c r="B51" s="7">
        <f>SUM(B52:B63)</f>
        <v>49700</v>
      </c>
      <c r="C51" s="7">
        <f>SUM(C52:C63)</f>
        <v>51340</v>
      </c>
      <c r="D51" s="7">
        <f>SUM(D52:D63)</f>
        <v>42450</v>
      </c>
      <c r="E51" s="56"/>
      <c r="G51" s="11"/>
      <c r="J51" s="908"/>
      <c r="K51" s="908"/>
      <c r="L51" s="908"/>
    </row>
    <row r="52" spans="1:7" s="6" customFormat="1" ht="14.25" customHeight="1">
      <c r="A52" s="30" t="s">
        <v>1069</v>
      </c>
      <c r="B52" s="19">
        <v>27000</v>
      </c>
      <c r="C52" s="19">
        <v>27000</v>
      </c>
      <c r="D52" s="18">
        <v>19500</v>
      </c>
      <c r="E52" s="56"/>
      <c r="G52" s="11"/>
    </row>
    <row r="53" spans="1:7" s="6" customFormat="1" ht="18" hidden="1">
      <c r="A53" s="30" t="s">
        <v>1070</v>
      </c>
      <c r="B53" s="19">
        <v>0</v>
      </c>
      <c r="C53" s="19">
        <v>1000</v>
      </c>
      <c r="D53" s="19"/>
      <c r="E53" s="56"/>
      <c r="G53" s="11"/>
    </row>
    <row r="54" spans="1:7" s="6" customFormat="1" ht="12.75" customHeight="1" hidden="1">
      <c r="A54" s="30" t="s">
        <v>862</v>
      </c>
      <c r="B54" s="18">
        <v>0</v>
      </c>
      <c r="C54" s="18">
        <v>340</v>
      </c>
      <c r="D54" s="18"/>
      <c r="E54" s="56"/>
      <c r="G54" s="11"/>
    </row>
    <row r="55" spans="1:5" ht="12.75">
      <c r="A55" s="311" t="s">
        <v>913</v>
      </c>
      <c r="B55" s="67">
        <v>18000</v>
      </c>
      <c r="C55" s="67">
        <v>18000</v>
      </c>
      <c r="D55" s="67">
        <v>18000</v>
      </c>
      <c r="E55" s="56"/>
    </row>
    <row r="56" spans="1:5" ht="12.75">
      <c r="A56" s="311" t="s">
        <v>979</v>
      </c>
      <c r="B56" s="67"/>
      <c r="C56" s="67"/>
      <c r="D56" s="67">
        <v>450</v>
      </c>
      <c r="E56" s="56"/>
    </row>
    <row r="57" spans="1:5" ht="12.75">
      <c r="A57" s="24" t="s">
        <v>118</v>
      </c>
      <c r="B57" s="18">
        <v>4500</v>
      </c>
      <c r="C57" s="18">
        <v>4500</v>
      </c>
      <c r="D57" s="18">
        <v>4500</v>
      </c>
      <c r="E57" s="56"/>
    </row>
    <row r="58" spans="1:5" ht="12.75" customHeight="1" hidden="1">
      <c r="A58" s="10" t="s">
        <v>837</v>
      </c>
      <c r="B58" s="19">
        <v>200</v>
      </c>
      <c r="C58" s="19">
        <v>200</v>
      </c>
      <c r="D58" s="19"/>
      <c r="E58" s="56">
        <v>200</v>
      </c>
    </row>
    <row r="59" spans="1:5" ht="12.75" customHeight="1" hidden="1">
      <c r="A59" s="10" t="s">
        <v>870</v>
      </c>
      <c r="B59" s="19">
        <v>0</v>
      </c>
      <c r="C59" s="19">
        <v>300</v>
      </c>
      <c r="D59" s="19"/>
      <c r="E59" s="56">
        <v>300</v>
      </c>
    </row>
    <row r="60" spans="1:5" ht="12.75" customHeight="1" hidden="1">
      <c r="A60" s="311"/>
      <c r="B60" s="67"/>
      <c r="C60" s="67">
        <v>0</v>
      </c>
      <c r="D60" s="67"/>
      <c r="E60" s="56">
        <f>D60-C60</f>
        <v>0</v>
      </c>
    </row>
    <row r="61" spans="1:5" ht="13.5" thickBot="1">
      <c r="A61" s="10"/>
      <c r="B61" s="19"/>
      <c r="C61" s="19"/>
      <c r="D61" s="19"/>
      <c r="E61" s="56"/>
    </row>
    <row r="62" spans="1:5" ht="12.75" hidden="1">
      <c r="A62" s="10"/>
      <c r="B62" s="19"/>
      <c r="C62" s="19"/>
      <c r="D62" s="19"/>
      <c r="E62" s="56"/>
    </row>
    <row r="63" spans="1:5" ht="13.5" hidden="1" thickBot="1">
      <c r="A63" s="15"/>
      <c r="B63" s="46"/>
      <c r="C63" s="46"/>
      <c r="D63" s="46"/>
      <c r="E63" s="56"/>
    </row>
    <row r="64" spans="1:5" ht="16.5" thickBot="1">
      <c r="A64" s="820" t="s">
        <v>671</v>
      </c>
      <c r="B64" s="561">
        <f>SUM(B65:B68)</f>
        <v>0</v>
      </c>
      <c r="C64" s="561">
        <f>SUM(C65:C68)</f>
        <v>0</v>
      </c>
      <c r="D64" s="777">
        <f>SUM(D65:D68)</f>
        <v>0</v>
      </c>
      <c r="E64" s="56"/>
    </row>
    <row r="65" spans="1:5" ht="12.75" hidden="1">
      <c r="A65" s="30"/>
      <c r="B65" s="19"/>
      <c r="C65" s="19"/>
      <c r="D65" s="19"/>
      <c r="E65" s="56">
        <f>D65-B65</f>
        <v>0</v>
      </c>
    </row>
    <row r="66" spans="1:5" ht="12.75" hidden="1">
      <c r="A66" s="10"/>
      <c r="B66" s="19"/>
      <c r="C66" s="19"/>
      <c r="D66" s="19"/>
      <c r="E66" s="56">
        <f>D66-B66</f>
        <v>0</v>
      </c>
    </row>
    <row r="67" spans="1:5" ht="12.75" hidden="1">
      <c r="A67" s="10"/>
      <c r="B67" s="19"/>
      <c r="C67" s="19"/>
      <c r="D67" s="19"/>
      <c r="E67" s="56">
        <f>D67-B67</f>
        <v>0</v>
      </c>
    </row>
    <row r="68" spans="1:5" ht="13.5" hidden="1" thickBot="1">
      <c r="A68" s="29"/>
      <c r="B68" s="46"/>
      <c r="C68" s="46"/>
      <c r="D68" s="46"/>
      <c r="E68" s="56">
        <f>D68-B68</f>
        <v>0</v>
      </c>
    </row>
    <row r="69" spans="1:5" ht="16.5" thickBot="1">
      <c r="A69" s="595" t="s">
        <v>672</v>
      </c>
      <c r="B69" s="593" t="e">
        <f>SUM(B7+B37+B64)</f>
        <v>#REF!</v>
      </c>
      <c r="C69" s="593" t="e">
        <f>SUM(C7+C37+C64)</f>
        <v>#REF!</v>
      </c>
      <c r="D69" s="594">
        <f>SUM(D7+D37+D64)</f>
        <v>317687</v>
      </c>
      <c r="E69" s="56"/>
    </row>
    <row r="70" spans="1:4" ht="12.75">
      <c r="A70" s="1"/>
      <c r="B70" s="51"/>
      <c r="C70" s="51"/>
      <c r="D70" s="51"/>
    </row>
    <row r="71" ht="12.75">
      <c r="A71" s="1"/>
    </row>
    <row r="72" spans="1:4" ht="15.75">
      <c r="A72" s="307" t="s">
        <v>119</v>
      </c>
      <c r="B72" s="195"/>
      <c r="C72" s="195"/>
      <c r="D72" s="195"/>
    </row>
    <row r="73" spans="1:4" ht="12.75">
      <c r="A73" s="81" t="s">
        <v>120</v>
      </c>
      <c r="B73" s="79"/>
      <c r="C73" s="79"/>
      <c r="D73" s="79"/>
    </row>
    <row r="74" spans="1:4" ht="12.75">
      <c r="A74" s="81" t="s">
        <v>121</v>
      </c>
      <c r="B74" s="79"/>
      <c r="C74" s="79"/>
      <c r="D74" s="79"/>
    </row>
    <row r="75" spans="1:5" ht="12.75">
      <c r="A75" s="81" t="s">
        <v>122</v>
      </c>
      <c r="B75" s="76"/>
      <c r="C75" s="76"/>
      <c r="D75" s="76"/>
      <c r="E75"/>
    </row>
    <row r="76" spans="1:5" ht="12.75">
      <c r="A76" s="81" t="s">
        <v>123</v>
      </c>
      <c r="B76" s="79"/>
      <c r="C76" s="79"/>
      <c r="D76" s="79">
        <v>201</v>
      </c>
      <c r="E76"/>
    </row>
    <row r="77" spans="1:5" ht="12.75">
      <c r="A77" s="81" t="s">
        <v>142</v>
      </c>
      <c r="B77" s="76"/>
      <c r="C77" s="76"/>
      <c r="D77" s="76"/>
      <c r="E77"/>
    </row>
    <row r="78" spans="1:5" ht="12.75">
      <c r="A78" s="79" t="s">
        <v>124</v>
      </c>
      <c r="B78" s="79"/>
      <c r="C78" s="79"/>
      <c r="D78" s="79"/>
      <c r="E78"/>
    </row>
    <row r="79" spans="1:5" ht="12.75">
      <c r="A79" s="79" t="s">
        <v>125</v>
      </c>
      <c r="B79" s="79"/>
      <c r="C79" s="79"/>
      <c r="D79" s="79"/>
      <c r="E79"/>
    </row>
    <row r="80" spans="1:4" ht="12.75">
      <c r="A80" t="s">
        <v>56</v>
      </c>
      <c r="D80" s="105">
        <f>SUM(D7+D37+D64)</f>
        <v>317687</v>
      </c>
    </row>
  </sheetData>
  <sheetProtection/>
  <mergeCells count="5">
    <mergeCell ref="B18:B27"/>
    <mergeCell ref="D18:D27"/>
    <mergeCell ref="A2:D2"/>
    <mergeCell ref="A3:D3"/>
    <mergeCell ref="C18:C27"/>
  </mergeCells>
  <printOptions/>
  <pageMargins left="0.9448818897637796" right="0.1968503937007874" top="0.35433070866141736" bottom="0.3937007874015748" header="0.31496062992125984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I107" sqref="I107"/>
    </sheetView>
  </sheetViews>
  <sheetFormatPr defaultColWidth="9.00390625" defaultRowHeight="12.75" customHeight="1"/>
  <cols>
    <col min="1" max="1" width="24.2539062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0.125" style="245" customWidth="1"/>
    <col min="8" max="8" width="9.875" style="128" customWidth="1"/>
    <col min="9" max="9" width="12.00390625" style="128" customWidth="1"/>
    <col min="10" max="12" width="12.25390625" style="128" customWidth="1"/>
    <col min="13" max="16384" width="9.125" style="90" customWidth="1"/>
  </cols>
  <sheetData>
    <row r="1" spans="1:24" ht="15" customHeight="1">
      <c r="A1" s="975" t="s">
        <v>310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" customHeight="1">
      <c r="A2" s="971" t="s">
        <v>511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13" ht="15" customHeight="1">
      <c r="A3" s="123"/>
      <c r="B3" s="124"/>
      <c r="C3" s="124"/>
      <c r="D3" s="124"/>
      <c r="E3" s="125"/>
      <c r="F3" s="125"/>
      <c r="G3" s="125"/>
      <c r="H3" s="126"/>
      <c r="I3" s="126"/>
      <c r="J3" s="127"/>
      <c r="K3" s="127"/>
      <c r="L3" s="127"/>
      <c r="M3" s="128"/>
    </row>
    <row r="4" spans="1:13" ht="12" customHeight="1" hidden="1">
      <c r="A4" s="129"/>
      <c r="B4" s="127"/>
      <c r="C4" s="127"/>
      <c r="D4" s="127"/>
      <c r="E4" s="127"/>
      <c r="F4" s="127"/>
      <c r="G4" s="243"/>
      <c r="H4" s="127"/>
      <c r="I4" s="127"/>
      <c r="J4" s="127"/>
      <c r="K4" s="127"/>
      <c r="L4" s="130" t="s">
        <v>0</v>
      </c>
      <c r="M4" s="128"/>
    </row>
    <row r="5" spans="1:12" ht="18" customHeight="1" hidden="1">
      <c r="A5" s="977" t="s">
        <v>49</v>
      </c>
      <c r="B5" s="978" t="s">
        <v>309</v>
      </c>
      <c r="C5" s="979"/>
      <c r="D5" s="979"/>
      <c r="E5" s="979"/>
      <c r="F5" s="979"/>
      <c r="G5" s="979"/>
      <c r="H5" s="979"/>
      <c r="I5" s="979"/>
      <c r="J5" s="979"/>
      <c r="K5" s="979"/>
      <c r="L5" s="980"/>
    </row>
    <row r="6" spans="1:12" ht="16.5" customHeight="1" hidden="1">
      <c r="A6" s="977"/>
      <c r="B6" s="977" t="s">
        <v>74</v>
      </c>
      <c r="C6" s="977"/>
      <c r="D6" s="977"/>
      <c r="E6" s="977"/>
      <c r="F6" s="977"/>
      <c r="G6" s="977"/>
      <c r="H6" s="977" t="s">
        <v>480</v>
      </c>
      <c r="I6" s="977"/>
      <c r="J6" s="977"/>
      <c r="K6" s="977"/>
      <c r="L6" s="977" t="s">
        <v>75</v>
      </c>
    </row>
    <row r="7" spans="1:12" ht="51" customHeight="1" hidden="1">
      <c r="A7" s="977"/>
      <c r="B7" s="977" t="s">
        <v>474</v>
      </c>
      <c r="C7" s="977" t="s">
        <v>473</v>
      </c>
      <c r="D7" s="977"/>
      <c r="E7" s="977" t="s">
        <v>76</v>
      </c>
      <c r="F7" s="977" t="s">
        <v>77</v>
      </c>
      <c r="G7" s="977" t="s">
        <v>7</v>
      </c>
      <c r="H7" s="977" t="s">
        <v>475</v>
      </c>
      <c r="I7" s="977" t="s">
        <v>476</v>
      </c>
      <c r="J7" s="977" t="s">
        <v>78</v>
      </c>
      <c r="K7" s="977" t="s">
        <v>12</v>
      </c>
      <c r="L7" s="977"/>
    </row>
    <row r="8" spans="1:12" ht="36" customHeight="1" hidden="1">
      <c r="A8" s="977"/>
      <c r="B8" s="977"/>
      <c r="C8" s="87" t="s">
        <v>79</v>
      </c>
      <c r="D8" s="87" t="s">
        <v>80</v>
      </c>
      <c r="E8" s="977"/>
      <c r="F8" s="977"/>
      <c r="G8" s="977"/>
      <c r="H8" s="977"/>
      <c r="I8" s="977"/>
      <c r="J8" s="977"/>
      <c r="K8" s="977"/>
      <c r="L8" s="977"/>
    </row>
    <row r="9" spans="1:12" ht="13.5" customHeight="1" hidden="1">
      <c r="A9" s="977"/>
      <c r="B9" s="220"/>
      <c r="C9" s="981"/>
      <c r="D9" s="981"/>
      <c r="E9" s="221"/>
      <c r="F9" s="221"/>
      <c r="G9" s="977"/>
      <c r="H9" s="220"/>
      <c r="I9" s="981"/>
      <c r="J9" s="981"/>
      <c r="K9" s="977"/>
      <c r="L9" s="977"/>
    </row>
    <row r="10" spans="1:12" ht="19.5" customHeight="1" hidden="1">
      <c r="A10" s="131" t="s">
        <v>49</v>
      </c>
      <c r="B10" s="134">
        <f aca="true" t="shared" si="0" ref="B10:G10">SUM(B11:B13)</f>
        <v>315023</v>
      </c>
      <c r="C10" s="134">
        <f t="shared" si="0"/>
        <v>272073</v>
      </c>
      <c r="D10" s="134">
        <f t="shared" si="0"/>
        <v>0</v>
      </c>
      <c r="E10" s="134">
        <f t="shared" si="0"/>
        <v>4000</v>
      </c>
      <c r="F10" s="134" t="e">
        <f t="shared" si="0"/>
        <v>#REF!</v>
      </c>
      <c r="G10" s="134" t="e">
        <f t="shared" si="0"/>
        <v>#REF!</v>
      </c>
      <c r="H10" s="134">
        <f>SUM(H11)</f>
        <v>281084</v>
      </c>
      <c r="I10" s="134">
        <f>SUM(I11)</f>
        <v>12026</v>
      </c>
      <c r="J10" s="134">
        <f>SUM(J11)</f>
        <v>100530</v>
      </c>
      <c r="K10" s="134">
        <f>SUM(K11)</f>
        <v>393640</v>
      </c>
      <c r="L10" s="134" t="e">
        <f>SUM(K10,G10)</f>
        <v>#REF!</v>
      </c>
    </row>
    <row r="11" spans="1:12" ht="19.5" customHeight="1" hidden="1">
      <c r="A11" s="236" t="s">
        <v>131</v>
      </c>
      <c r="B11" s="133"/>
      <c r="C11" s="133"/>
      <c r="D11" s="133"/>
      <c r="E11" s="133"/>
      <c r="F11" s="133"/>
      <c r="G11" s="133">
        <f>SUM(B11:F11)</f>
        <v>0</v>
      </c>
      <c r="H11" s="133">
        <v>281084</v>
      </c>
      <c r="I11" s="133">
        <v>12026</v>
      </c>
      <c r="J11" s="133">
        <v>100530</v>
      </c>
      <c r="K11" s="133">
        <f>SUM(H11:J11)</f>
        <v>393640</v>
      </c>
      <c r="L11" s="134">
        <f>SUM(K11,G11)</f>
        <v>393640</v>
      </c>
    </row>
    <row r="12" spans="1:12" ht="19.5" customHeight="1" hidden="1">
      <c r="A12" s="237" t="s">
        <v>130</v>
      </c>
      <c r="B12" s="133">
        <v>315023</v>
      </c>
      <c r="C12" s="133">
        <v>272073</v>
      </c>
      <c r="D12" s="133"/>
      <c r="E12" s="133">
        <v>4000</v>
      </c>
      <c r="F12" s="133" t="e">
        <f>SUM('2.működés'!#REF!)</f>
        <v>#REF!</v>
      </c>
      <c r="G12" s="135" t="e">
        <f>SUM(B12:F12)</f>
        <v>#REF!</v>
      </c>
      <c r="H12" s="135"/>
      <c r="I12" s="135"/>
      <c r="J12" s="135"/>
      <c r="K12" s="135"/>
      <c r="L12" s="134" t="e">
        <f>SUM(K12,G12)</f>
        <v>#REF!</v>
      </c>
    </row>
    <row r="13" spans="1:12" ht="19.5" customHeight="1" hidden="1" thickBot="1">
      <c r="A13" s="32" t="s">
        <v>139</v>
      </c>
      <c r="B13" s="229"/>
      <c r="C13" s="229"/>
      <c r="D13" s="229"/>
      <c r="E13" s="229"/>
      <c r="F13" s="229"/>
      <c r="G13" s="133">
        <f>SUM(B13:F13)</f>
        <v>0</v>
      </c>
      <c r="H13" s="229"/>
      <c r="I13" s="229"/>
      <c r="J13" s="229"/>
      <c r="K13" s="229"/>
      <c r="L13" s="134">
        <f>SUM(K13,G13)</f>
        <v>0</v>
      </c>
    </row>
    <row r="14" spans="1:12" ht="19.5" customHeight="1" hidden="1" thickBot="1">
      <c r="A14" s="214" t="s">
        <v>50</v>
      </c>
      <c r="B14" s="231">
        <f>SUM(B15+B19+B23)</f>
        <v>5300</v>
      </c>
      <c r="C14" s="231">
        <f>SUM(C15+C19+C23)</f>
        <v>118951</v>
      </c>
      <c r="D14" s="231"/>
      <c r="E14" s="231">
        <f>SUM(E15+E19+E23)</f>
        <v>29569</v>
      </c>
      <c r="F14" s="231"/>
      <c r="G14" s="231">
        <f>SUM(G15+G19+G23)</f>
        <v>153820</v>
      </c>
      <c r="H14" s="231"/>
      <c r="I14" s="231"/>
      <c r="J14" s="231"/>
      <c r="K14" s="231"/>
      <c r="L14" s="216">
        <f>SUM(G14)</f>
        <v>153820</v>
      </c>
    </row>
    <row r="15" spans="1:12" ht="19.5" customHeight="1" hidden="1">
      <c r="A15" s="227" t="s">
        <v>51</v>
      </c>
      <c r="B15" s="132">
        <f aca="true" t="shared" si="1" ref="B15:G15">SUM(B16)</f>
        <v>800</v>
      </c>
      <c r="C15" s="132">
        <f t="shared" si="1"/>
        <v>101035</v>
      </c>
      <c r="D15" s="132">
        <f t="shared" si="1"/>
        <v>0</v>
      </c>
      <c r="E15" s="132">
        <f t="shared" si="1"/>
        <v>26969</v>
      </c>
      <c r="F15" s="132">
        <f t="shared" si="1"/>
        <v>0</v>
      </c>
      <c r="G15" s="132">
        <f t="shared" si="1"/>
        <v>128804</v>
      </c>
      <c r="H15" s="230"/>
      <c r="I15" s="230"/>
      <c r="J15" s="230"/>
      <c r="K15" s="230"/>
      <c r="L15" s="230">
        <f>SUM(G15)</f>
        <v>128804</v>
      </c>
    </row>
    <row r="16" spans="1:12" ht="19.5" customHeight="1" hidden="1">
      <c r="A16" s="236" t="s">
        <v>130</v>
      </c>
      <c r="B16" s="133">
        <v>800</v>
      </c>
      <c r="C16" s="133">
        <v>101035</v>
      </c>
      <c r="D16" s="133"/>
      <c r="E16" s="133">
        <v>26969</v>
      </c>
      <c r="F16" s="133"/>
      <c r="G16" s="133">
        <f>SUM(B16:F16)</f>
        <v>128804</v>
      </c>
      <c r="H16" s="223"/>
      <c r="I16" s="223"/>
      <c r="J16" s="223"/>
      <c r="K16" s="223"/>
      <c r="L16" s="223">
        <f>SUM(G16)</f>
        <v>128804</v>
      </c>
    </row>
    <row r="17" spans="1:12" ht="19.5" customHeight="1" hidden="1">
      <c r="A17" s="237" t="s">
        <v>131</v>
      </c>
      <c r="B17" s="133"/>
      <c r="C17" s="133"/>
      <c r="D17" s="133"/>
      <c r="E17" s="133"/>
      <c r="F17" s="133"/>
      <c r="G17" s="135"/>
      <c r="H17" s="133"/>
      <c r="I17" s="133"/>
      <c r="J17" s="133"/>
      <c r="K17" s="133"/>
      <c r="L17" s="222"/>
    </row>
    <row r="18" spans="1:12" ht="19.5" customHeight="1" hidden="1">
      <c r="A18" s="32" t="s">
        <v>139</v>
      </c>
      <c r="B18" s="133"/>
      <c r="C18" s="133"/>
      <c r="D18" s="133"/>
      <c r="E18" s="133"/>
      <c r="F18" s="133"/>
      <c r="G18" s="135"/>
      <c r="H18" s="133"/>
      <c r="I18" s="133"/>
      <c r="J18" s="133"/>
      <c r="K18" s="133"/>
      <c r="L18" s="222"/>
    </row>
    <row r="19" spans="1:13" ht="19.5" customHeight="1" hidden="1">
      <c r="A19" s="226" t="s">
        <v>52</v>
      </c>
      <c r="B19" s="134">
        <f aca="true" t="shared" si="2" ref="B19:G19">SUM(B20)</f>
        <v>4000</v>
      </c>
      <c r="C19" s="134">
        <f t="shared" si="2"/>
        <v>2706</v>
      </c>
      <c r="D19" s="134">
        <f t="shared" si="2"/>
        <v>0</v>
      </c>
      <c r="E19" s="134">
        <f t="shared" si="2"/>
        <v>2600</v>
      </c>
      <c r="F19" s="134">
        <f t="shared" si="2"/>
        <v>0</v>
      </c>
      <c r="G19" s="134">
        <f t="shared" si="2"/>
        <v>9306</v>
      </c>
      <c r="H19" s="134"/>
      <c r="I19" s="134"/>
      <c r="J19" s="134"/>
      <c r="K19" s="134"/>
      <c r="L19" s="136">
        <f>SUM(G19)</f>
        <v>9306</v>
      </c>
      <c r="M19" s="137"/>
    </row>
    <row r="20" spans="1:12" ht="19.5" customHeight="1" hidden="1">
      <c r="A20" s="236" t="s">
        <v>130</v>
      </c>
      <c r="B20" s="133">
        <v>4000</v>
      </c>
      <c r="C20" s="133">
        <v>2706</v>
      </c>
      <c r="D20" s="133"/>
      <c r="E20" s="133">
        <v>2600</v>
      </c>
      <c r="F20" s="133"/>
      <c r="G20" s="133">
        <f>SUM(B20:F20)</f>
        <v>9306</v>
      </c>
      <c r="H20" s="133"/>
      <c r="I20" s="133"/>
      <c r="J20" s="133"/>
      <c r="K20" s="133"/>
      <c r="L20" s="223">
        <f>SUM(G20)</f>
        <v>9306</v>
      </c>
    </row>
    <row r="21" spans="1:12" ht="19.5" customHeight="1" hidden="1">
      <c r="A21" s="237" t="s">
        <v>131</v>
      </c>
      <c r="B21" s="133"/>
      <c r="C21" s="133"/>
      <c r="D21" s="133"/>
      <c r="E21" s="133"/>
      <c r="F21" s="133"/>
      <c r="G21" s="135"/>
      <c r="H21" s="133"/>
      <c r="I21" s="133"/>
      <c r="J21" s="133"/>
      <c r="K21" s="133"/>
      <c r="L21" s="222"/>
    </row>
    <row r="22" spans="1:12" ht="19.5" customHeight="1" hidden="1">
      <c r="A22" s="32" t="s">
        <v>139</v>
      </c>
      <c r="B22" s="133"/>
      <c r="C22" s="133"/>
      <c r="D22" s="133"/>
      <c r="E22" s="133"/>
      <c r="F22" s="133"/>
      <c r="G22" s="135"/>
      <c r="H22" s="133"/>
      <c r="I22" s="133"/>
      <c r="J22" s="133"/>
      <c r="K22" s="133"/>
      <c r="L22" s="222"/>
    </row>
    <row r="23" spans="1:12" ht="19.5" customHeight="1" hidden="1">
      <c r="A23" s="228" t="s">
        <v>53</v>
      </c>
      <c r="B23" s="134">
        <f>SUM(B24)</f>
        <v>500</v>
      </c>
      <c r="C23" s="134">
        <f>SUM(C24)</f>
        <v>15210</v>
      </c>
      <c r="D23" s="134"/>
      <c r="E23" s="134"/>
      <c r="F23" s="134"/>
      <c r="G23" s="134">
        <f>SUM(G24)</f>
        <v>15710</v>
      </c>
      <c r="H23" s="134"/>
      <c r="I23" s="134"/>
      <c r="J23" s="134"/>
      <c r="K23" s="134"/>
      <c r="L23" s="136">
        <f>SUM(G23)</f>
        <v>15710</v>
      </c>
    </row>
    <row r="24" spans="1:12" ht="19.5" customHeight="1" hidden="1">
      <c r="A24" s="236" t="s">
        <v>130</v>
      </c>
      <c r="B24" s="133">
        <v>500</v>
      </c>
      <c r="C24" s="133">
        <v>15210</v>
      </c>
      <c r="D24" s="133"/>
      <c r="E24" s="133"/>
      <c r="F24" s="133"/>
      <c r="G24" s="133">
        <f>SUM(B24:F24)</f>
        <v>15710</v>
      </c>
      <c r="H24" s="133"/>
      <c r="I24" s="133"/>
      <c r="J24" s="133"/>
      <c r="K24" s="133"/>
      <c r="L24" s="223">
        <f>SUM(G24)</f>
        <v>15710</v>
      </c>
    </row>
    <row r="25" spans="1:12" ht="19.5" customHeight="1" hidden="1">
      <c r="A25" s="237" t="s">
        <v>131</v>
      </c>
      <c r="B25" s="133"/>
      <c r="C25" s="133"/>
      <c r="D25" s="133"/>
      <c r="E25" s="133"/>
      <c r="F25" s="133"/>
      <c r="G25" s="135"/>
      <c r="H25" s="133"/>
      <c r="I25" s="133"/>
      <c r="J25" s="133"/>
      <c r="K25" s="133"/>
      <c r="L25" s="222"/>
    </row>
    <row r="26" spans="1:12" ht="19.5" customHeight="1" hidden="1" thickBot="1">
      <c r="A26" s="32" t="s">
        <v>139</v>
      </c>
      <c r="B26" s="224"/>
      <c r="C26" s="224"/>
      <c r="D26" s="224"/>
      <c r="E26" s="224"/>
      <c r="F26" s="224"/>
      <c r="G26" s="229"/>
      <c r="H26" s="224"/>
      <c r="I26" s="224"/>
      <c r="J26" s="224"/>
      <c r="K26" s="224"/>
      <c r="L26" s="225"/>
    </row>
    <row r="27" spans="1:12" ht="30" customHeight="1" hidden="1" thickBot="1">
      <c r="A27" s="232" t="s">
        <v>54</v>
      </c>
      <c r="B27" s="233">
        <f aca="true" t="shared" si="3" ref="B27:J27">SUM(B10+B14)</f>
        <v>320323</v>
      </c>
      <c r="C27" s="233">
        <f t="shared" si="3"/>
        <v>391024</v>
      </c>
      <c r="D27" s="233">
        <f t="shared" si="3"/>
        <v>0</v>
      </c>
      <c r="E27" s="233">
        <f t="shared" si="3"/>
        <v>33569</v>
      </c>
      <c r="F27" s="233" t="e">
        <f t="shared" si="3"/>
        <v>#REF!</v>
      </c>
      <c r="G27" s="233" t="e">
        <f t="shared" si="3"/>
        <v>#REF!</v>
      </c>
      <c r="H27" s="233">
        <f t="shared" si="3"/>
        <v>281084</v>
      </c>
      <c r="I27" s="233">
        <f t="shared" si="3"/>
        <v>12026</v>
      </c>
      <c r="J27" s="233">
        <f t="shared" si="3"/>
        <v>100530</v>
      </c>
      <c r="K27" s="233">
        <f>SUM(K10)</f>
        <v>393640</v>
      </c>
      <c r="L27" s="234" t="e">
        <f>SUM(K27,G27)</f>
        <v>#REF!</v>
      </c>
    </row>
    <row r="28" spans="7:12" ht="12.75" customHeight="1" hidden="1">
      <c r="G28" s="244" t="e">
        <f>SUM(B27:F27)</f>
        <v>#REF!</v>
      </c>
      <c r="H28" s="138"/>
      <c r="I28" s="138"/>
      <c r="J28" s="138"/>
      <c r="K28" s="138"/>
      <c r="L28" s="138" t="e">
        <f>SUM(L10+L14)</f>
        <v>#REF!</v>
      </c>
    </row>
    <row r="30" spans="1:12" ht="18" customHeight="1">
      <c r="A30" s="977" t="s">
        <v>49</v>
      </c>
      <c r="B30" s="978" t="s">
        <v>644</v>
      </c>
      <c r="C30" s="979"/>
      <c r="D30" s="979"/>
      <c r="E30" s="979"/>
      <c r="F30" s="979"/>
      <c r="G30" s="979"/>
      <c r="H30" s="979"/>
      <c r="I30" s="979"/>
      <c r="J30" s="979"/>
      <c r="K30" s="979"/>
      <c r="L30" s="980"/>
    </row>
    <row r="31" spans="1:12" ht="16.5" customHeight="1">
      <c r="A31" s="977"/>
      <c r="B31" s="977" t="s">
        <v>74</v>
      </c>
      <c r="C31" s="977"/>
      <c r="D31" s="977"/>
      <c r="E31" s="977"/>
      <c r="F31" s="977"/>
      <c r="G31" s="977"/>
      <c r="H31" s="977" t="s">
        <v>480</v>
      </c>
      <c r="I31" s="977"/>
      <c r="J31" s="977"/>
      <c r="K31" s="977"/>
      <c r="L31" s="977" t="s">
        <v>75</v>
      </c>
    </row>
    <row r="32" spans="1:12" ht="51" customHeight="1">
      <c r="A32" s="977"/>
      <c r="B32" s="977" t="s">
        <v>474</v>
      </c>
      <c r="C32" s="977" t="s">
        <v>571</v>
      </c>
      <c r="D32" s="977"/>
      <c r="E32" s="982" t="s">
        <v>575</v>
      </c>
      <c r="F32" s="977" t="s">
        <v>628</v>
      </c>
      <c r="G32" s="977" t="s">
        <v>7</v>
      </c>
      <c r="H32" s="977" t="s">
        <v>495</v>
      </c>
      <c r="I32" s="977" t="s">
        <v>476</v>
      </c>
      <c r="J32" s="977" t="s">
        <v>631</v>
      </c>
      <c r="K32" s="977" t="s">
        <v>12</v>
      </c>
      <c r="L32" s="977"/>
    </row>
    <row r="33" spans="1:12" ht="36" customHeight="1">
      <c r="A33" s="977"/>
      <c r="B33" s="977"/>
      <c r="C33" s="87" t="s">
        <v>79</v>
      </c>
      <c r="D33" s="87" t="s">
        <v>80</v>
      </c>
      <c r="E33" s="983"/>
      <c r="F33" s="977"/>
      <c r="G33" s="977"/>
      <c r="H33" s="977"/>
      <c r="I33" s="977"/>
      <c r="J33" s="977"/>
      <c r="K33" s="977"/>
      <c r="L33" s="977"/>
    </row>
    <row r="34" spans="1:12" ht="13.5" customHeight="1">
      <c r="A34" s="977"/>
      <c r="B34" s="220"/>
      <c r="C34" s="981"/>
      <c r="D34" s="981"/>
      <c r="E34" s="221"/>
      <c r="F34" s="221"/>
      <c r="G34" s="977"/>
      <c r="H34" s="220"/>
      <c r="I34" s="981"/>
      <c r="J34" s="981"/>
      <c r="K34" s="977"/>
      <c r="L34" s="977"/>
    </row>
    <row r="35" spans="1:12" ht="19.5" customHeight="1">
      <c r="A35" s="131" t="s">
        <v>49</v>
      </c>
      <c r="B35" s="134">
        <f aca="true" t="shared" si="4" ref="B35:G35">SUM(B36:B38)</f>
        <v>792118</v>
      </c>
      <c r="C35" s="134">
        <f t="shared" si="4"/>
        <v>0</v>
      </c>
      <c r="D35" s="134">
        <f t="shared" si="4"/>
        <v>0</v>
      </c>
      <c r="E35" s="134">
        <f t="shared" si="4"/>
        <v>0</v>
      </c>
      <c r="F35" s="134" t="e">
        <f t="shared" si="4"/>
        <v>#REF!</v>
      </c>
      <c r="G35" s="134" t="e">
        <f t="shared" si="4"/>
        <v>#REF!</v>
      </c>
      <c r="H35" s="134">
        <f>SUM(H36:H38)</f>
        <v>43800</v>
      </c>
      <c r="I35" s="134">
        <f>SUM(I36:I38)</f>
        <v>32977</v>
      </c>
      <c r="J35" s="134">
        <f>SUM(J36:J38)</f>
        <v>0</v>
      </c>
      <c r="K35" s="134">
        <f>SUM(K36:K38)</f>
        <v>76777</v>
      </c>
      <c r="L35" s="134" t="e">
        <f>SUM(K35,G35)</f>
        <v>#REF!</v>
      </c>
    </row>
    <row r="36" spans="1:12" ht="19.5" customHeight="1">
      <c r="A36" s="236" t="s">
        <v>130</v>
      </c>
      <c r="B36" s="133">
        <v>792118</v>
      </c>
      <c r="C36" s="542"/>
      <c r="D36" s="133"/>
      <c r="E36" s="133"/>
      <c r="F36" s="133" t="e">
        <f>SUM(#REF!)</f>
        <v>#REF!</v>
      </c>
      <c r="G36" s="133" t="e">
        <f>SUM(B36:F36)</f>
        <v>#REF!</v>
      </c>
      <c r="H36" s="133">
        <v>43800</v>
      </c>
      <c r="I36" s="133">
        <v>37</v>
      </c>
      <c r="J36" s="133"/>
      <c r="K36" s="133">
        <f>SUM(H36:J36)</f>
        <v>43837</v>
      </c>
      <c r="L36" s="135" t="e">
        <f>SUM(K36,G36)</f>
        <v>#REF!</v>
      </c>
    </row>
    <row r="37" spans="1:12" ht="19.5" customHeight="1">
      <c r="A37" s="237" t="s">
        <v>131</v>
      </c>
      <c r="B37" s="133"/>
      <c r="C37" s="133"/>
      <c r="D37" s="133"/>
      <c r="E37" s="133"/>
      <c r="F37" s="133"/>
      <c r="G37" s="135">
        <f>SUM(B37:F37)</f>
        <v>0</v>
      </c>
      <c r="H37" s="135"/>
      <c r="I37" s="541">
        <v>32940</v>
      </c>
      <c r="J37" s="135"/>
      <c r="K37" s="133">
        <f>SUM(H37:J37)</f>
        <v>32940</v>
      </c>
      <c r="L37" s="135">
        <f>SUM(K37,G37)</f>
        <v>32940</v>
      </c>
    </row>
    <row r="38" spans="1:12" ht="19.5" customHeight="1" thickBot="1">
      <c r="A38" s="32" t="s">
        <v>139</v>
      </c>
      <c r="B38" s="229"/>
      <c r="C38" s="229"/>
      <c r="D38" s="229"/>
      <c r="E38" s="229"/>
      <c r="F38" s="229"/>
      <c r="G38" s="133">
        <f>SUM(B38:F38)</f>
        <v>0</v>
      </c>
      <c r="H38" s="229"/>
      <c r="I38" s="229"/>
      <c r="J38" s="229"/>
      <c r="K38" s="229"/>
      <c r="L38" s="135">
        <f>SUM(K38,G38)</f>
        <v>0</v>
      </c>
    </row>
    <row r="39" spans="1:12" ht="19.5" customHeight="1" thickBot="1">
      <c r="A39" s="214" t="s">
        <v>50</v>
      </c>
      <c r="B39" s="231">
        <f>SUM(B40+B44+B48)</f>
        <v>42501</v>
      </c>
      <c r="C39" s="231" t="e">
        <f>SUM(C40+C44+C48)</f>
        <v>#REF!</v>
      </c>
      <c r="D39" s="231"/>
      <c r="E39" s="231">
        <f>SUM(E40+E44+E48)</f>
        <v>97932</v>
      </c>
      <c r="F39" s="231" t="e">
        <f>SUM(F40+F44+F48)</f>
        <v>#REF!</v>
      </c>
      <c r="G39" s="231" t="e">
        <f>SUM(G40+G44+G48)</f>
        <v>#REF!</v>
      </c>
      <c r="H39" s="231"/>
      <c r="I39" s="231"/>
      <c r="J39" s="231"/>
      <c r="K39" s="231"/>
      <c r="L39" s="216" t="e">
        <f>SUM(G39)</f>
        <v>#REF!</v>
      </c>
    </row>
    <row r="40" spans="1:12" ht="19.5" customHeight="1">
      <c r="A40" s="227" t="s">
        <v>51</v>
      </c>
      <c r="B40" s="132">
        <f aca="true" t="shared" si="5" ref="B40:G40">SUM(B41)</f>
        <v>37316</v>
      </c>
      <c r="C40" s="132" t="e">
        <f t="shared" si="5"/>
        <v>#REF!</v>
      </c>
      <c r="D40" s="132">
        <f t="shared" si="5"/>
        <v>0</v>
      </c>
      <c r="E40" s="132">
        <f t="shared" si="5"/>
        <v>25817</v>
      </c>
      <c r="F40" s="132" t="e">
        <f t="shared" si="5"/>
        <v>#REF!</v>
      </c>
      <c r="G40" s="132" t="e">
        <f t="shared" si="5"/>
        <v>#REF!</v>
      </c>
      <c r="H40" s="230"/>
      <c r="I40" s="230"/>
      <c r="J40" s="230"/>
      <c r="K40" s="230"/>
      <c r="L40" s="230" t="e">
        <f>SUM(G40)</f>
        <v>#REF!</v>
      </c>
    </row>
    <row r="41" spans="1:12" ht="19.5" customHeight="1">
      <c r="A41" s="236" t="s">
        <v>130</v>
      </c>
      <c r="B41" s="133">
        <v>37316</v>
      </c>
      <c r="C41" s="133" t="e">
        <f>SUM(#REF!)</f>
        <v>#REF!</v>
      </c>
      <c r="D41" s="133"/>
      <c r="E41" s="133">
        <v>25817</v>
      </c>
      <c r="F41" s="133" t="e">
        <f>SUM(#REF!)</f>
        <v>#REF!</v>
      </c>
      <c r="G41" s="133" t="e">
        <f>SUM(B41:F41)</f>
        <v>#REF!</v>
      </c>
      <c r="H41" s="223"/>
      <c r="I41" s="223"/>
      <c r="J41" s="223"/>
      <c r="K41" s="223"/>
      <c r="L41" s="223" t="e">
        <f>SUM(G41)</f>
        <v>#REF!</v>
      </c>
    </row>
    <row r="42" spans="1:12" ht="19.5" customHeight="1">
      <c r="A42" s="237" t="s">
        <v>131</v>
      </c>
      <c r="B42" s="133"/>
      <c r="C42" s="133"/>
      <c r="D42" s="133"/>
      <c r="E42" s="133"/>
      <c r="F42" s="133"/>
      <c r="G42" s="135"/>
      <c r="H42" s="133"/>
      <c r="I42" s="133"/>
      <c r="J42" s="133"/>
      <c r="K42" s="133"/>
      <c r="L42" s="222"/>
    </row>
    <row r="43" spans="1:12" ht="19.5" customHeight="1">
      <c r="A43" s="32" t="s">
        <v>139</v>
      </c>
      <c r="B43" s="133"/>
      <c r="C43" s="133"/>
      <c r="D43" s="133"/>
      <c r="E43" s="133"/>
      <c r="F43" s="133"/>
      <c r="G43" s="135"/>
      <c r="H43" s="133"/>
      <c r="I43" s="133"/>
      <c r="J43" s="133"/>
      <c r="K43" s="133"/>
      <c r="L43" s="222"/>
    </row>
    <row r="44" spans="1:13" ht="19.5" customHeight="1">
      <c r="A44" s="226" t="s">
        <v>52</v>
      </c>
      <c r="B44" s="134">
        <f aca="true" t="shared" si="6" ref="B44:G44">SUM(B45)</f>
        <v>4185</v>
      </c>
      <c r="C44" s="134">
        <f t="shared" si="6"/>
        <v>1353</v>
      </c>
      <c r="D44" s="134">
        <f t="shared" si="6"/>
        <v>0</v>
      </c>
      <c r="E44" s="134">
        <f t="shared" si="6"/>
        <v>4632</v>
      </c>
      <c r="F44" s="134" t="e">
        <f t="shared" si="6"/>
        <v>#REF!</v>
      </c>
      <c r="G44" s="134" t="e">
        <f t="shared" si="6"/>
        <v>#REF!</v>
      </c>
      <c r="H44" s="134"/>
      <c r="I44" s="134"/>
      <c r="J44" s="134"/>
      <c r="K44" s="134"/>
      <c r="L44" s="136" t="e">
        <f>SUM(G44)</f>
        <v>#REF!</v>
      </c>
      <c r="M44" s="137"/>
    </row>
    <row r="45" spans="1:12" ht="19.5" customHeight="1">
      <c r="A45" s="236" t="s">
        <v>130</v>
      </c>
      <c r="B45" s="541">
        <v>4185</v>
      </c>
      <c r="C45" s="541">
        <v>1353</v>
      </c>
      <c r="D45" s="133"/>
      <c r="E45" s="541">
        <v>4632</v>
      </c>
      <c r="F45" s="133" t="e">
        <f>SUM(#REF!)</f>
        <v>#REF!</v>
      </c>
      <c r="G45" s="133" t="e">
        <f>SUM(B45:F45)</f>
        <v>#REF!</v>
      </c>
      <c r="H45" s="133"/>
      <c r="I45" s="133"/>
      <c r="J45" s="133"/>
      <c r="K45" s="133"/>
      <c r="L45" s="223" t="e">
        <f>SUM(G45)</f>
        <v>#REF!</v>
      </c>
    </row>
    <row r="46" spans="1:12" ht="19.5" customHeight="1">
      <c r="A46" s="237" t="s">
        <v>131</v>
      </c>
      <c r="B46" s="133"/>
      <c r="C46" s="133"/>
      <c r="D46" s="133"/>
      <c r="E46" s="133"/>
      <c r="F46" s="133"/>
      <c r="G46" s="135"/>
      <c r="H46" s="133"/>
      <c r="I46" s="133"/>
      <c r="J46" s="133"/>
      <c r="K46" s="133"/>
      <c r="L46" s="222"/>
    </row>
    <row r="47" spans="1:12" ht="19.5" customHeight="1">
      <c r="A47" s="32" t="s">
        <v>139</v>
      </c>
      <c r="B47" s="133"/>
      <c r="C47" s="133"/>
      <c r="D47" s="133"/>
      <c r="E47" s="133"/>
      <c r="F47" s="133"/>
      <c r="G47" s="135"/>
      <c r="H47" s="133"/>
      <c r="I47" s="133"/>
      <c r="J47" s="133"/>
      <c r="K47" s="133"/>
      <c r="L47" s="222"/>
    </row>
    <row r="48" spans="1:12" ht="19.5" customHeight="1">
      <c r="A48" s="228" t="s">
        <v>53</v>
      </c>
      <c r="B48" s="134">
        <f aca="true" t="shared" si="7" ref="B48:G48">SUM(B49)</f>
        <v>1000</v>
      </c>
      <c r="C48" s="134" t="e">
        <f t="shared" si="7"/>
        <v>#REF!</v>
      </c>
      <c r="D48" s="134">
        <f t="shared" si="7"/>
        <v>0</v>
      </c>
      <c r="E48" s="134">
        <f t="shared" si="7"/>
        <v>67483</v>
      </c>
      <c r="F48" s="134" t="e">
        <f t="shared" si="7"/>
        <v>#REF!</v>
      </c>
      <c r="G48" s="134" t="e">
        <f t="shared" si="7"/>
        <v>#REF!</v>
      </c>
      <c r="H48" s="134"/>
      <c r="I48" s="134"/>
      <c r="J48" s="134"/>
      <c r="K48" s="134"/>
      <c r="L48" s="136" t="e">
        <f>SUM(G48)</f>
        <v>#REF!</v>
      </c>
    </row>
    <row r="49" spans="1:12" ht="19.5" customHeight="1">
      <c r="A49" s="236" t="s">
        <v>130</v>
      </c>
      <c r="B49" s="133">
        <v>1000</v>
      </c>
      <c r="C49" s="133" t="e">
        <f>SUM(#REF!)</f>
        <v>#REF!</v>
      </c>
      <c r="D49" s="133"/>
      <c r="E49" s="133">
        <v>67483</v>
      </c>
      <c r="F49" s="133" t="e">
        <f>SUM(#REF!)</f>
        <v>#REF!</v>
      </c>
      <c r="G49" s="133" t="e">
        <f>SUM(B49:F49)</f>
        <v>#REF!</v>
      </c>
      <c r="H49" s="133"/>
      <c r="I49" s="133"/>
      <c r="J49" s="133"/>
      <c r="K49" s="133"/>
      <c r="L49" s="223" t="e">
        <f>SUM(G49)</f>
        <v>#REF!</v>
      </c>
    </row>
    <row r="50" spans="1:12" ht="19.5" customHeight="1">
      <c r="A50" s="237" t="s">
        <v>131</v>
      </c>
      <c r="B50" s="133"/>
      <c r="C50" s="133"/>
      <c r="D50" s="133"/>
      <c r="E50" s="133"/>
      <c r="F50" s="133"/>
      <c r="G50" s="135"/>
      <c r="H50" s="133"/>
      <c r="I50" s="133"/>
      <c r="J50" s="133"/>
      <c r="K50" s="133"/>
      <c r="L50" s="222"/>
    </row>
    <row r="51" spans="1:12" ht="19.5" customHeight="1" thickBot="1">
      <c r="A51" s="32" t="s">
        <v>139</v>
      </c>
      <c r="B51" s="224"/>
      <c r="C51" s="224"/>
      <c r="D51" s="224"/>
      <c r="E51" s="224"/>
      <c r="F51" s="224"/>
      <c r="G51" s="229"/>
      <c r="H51" s="224"/>
      <c r="I51" s="224"/>
      <c r="J51" s="224"/>
      <c r="K51" s="224"/>
      <c r="L51" s="225"/>
    </row>
    <row r="52" spans="1:12" ht="30" customHeight="1" thickBot="1">
      <c r="A52" s="232" t="s">
        <v>54</v>
      </c>
      <c r="B52" s="233">
        <f aca="true" t="shared" si="8" ref="B52:J52">SUM(B35+B39)</f>
        <v>834619</v>
      </c>
      <c r="C52" s="233" t="e">
        <f t="shared" si="8"/>
        <v>#REF!</v>
      </c>
      <c r="D52" s="233">
        <f t="shared" si="8"/>
        <v>0</v>
      </c>
      <c r="E52" s="233">
        <f t="shared" si="8"/>
        <v>97932</v>
      </c>
      <c r="F52" s="233" t="e">
        <f t="shared" si="8"/>
        <v>#REF!</v>
      </c>
      <c r="G52" s="233" t="e">
        <f t="shared" si="8"/>
        <v>#REF!</v>
      </c>
      <c r="H52" s="233">
        <f t="shared" si="8"/>
        <v>43800</v>
      </c>
      <c r="I52" s="233">
        <f t="shared" si="8"/>
        <v>32977</v>
      </c>
      <c r="J52" s="233">
        <f t="shared" si="8"/>
        <v>0</v>
      </c>
      <c r="K52" s="233">
        <f>SUM(K35)</f>
        <v>76777</v>
      </c>
      <c r="L52" s="234" t="e">
        <f>SUM(K52,G52)</f>
        <v>#REF!</v>
      </c>
    </row>
    <row r="53" spans="1:12" ht="12.75" customHeight="1">
      <c r="A53" s="90" t="s">
        <v>570</v>
      </c>
      <c r="L53" s="128">
        <v>-214023</v>
      </c>
    </row>
    <row r="54" spans="1:12" ht="12.75" customHeight="1">
      <c r="A54" s="90" t="s">
        <v>578</v>
      </c>
      <c r="L54" s="245" t="e">
        <f>SUM(L52+L53)</f>
        <v>#REF!</v>
      </c>
    </row>
    <row r="56" spans="1:12" ht="22.5" customHeight="1" hidden="1">
      <c r="A56" s="977" t="s">
        <v>49</v>
      </c>
      <c r="B56" s="978" t="s">
        <v>637</v>
      </c>
      <c r="C56" s="979"/>
      <c r="D56" s="979"/>
      <c r="E56" s="979"/>
      <c r="F56" s="979"/>
      <c r="G56" s="979"/>
      <c r="H56" s="979"/>
      <c r="I56" s="979"/>
      <c r="J56" s="979"/>
      <c r="K56" s="979"/>
      <c r="L56" s="980"/>
    </row>
    <row r="57" spans="1:12" ht="17.25" customHeight="1" hidden="1">
      <c r="A57" s="977"/>
      <c r="B57" s="977" t="s">
        <v>74</v>
      </c>
      <c r="C57" s="977"/>
      <c r="D57" s="977"/>
      <c r="E57" s="977"/>
      <c r="F57" s="977"/>
      <c r="G57" s="977"/>
      <c r="H57" s="977" t="s">
        <v>480</v>
      </c>
      <c r="I57" s="977"/>
      <c r="J57" s="977"/>
      <c r="K57" s="977"/>
      <c r="L57" s="977" t="s">
        <v>75</v>
      </c>
    </row>
    <row r="58" spans="1:12" ht="33" customHeight="1" hidden="1">
      <c r="A58" s="977"/>
      <c r="B58" s="977" t="s">
        <v>474</v>
      </c>
      <c r="C58" s="977" t="s">
        <v>571</v>
      </c>
      <c r="D58" s="977"/>
      <c r="E58" s="982" t="s">
        <v>575</v>
      </c>
      <c r="F58" s="977" t="s">
        <v>628</v>
      </c>
      <c r="G58" s="977" t="s">
        <v>7</v>
      </c>
      <c r="H58" s="977" t="s">
        <v>495</v>
      </c>
      <c r="I58" s="977" t="s">
        <v>476</v>
      </c>
      <c r="J58" s="977" t="s">
        <v>631</v>
      </c>
      <c r="K58" s="977" t="s">
        <v>12</v>
      </c>
      <c r="L58" s="977"/>
    </row>
    <row r="59" spans="1:12" ht="57.75" customHeight="1" hidden="1">
      <c r="A59" s="977"/>
      <c r="B59" s="977"/>
      <c r="C59" s="87" t="s">
        <v>79</v>
      </c>
      <c r="D59" s="87" t="s">
        <v>80</v>
      </c>
      <c r="E59" s="983"/>
      <c r="F59" s="977"/>
      <c r="G59" s="977"/>
      <c r="H59" s="977"/>
      <c r="I59" s="977"/>
      <c r="J59" s="977"/>
      <c r="K59" s="977"/>
      <c r="L59" s="977"/>
    </row>
    <row r="60" spans="1:12" ht="12.75" customHeight="1" hidden="1">
      <c r="A60" s="977"/>
      <c r="B60" s="220"/>
      <c r="C60" s="981"/>
      <c r="D60" s="981"/>
      <c r="E60" s="221"/>
      <c r="F60" s="221"/>
      <c r="G60" s="977"/>
      <c r="H60" s="220"/>
      <c r="I60" s="981"/>
      <c r="J60" s="981"/>
      <c r="K60" s="977"/>
      <c r="L60" s="977"/>
    </row>
    <row r="61" spans="1:12" ht="12.75" customHeight="1" hidden="1">
      <c r="A61" s="131" t="s">
        <v>49</v>
      </c>
      <c r="B61" s="134">
        <f aca="true" t="shared" si="9" ref="B61:G61">SUM(B62:B64)</f>
        <v>771919</v>
      </c>
      <c r="C61" s="134">
        <f t="shared" si="9"/>
        <v>0</v>
      </c>
      <c r="D61" s="134">
        <f t="shared" si="9"/>
        <v>0</v>
      </c>
      <c r="E61" s="134">
        <f t="shared" si="9"/>
        <v>0</v>
      </c>
      <c r="F61" s="134" t="e">
        <f t="shared" si="9"/>
        <v>#REF!</v>
      </c>
      <c r="G61" s="134" t="e">
        <f t="shared" si="9"/>
        <v>#REF!</v>
      </c>
      <c r="H61" s="134" t="e">
        <f>SUM(H62:H64)</f>
        <v>#REF!</v>
      </c>
      <c r="I61" s="134" t="e">
        <f>SUM(I62:I64)</f>
        <v>#REF!</v>
      </c>
      <c r="J61" s="134">
        <f>SUM(J62:J64)</f>
        <v>0</v>
      </c>
      <c r="K61" s="134" t="e">
        <f>SUM(K62:K64)</f>
        <v>#REF!</v>
      </c>
      <c r="L61" s="134" t="e">
        <f>SUM(K61,G61)</f>
        <v>#REF!</v>
      </c>
    </row>
    <row r="62" spans="1:12" ht="12.75" customHeight="1" hidden="1">
      <c r="A62" s="236" t="s">
        <v>130</v>
      </c>
      <c r="B62" s="133">
        <v>771919</v>
      </c>
      <c r="C62" s="133"/>
      <c r="D62" s="133"/>
      <c r="E62" s="133"/>
      <c r="F62" s="133" t="e">
        <f>SUM(#REF!)</f>
        <v>#REF!</v>
      </c>
      <c r="G62" s="133" t="e">
        <f>SUM(B62:F62)</f>
        <v>#REF!</v>
      </c>
      <c r="H62" s="133" t="e">
        <f>SUM('3.felh'!#REF!)</f>
        <v>#REF!</v>
      </c>
      <c r="I62" s="133"/>
      <c r="J62" s="133"/>
      <c r="K62" s="133" t="e">
        <f>SUM(H62:J62)</f>
        <v>#REF!</v>
      </c>
      <c r="L62" s="134" t="e">
        <f>SUM(K62,G62)</f>
        <v>#REF!</v>
      </c>
    </row>
    <row r="63" spans="1:12" ht="12.75" customHeight="1" hidden="1">
      <c r="A63" s="237" t="s">
        <v>131</v>
      </c>
      <c r="B63" s="133"/>
      <c r="C63" s="133"/>
      <c r="D63" s="133"/>
      <c r="E63" s="133"/>
      <c r="F63" s="133"/>
      <c r="G63" s="135">
        <f>SUM(B63:F63)</f>
        <v>0</v>
      </c>
      <c r="H63" s="135"/>
      <c r="I63" s="133" t="e">
        <f>SUM('3.felh'!#REF!)</f>
        <v>#REF!</v>
      </c>
      <c r="J63" s="135"/>
      <c r="K63" s="133" t="e">
        <f>SUM(H63:J63)</f>
        <v>#REF!</v>
      </c>
      <c r="L63" s="134" t="e">
        <f>SUM(K63,G63)</f>
        <v>#REF!</v>
      </c>
    </row>
    <row r="64" spans="1:12" ht="12.75" customHeight="1" hidden="1" thickBot="1">
      <c r="A64" s="32" t="s">
        <v>139</v>
      </c>
      <c r="B64" s="229"/>
      <c r="C64" s="229"/>
      <c r="D64" s="229"/>
      <c r="E64" s="229"/>
      <c r="F64" s="229"/>
      <c r="G64" s="133">
        <f>SUM(B64:F64)</f>
        <v>0</v>
      </c>
      <c r="H64" s="229"/>
      <c r="I64" s="229"/>
      <c r="J64" s="229"/>
      <c r="K64" s="229"/>
      <c r="L64" s="134">
        <f>SUM(K64,G64)</f>
        <v>0</v>
      </c>
    </row>
    <row r="65" spans="1:12" ht="12.75" customHeight="1" hidden="1" thickBot="1">
      <c r="A65" s="214" t="s">
        <v>50</v>
      </c>
      <c r="B65" s="231" t="e">
        <f>SUM(B66+B70+B74)</f>
        <v>#REF!</v>
      </c>
      <c r="C65" s="231" t="e">
        <f>SUM(C66+C70+C74)</f>
        <v>#REF!</v>
      </c>
      <c r="D65" s="231"/>
      <c r="E65" s="231" t="e">
        <f>SUM(E66+E70+E74)</f>
        <v>#REF!</v>
      </c>
      <c r="F65" s="231" t="e">
        <f>SUM(F66+F70+F74)</f>
        <v>#REF!</v>
      </c>
      <c r="G65" s="231" t="e">
        <f>SUM(G66+G70+G74)</f>
        <v>#REF!</v>
      </c>
      <c r="H65" s="231"/>
      <c r="I65" s="231"/>
      <c r="J65" s="231"/>
      <c r="K65" s="231"/>
      <c r="L65" s="216" t="e">
        <f>SUM(G65)</f>
        <v>#REF!</v>
      </c>
    </row>
    <row r="66" spans="1:12" ht="12.75" customHeight="1" hidden="1">
      <c r="A66" s="227" t="s">
        <v>51</v>
      </c>
      <c r="B66" s="132" t="e">
        <f aca="true" t="shared" si="10" ref="B66:G66">SUM(B67)</f>
        <v>#REF!</v>
      </c>
      <c r="C66" s="132" t="e">
        <f t="shared" si="10"/>
        <v>#REF!</v>
      </c>
      <c r="D66" s="132">
        <f t="shared" si="10"/>
        <v>0</v>
      </c>
      <c r="E66" s="132" t="e">
        <f t="shared" si="10"/>
        <v>#REF!</v>
      </c>
      <c r="F66" s="132" t="e">
        <f t="shared" si="10"/>
        <v>#REF!</v>
      </c>
      <c r="G66" s="132" t="e">
        <f t="shared" si="10"/>
        <v>#REF!</v>
      </c>
      <c r="H66" s="230"/>
      <c r="I66" s="230"/>
      <c r="J66" s="230"/>
      <c r="K66" s="230"/>
      <c r="L66" s="230" t="e">
        <f>SUM(G66)</f>
        <v>#REF!</v>
      </c>
    </row>
    <row r="67" spans="1:12" ht="12.75" customHeight="1" hidden="1">
      <c r="A67" s="236" t="s">
        <v>130</v>
      </c>
      <c r="B67" s="133" t="e">
        <f>SUM(#REF!)</f>
        <v>#REF!</v>
      </c>
      <c r="C67" s="133" t="e">
        <f>SUM(#REF!)</f>
        <v>#REF!</v>
      </c>
      <c r="D67" s="133"/>
      <c r="E67" s="133" t="e">
        <f>SUM(#REF!)</f>
        <v>#REF!</v>
      </c>
      <c r="F67" s="133" t="e">
        <f>SUM(#REF!)</f>
        <v>#REF!</v>
      </c>
      <c r="G67" s="133" t="e">
        <f>SUM(B67:F67)</f>
        <v>#REF!</v>
      </c>
      <c r="H67" s="223"/>
      <c r="I67" s="223"/>
      <c r="J67" s="223"/>
      <c r="K67" s="223"/>
      <c r="L67" s="223" t="e">
        <f>SUM(G67)</f>
        <v>#REF!</v>
      </c>
    </row>
    <row r="68" spans="1:12" ht="12.75" customHeight="1" hidden="1">
      <c r="A68" s="237" t="s">
        <v>131</v>
      </c>
      <c r="B68" s="133"/>
      <c r="C68" s="133"/>
      <c r="D68" s="133"/>
      <c r="E68" s="133"/>
      <c r="F68" s="133"/>
      <c r="G68" s="135"/>
      <c r="H68" s="133"/>
      <c r="I68" s="133"/>
      <c r="J68" s="133"/>
      <c r="K68" s="133"/>
      <c r="L68" s="222"/>
    </row>
    <row r="69" spans="1:12" ht="12.75" customHeight="1" hidden="1">
      <c r="A69" s="32" t="s">
        <v>139</v>
      </c>
      <c r="B69" s="133"/>
      <c r="C69" s="133"/>
      <c r="D69" s="133"/>
      <c r="E69" s="133"/>
      <c r="F69" s="133"/>
      <c r="G69" s="135"/>
      <c r="H69" s="133"/>
      <c r="I69" s="133"/>
      <c r="J69" s="133"/>
      <c r="K69" s="133"/>
      <c r="L69" s="222"/>
    </row>
    <row r="70" spans="1:12" ht="12.75" customHeight="1" hidden="1">
      <c r="A70" s="226" t="s">
        <v>52</v>
      </c>
      <c r="B70" s="134" t="e">
        <f aca="true" t="shared" si="11" ref="B70:G70">SUM(B71)</f>
        <v>#REF!</v>
      </c>
      <c r="C70" s="134" t="e">
        <f t="shared" si="11"/>
        <v>#REF!</v>
      </c>
      <c r="D70" s="134">
        <f t="shared" si="11"/>
        <v>0</v>
      </c>
      <c r="E70" s="134" t="e">
        <f t="shared" si="11"/>
        <v>#REF!</v>
      </c>
      <c r="F70" s="134" t="e">
        <f t="shared" si="11"/>
        <v>#REF!</v>
      </c>
      <c r="G70" s="134" t="e">
        <f t="shared" si="11"/>
        <v>#REF!</v>
      </c>
      <c r="H70" s="134"/>
      <c r="I70" s="134"/>
      <c r="J70" s="134"/>
      <c r="K70" s="134"/>
      <c r="L70" s="136" t="e">
        <f>SUM(G70)</f>
        <v>#REF!</v>
      </c>
    </row>
    <row r="71" spans="1:12" ht="12.75" customHeight="1" hidden="1">
      <c r="A71" s="236" t="s">
        <v>130</v>
      </c>
      <c r="B71" s="133" t="e">
        <f>SUM(#REF!)</f>
        <v>#REF!</v>
      </c>
      <c r="C71" s="133" t="e">
        <f>SUM(#REF!)</f>
        <v>#REF!</v>
      </c>
      <c r="D71" s="133"/>
      <c r="E71" s="133" t="e">
        <f>SUM(#REF!)</f>
        <v>#REF!</v>
      </c>
      <c r="F71" s="133" t="e">
        <f>SUM(#REF!)</f>
        <v>#REF!</v>
      </c>
      <c r="G71" s="133" t="e">
        <f>SUM(B71:F71)</f>
        <v>#REF!</v>
      </c>
      <c r="H71" s="133"/>
      <c r="I71" s="133"/>
      <c r="J71" s="133"/>
      <c r="K71" s="133"/>
      <c r="L71" s="223" t="e">
        <f>SUM(G71)</f>
        <v>#REF!</v>
      </c>
    </row>
    <row r="72" spans="1:12" ht="12.75" customHeight="1" hidden="1">
      <c r="A72" s="237" t="s">
        <v>131</v>
      </c>
      <c r="B72" s="133"/>
      <c r="C72" s="133"/>
      <c r="D72" s="133"/>
      <c r="E72" s="133"/>
      <c r="F72" s="133"/>
      <c r="G72" s="135"/>
      <c r="H72" s="133"/>
      <c r="I72" s="133"/>
      <c r="J72" s="133"/>
      <c r="K72" s="133"/>
      <c r="L72" s="222"/>
    </row>
    <row r="73" spans="1:12" ht="12.75" customHeight="1" hidden="1">
      <c r="A73" s="32" t="s">
        <v>139</v>
      </c>
      <c r="B73" s="133"/>
      <c r="C73" s="133"/>
      <c r="D73" s="133"/>
      <c r="E73" s="133"/>
      <c r="F73" s="133"/>
      <c r="G73" s="135"/>
      <c r="H73" s="133"/>
      <c r="I73" s="133"/>
      <c r="J73" s="133"/>
      <c r="K73" s="133"/>
      <c r="L73" s="222"/>
    </row>
    <row r="74" spans="1:12" ht="12.75" customHeight="1" hidden="1">
      <c r="A74" s="228" t="s">
        <v>53</v>
      </c>
      <c r="B74" s="134" t="e">
        <f aca="true" t="shared" si="12" ref="B74:G74">SUM(B75)</f>
        <v>#REF!</v>
      </c>
      <c r="C74" s="134" t="e">
        <f t="shared" si="12"/>
        <v>#REF!</v>
      </c>
      <c r="D74" s="134">
        <f t="shared" si="12"/>
        <v>0</v>
      </c>
      <c r="E74" s="134" t="e">
        <f t="shared" si="12"/>
        <v>#REF!</v>
      </c>
      <c r="F74" s="134" t="e">
        <f t="shared" si="12"/>
        <v>#REF!</v>
      </c>
      <c r="G74" s="134" t="e">
        <f t="shared" si="12"/>
        <v>#REF!</v>
      </c>
      <c r="H74" s="134"/>
      <c r="I74" s="134"/>
      <c r="J74" s="134"/>
      <c r="K74" s="134"/>
      <c r="L74" s="136" t="e">
        <f>SUM(G74)</f>
        <v>#REF!</v>
      </c>
    </row>
    <row r="75" spans="1:12" ht="12.75" customHeight="1" hidden="1">
      <c r="A75" s="236" t="s">
        <v>130</v>
      </c>
      <c r="B75" s="133" t="e">
        <f>SUM(#REF!)</f>
        <v>#REF!</v>
      </c>
      <c r="C75" s="133" t="e">
        <f>SUM(#REF!)</f>
        <v>#REF!</v>
      </c>
      <c r="D75" s="133"/>
      <c r="E75" s="133" t="e">
        <f>SUM(#REF!)</f>
        <v>#REF!</v>
      </c>
      <c r="F75" s="133" t="e">
        <f>SUM(#REF!)</f>
        <v>#REF!</v>
      </c>
      <c r="G75" s="133" t="e">
        <f>SUM(B75:F75)</f>
        <v>#REF!</v>
      </c>
      <c r="H75" s="133"/>
      <c r="I75" s="133"/>
      <c r="J75" s="133"/>
      <c r="K75" s="133"/>
      <c r="L75" s="223" t="e">
        <f>SUM(G75)</f>
        <v>#REF!</v>
      </c>
    </row>
    <row r="76" spans="1:12" ht="12.75" customHeight="1" hidden="1">
      <c r="A76" s="237" t="s">
        <v>131</v>
      </c>
      <c r="B76" s="133"/>
      <c r="C76" s="133"/>
      <c r="D76" s="133"/>
      <c r="E76" s="133"/>
      <c r="F76" s="133"/>
      <c r="G76" s="135"/>
      <c r="H76" s="133"/>
      <c r="I76" s="133"/>
      <c r="J76" s="133"/>
      <c r="K76" s="133"/>
      <c r="L76" s="222"/>
    </row>
    <row r="77" spans="1:12" ht="12.75" customHeight="1" hidden="1" thickBot="1">
      <c r="A77" s="32" t="s">
        <v>139</v>
      </c>
      <c r="B77" s="224"/>
      <c r="C77" s="224"/>
      <c r="D77" s="224"/>
      <c r="E77" s="224"/>
      <c r="F77" s="224"/>
      <c r="G77" s="229"/>
      <c r="H77" s="224"/>
      <c r="I77" s="224"/>
      <c r="J77" s="224"/>
      <c r="K77" s="224"/>
      <c r="L77" s="225"/>
    </row>
    <row r="78" spans="1:12" ht="32.25" customHeight="1" hidden="1" thickBot="1">
      <c r="A78" s="232" t="s">
        <v>54</v>
      </c>
      <c r="B78" s="233" t="e">
        <f aca="true" t="shared" si="13" ref="B78:J78">SUM(B61+B65)</f>
        <v>#REF!</v>
      </c>
      <c r="C78" s="233" t="e">
        <f t="shared" si="13"/>
        <v>#REF!</v>
      </c>
      <c r="D78" s="233">
        <f t="shared" si="13"/>
        <v>0</v>
      </c>
      <c r="E78" s="233" t="e">
        <f t="shared" si="13"/>
        <v>#REF!</v>
      </c>
      <c r="F78" s="233" t="e">
        <f t="shared" si="13"/>
        <v>#REF!</v>
      </c>
      <c r="G78" s="233" t="e">
        <f t="shared" si="13"/>
        <v>#REF!</v>
      </c>
      <c r="H78" s="233" t="e">
        <f t="shared" si="13"/>
        <v>#REF!</v>
      </c>
      <c r="I78" s="233" t="e">
        <f t="shared" si="13"/>
        <v>#REF!</v>
      </c>
      <c r="J78" s="233">
        <f t="shared" si="13"/>
        <v>0</v>
      </c>
      <c r="K78" s="233" t="e">
        <f>SUM(K61)</f>
        <v>#REF!</v>
      </c>
      <c r="L78" s="234" t="e">
        <f>SUM(K78,G78)</f>
        <v>#REF!</v>
      </c>
    </row>
    <row r="79" spans="1:12" ht="12.75" customHeight="1" hidden="1">
      <c r="A79" s="90" t="s">
        <v>570</v>
      </c>
      <c r="L79" s="128" t="e">
        <f>SUM(#REF!)</f>
        <v>#REF!</v>
      </c>
    </row>
    <row r="80" spans="1:12" ht="12.75" customHeight="1" hidden="1">
      <c r="A80" s="90" t="s">
        <v>578</v>
      </c>
      <c r="L80" s="245" t="e">
        <f>SUM(L78+L79)</f>
        <v>#REF!</v>
      </c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</sheetData>
  <sheetProtection/>
  <mergeCells count="50">
    <mergeCell ref="C34:D34"/>
    <mergeCell ref="I34:J34"/>
    <mergeCell ref="G58:G60"/>
    <mergeCell ref="H58:H59"/>
    <mergeCell ref="I58:I59"/>
    <mergeCell ref="J58:J59"/>
    <mergeCell ref="E58:E59"/>
    <mergeCell ref="F58:F59"/>
    <mergeCell ref="K58:K60"/>
    <mergeCell ref="A56:A60"/>
    <mergeCell ref="B56:L56"/>
    <mergeCell ref="B57:G57"/>
    <mergeCell ref="H57:K57"/>
    <mergeCell ref="L57:L60"/>
    <mergeCell ref="B58:B59"/>
    <mergeCell ref="C58:D58"/>
    <mergeCell ref="C60:D60"/>
    <mergeCell ref="I60:J60"/>
    <mergeCell ref="F32:F33"/>
    <mergeCell ref="G32:G34"/>
    <mergeCell ref="H32:H33"/>
    <mergeCell ref="I32:I33"/>
    <mergeCell ref="J32:J33"/>
    <mergeCell ref="K32:K34"/>
    <mergeCell ref="C9:D9"/>
    <mergeCell ref="I9:J9"/>
    <mergeCell ref="A30:A34"/>
    <mergeCell ref="B30:L30"/>
    <mergeCell ref="B31:G31"/>
    <mergeCell ref="H31:K31"/>
    <mergeCell ref="L31:L34"/>
    <mergeCell ref="B32:B33"/>
    <mergeCell ref="C32:D32"/>
    <mergeCell ref="E32:E33"/>
    <mergeCell ref="F7:F8"/>
    <mergeCell ref="G7:G9"/>
    <mergeCell ref="H7:H8"/>
    <mergeCell ref="I7:I8"/>
    <mergeCell ref="J7:J8"/>
    <mergeCell ref="K7:K9"/>
    <mergeCell ref="A1:L1"/>
    <mergeCell ref="A2:L2"/>
    <mergeCell ref="A5:A9"/>
    <mergeCell ref="B5:L5"/>
    <mergeCell ref="B6:G6"/>
    <mergeCell ref="H6:K6"/>
    <mergeCell ref="L6:L9"/>
    <mergeCell ref="B7:B8"/>
    <mergeCell ref="C7:D7"/>
    <mergeCell ref="E7:E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E28" sqref="E28"/>
    </sheetView>
  </sheetViews>
  <sheetFormatPr defaultColWidth="9.00390625" defaultRowHeight="12.75" customHeight="1"/>
  <cols>
    <col min="1" max="1" width="34.87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1.375" style="245" customWidth="1"/>
    <col min="8" max="8" width="12.00390625" style="128" customWidth="1"/>
    <col min="9" max="9" width="11.375" style="128" customWidth="1"/>
    <col min="10" max="10" width="11.125" style="128" customWidth="1"/>
    <col min="11" max="12" width="12.25390625" style="128" customWidth="1"/>
    <col min="13" max="16384" width="9.125" style="90" customWidth="1"/>
  </cols>
  <sheetData>
    <row r="1" spans="1:24" ht="15" customHeight="1">
      <c r="A1" s="975" t="s">
        <v>310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" customHeight="1">
      <c r="A2" s="971" t="s">
        <v>950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ht="12.75" customHeight="1" thickBot="1">
      <c r="L3" s="130" t="s">
        <v>0</v>
      </c>
    </row>
    <row r="4" spans="1:12" ht="16.5" customHeight="1">
      <c r="A4" s="986"/>
      <c r="B4" s="988" t="s">
        <v>74</v>
      </c>
      <c r="C4" s="988"/>
      <c r="D4" s="988"/>
      <c r="E4" s="988"/>
      <c r="F4" s="988"/>
      <c r="G4" s="988"/>
      <c r="H4" s="988"/>
      <c r="I4" s="988"/>
      <c r="J4" s="988"/>
      <c r="K4" s="988"/>
      <c r="L4" s="989" t="s">
        <v>75</v>
      </c>
    </row>
    <row r="5" spans="1:12" ht="27.75" customHeight="1">
      <c r="A5" s="987"/>
      <c r="B5" s="977" t="s">
        <v>474</v>
      </c>
      <c r="C5" s="977" t="s">
        <v>571</v>
      </c>
      <c r="D5" s="977"/>
      <c r="E5" s="982" t="s">
        <v>790</v>
      </c>
      <c r="F5" s="977" t="s">
        <v>628</v>
      </c>
      <c r="G5" s="977" t="s">
        <v>7</v>
      </c>
      <c r="H5" s="977" t="s">
        <v>476</v>
      </c>
      <c r="I5" s="977" t="s">
        <v>631</v>
      </c>
      <c r="J5" s="984" t="s">
        <v>795</v>
      </c>
      <c r="K5" s="977" t="s">
        <v>12</v>
      </c>
      <c r="L5" s="990"/>
    </row>
    <row r="6" spans="1:12" ht="42.75" customHeight="1" thickBot="1">
      <c r="A6" s="987"/>
      <c r="B6" s="977"/>
      <c r="C6" s="87" t="s">
        <v>788</v>
      </c>
      <c r="D6" s="87" t="s">
        <v>789</v>
      </c>
      <c r="E6" s="983"/>
      <c r="F6" s="977"/>
      <c r="G6" s="977"/>
      <c r="H6" s="977"/>
      <c r="I6" s="977"/>
      <c r="J6" s="985"/>
      <c r="K6" s="977"/>
      <c r="L6" s="990"/>
    </row>
    <row r="7" spans="1:12" ht="18.75" customHeight="1" thickBot="1">
      <c r="A7" s="214" t="s">
        <v>801</v>
      </c>
      <c r="B7" s="231">
        <f aca="true" t="shared" si="0" ref="B7:K7">B8+B9+B10</f>
        <v>722422</v>
      </c>
      <c r="C7" s="231">
        <f t="shared" si="0"/>
        <v>0</v>
      </c>
      <c r="D7" s="231">
        <f t="shared" si="0"/>
        <v>0</v>
      </c>
      <c r="E7" s="231">
        <f t="shared" si="0"/>
        <v>0</v>
      </c>
      <c r="F7" s="231">
        <f t="shared" si="0"/>
        <v>246027</v>
      </c>
      <c r="G7" s="231">
        <f t="shared" si="0"/>
        <v>968449</v>
      </c>
      <c r="H7" s="231">
        <f t="shared" si="0"/>
        <v>207110</v>
      </c>
      <c r="I7" s="231">
        <f t="shared" si="0"/>
        <v>1095597</v>
      </c>
      <c r="J7" s="231">
        <f t="shared" si="0"/>
        <v>178200</v>
      </c>
      <c r="K7" s="231">
        <f t="shared" si="0"/>
        <v>1480907</v>
      </c>
      <c r="L7" s="216">
        <f>SUM(K7,G7)</f>
        <v>2449356</v>
      </c>
    </row>
    <row r="8" spans="1:12" ht="18" customHeight="1">
      <c r="A8" s="756" t="s">
        <v>800</v>
      </c>
      <c r="B8" s="600">
        <f>SUM('7.finanszírozás.'!C7)</f>
        <v>722422</v>
      </c>
      <c r="C8" s="728">
        <f>SUM('7.finanszírozás.'!C23)</f>
        <v>0</v>
      </c>
      <c r="D8" s="600"/>
      <c r="E8" s="600"/>
      <c r="F8" s="600">
        <f>SUM('2.működés'!E79)</f>
        <v>246027</v>
      </c>
      <c r="G8" s="600">
        <f>SUM(B8:F8)</f>
        <v>968449</v>
      </c>
      <c r="H8" s="600"/>
      <c r="I8" s="600">
        <f>SUM('3.felh'!C40)</f>
        <v>1095597</v>
      </c>
      <c r="J8" s="600"/>
      <c r="K8" s="600">
        <f>SUM(H8:J8)</f>
        <v>1095597</v>
      </c>
      <c r="L8" s="757">
        <f>SUM(K8,G8)</f>
        <v>2064046</v>
      </c>
    </row>
    <row r="9" spans="1:12" ht="18" customHeight="1">
      <c r="A9" s="758" t="s">
        <v>803</v>
      </c>
      <c r="B9" s="133"/>
      <c r="C9" s="133"/>
      <c r="D9" s="133"/>
      <c r="E9" s="133"/>
      <c r="F9" s="133"/>
      <c r="G9" s="133">
        <f>SUM(B9:F9)</f>
        <v>0</v>
      </c>
      <c r="H9" s="541">
        <f>SUM('3.felh'!C6)</f>
        <v>207110</v>
      </c>
      <c r="I9" s="135"/>
      <c r="J9" s="133">
        <f>SUM('3.felh'!C41)</f>
        <v>178200</v>
      </c>
      <c r="K9" s="133">
        <f>SUM(H9:J9)</f>
        <v>385310</v>
      </c>
      <c r="L9" s="759">
        <f>SUM(K9,G9)</f>
        <v>385310</v>
      </c>
    </row>
    <row r="10" spans="1:12" ht="18" customHeight="1" thickBot="1">
      <c r="A10" s="760" t="s">
        <v>139</v>
      </c>
      <c r="B10" s="229"/>
      <c r="C10" s="229"/>
      <c r="D10" s="229"/>
      <c r="E10" s="229"/>
      <c r="F10" s="229"/>
      <c r="G10" s="133">
        <f>SUM(B10:F10)</f>
        <v>0</v>
      </c>
      <c r="H10" s="229"/>
      <c r="I10" s="229"/>
      <c r="J10" s="229"/>
      <c r="K10" s="133">
        <f>SUM(H10:J10)</f>
        <v>0</v>
      </c>
      <c r="L10" s="759">
        <f>SUM(K10,G10)</f>
        <v>0</v>
      </c>
    </row>
    <row r="11" spans="1:12" ht="18.75" customHeight="1" thickBot="1">
      <c r="A11" s="214" t="s">
        <v>802</v>
      </c>
      <c r="B11" s="231">
        <f aca="true" t="shared" si="1" ref="B11:G11">SUM(B12)</f>
        <v>20863</v>
      </c>
      <c r="C11" s="231">
        <f t="shared" si="1"/>
        <v>100898</v>
      </c>
      <c r="D11" s="231">
        <f t="shared" si="1"/>
        <v>0</v>
      </c>
      <c r="E11" s="231">
        <f t="shared" si="1"/>
        <v>64304</v>
      </c>
      <c r="F11" s="231">
        <f t="shared" si="1"/>
        <v>19461</v>
      </c>
      <c r="G11" s="231">
        <f t="shared" si="1"/>
        <v>205526</v>
      </c>
      <c r="H11" s="231"/>
      <c r="I11" s="231"/>
      <c r="J11" s="231"/>
      <c r="K11" s="231"/>
      <c r="L11" s="216">
        <f>SUM(G11)</f>
        <v>205526</v>
      </c>
    </row>
    <row r="12" spans="1:12" ht="18.75" customHeight="1">
      <c r="A12" s="761" t="s">
        <v>800</v>
      </c>
      <c r="B12" s="133">
        <f>SUM('7.finanszírozás.'!D7)</f>
        <v>20863</v>
      </c>
      <c r="C12" s="133">
        <f>SUM('7.finanszírozás.'!D23)</f>
        <v>100898</v>
      </c>
      <c r="D12" s="133"/>
      <c r="E12" s="133">
        <f>SUM('7.finanszírozás.'!D27)</f>
        <v>64304</v>
      </c>
      <c r="F12" s="133">
        <f>SUM('7.finanszírozás.'!D19)</f>
        <v>19461</v>
      </c>
      <c r="G12" s="133">
        <f>SUM(B12:F12)</f>
        <v>205526</v>
      </c>
      <c r="H12" s="223"/>
      <c r="I12" s="223"/>
      <c r="J12" s="223"/>
      <c r="K12" s="223"/>
      <c r="L12" s="759">
        <f>SUM(G12)</f>
        <v>205526</v>
      </c>
    </row>
    <row r="13" spans="1:12" ht="18.75" customHeight="1">
      <c r="A13" s="758" t="s">
        <v>803</v>
      </c>
      <c r="B13" s="133"/>
      <c r="C13" s="133"/>
      <c r="D13" s="133"/>
      <c r="E13" s="133"/>
      <c r="F13" s="133"/>
      <c r="G13" s="135"/>
      <c r="H13" s="133"/>
      <c r="I13" s="133"/>
      <c r="J13" s="133"/>
      <c r="K13" s="133"/>
      <c r="L13" s="762"/>
    </row>
    <row r="14" spans="1:12" ht="18.75" customHeight="1" thickBot="1">
      <c r="A14" s="760" t="s">
        <v>139</v>
      </c>
      <c r="B14" s="133"/>
      <c r="C14" s="133"/>
      <c r="D14" s="133"/>
      <c r="E14" s="133"/>
      <c r="F14" s="133"/>
      <c r="G14" s="135"/>
      <c r="H14" s="133"/>
      <c r="I14" s="133"/>
      <c r="J14" s="133"/>
      <c r="K14" s="133"/>
      <c r="L14" s="762"/>
    </row>
    <row r="15" spans="1:12" ht="30" customHeight="1" thickBot="1">
      <c r="A15" s="232" t="s">
        <v>804</v>
      </c>
      <c r="B15" s="233">
        <f aca="true" t="shared" si="2" ref="B15:K15">SUM(B7+B11)</f>
        <v>743285</v>
      </c>
      <c r="C15" s="233">
        <f t="shared" si="2"/>
        <v>100898</v>
      </c>
      <c r="D15" s="233">
        <f t="shared" si="2"/>
        <v>0</v>
      </c>
      <c r="E15" s="233">
        <f t="shared" si="2"/>
        <v>64304</v>
      </c>
      <c r="F15" s="233">
        <f t="shared" si="2"/>
        <v>265488</v>
      </c>
      <c r="G15" s="233">
        <f t="shared" si="2"/>
        <v>1173975</v>
      </c>
      <c r="H15" s="233">
        <f t="shared" si="2"/>
        <v>207110</v>
      </c>
      <c r="I15" s="233">
        <f t="shared" si="2"/>
        <v>1095597</v>
      </c>
      <c r="J15" s="233">
        <f t="shared" si="2"/>
        <v>178200</v>
      </c>
      <c r="K15" s="233">
        <f t="shared" si="2"/>
        <v>1480907</v>
      </c>
      <c r="L15" s="234">
        <f>SUM(K15,G15)</f>
        <v>2654882</v>
      </c>
    </row>
    <row r="16" spans="1:12" ht="12.75" customHeight="1">
      <c r="A16" s="90" t="s">
        <v>570</v>
      </c>
      <c r="L16" s="128">
        <f>SUM('7.finanszírozás.'!F39)</f>
        <v>-165202</v>
      </c>
    </row>
    <row r="17" spans="1:12" ht="12.75" customHeight="1">
      <c r="A17" s="90" t="s">
        <v>578</v>
      </c>
      <c r="L17" s="526">
        <f>SUM(L15+L16)</f>
        <v>2489680</v>
      </c>
    </row>
    <row r="18" ht="12.75" customHeight="1">
      <c r="L18" s="138">
        <v>2489680</v>
      </c>
    </row>
    <row r="20" ht="12.75" customHeight="1">
      <c r="L20" s="128">
        <f>SUM(L17-L18)</f>
        <v>0</v>
      </c>
    </row>
  </sheetData>
  <sheetProtection/>
  <mergeCells count="15">
    <mergeCell ref="L4:L6"/>
    <mergeCell ref="B5:B6"/>
    <mergeCell ref="C5:D5"/>
    <mergeCell ref="E5:E6"/>
    <mergeCell ref="F5:F6"/>
    <mergeCell ref="G5:G6"/>
    <mergeCell ref="H5:H6"/>
    <mergeCell ref="I5:I6"/>
    <mergeCell ref="K5:K6"/>
    <mergeCell ref="J5:J6"/>
    <mergeCell ref="A1:L1"/>
    <mergeCell ref="A2:L2"/>
    <mergeCell ref="A4:A6"/>
    <mergeCell ref="B4:G4"/>
    <mergeCell ref="H4:K4"/>
  </mergeCells>
  <printOptions horizontalCentered="1"/>
  <pageMargins left="0.17" right="0.17" top="0.15748031496062992" bottom="0.15748031496062992" header="0.15748031496062992" footer="0.118110236220472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A3" sqref="A3"/>
    </sheetView>
  </sheetViews>
  <sheetFormatPr defaultColWidth="9.00390625" defaultRowHeight="12.75" customHeight="1"/>
  <cols>
    <col min="1" max="1" width="24.2539062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0.125" style="245" customWidth="1"/>
    <col min="8" max="8" width="9.875" style="128" customWidth="1"/>
    <col min="9" max="9" width="12.00390625" style="128" customWidth="1"/>
    <col min="10" max="12" width="12.25390625" style="128" customWidth="1"/>
    <col min="13" max="16384" width="9.125" style="90" customWidth="1"/>
  </cols>
  <sheetData>
    <row r="1" spans="1:24" ht="15" customHeight="1">
      <c r="A1" s="975" t="s">
        <v>310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" customHeight="1">
      <c r="A2" s="971" t="s">
        <v>511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13" ht="15" customHeight="1">
      <c r="A3" s="123"/>
      <c r="B3" s="124"/>
      <c r="C3" s="124"/>
      <c r="D3" s="124"/>
      <c r="E3" s="125"/>
      <c r="F3" s="125"/>
      <c r="G3" s="125"/>
      <c r="H3" s="126"/>
      <c r="I3" s="126"/>
      <c r="J3" s="127"/>
      <c r="K3" s="127"/>
      <c r="L3" s="127"/>
      <c r="M3" s="128"/>
    </row>
    <row r="4" spans="1:13" ht="12" customHeight="1" hidden="1">
      <c r="A4" s="129"/>
      <c r="B4" s="127"/>
      <c r="C4" s="127"/>
      <c r="D4" s="127"/>
      <c r="E4" s="127"/>
      <c r="F4" s="127"/>
      <c r="G4" s="243"/>
      <c r="H4" s="127"/>
      <c r="I4" s="127"/>
      <c r="J4" s="127"/>
      <c r="K4" s="127"/>
      <c r="L4" s="130" t="s">
        <v>0</v>
      </c>
      <c r="M4" s="128"/>
    </row>
    <row r="5" spans="1:12" ht="18" customHeight="1" hidden="1">
      <c r="A5" s="977" t="s">
        <v>49</v>
      </c>
      <c r="B5" s="978" t="s">
        <v>309</v>
      </c>
      <c r="C5" s="979"/>
      <c r="D5" s="979"/>
      <c r="E5" s="979"/>
      <c r="F5" s="979"/>
      <c r="G5" s="979"/>
      <c r="H5" s="979"/>
      <c r="I5" s="979"/>
      <c r="J5" s="979"/>
      <c r="K5" s="979"/>
      <c r="L5" s="980"/>
    </row>
    <row r="6" spans="1:12" ht="16.5" customHeight="1" hidden="1">
      <c r="A6" s="977"/>
      <c r="B6" s="977" t="s">
        <v>74</v>
      </c>
      <c r="C6" s="977"/>
      <c r="D6" s="977"/>
      <c r="E6" s="977"/>
      <c r="F6" s="977"/>
      <c r="G6" s="977"/>
      <c r="H6" s="977" t="s">
        <v>480</v>
      </c>
      <c r="I6" s="977"/>
      <c r="J6" s="977"/>
      <c r="K6" s="977"/>
      <c r="L6" s="977" t="s">
        <v>75</v>
      </c>
    </row>
    <row r="7" spans="1:12" ht="51" customHeight="1" hidden="1">
      <c r="A7" s="977"/>
      <c r="B7" s="977" t="s">
        <v>474</v>
      </c>
      <c r="C7" s="977" t="s">
        <v>473</v>
      </c>
      <c r="D7" s="977"/>
      <c r="E7" s="977" t="s">
        <v>76</v>
      </c>
      <c r="F7" s="977" t="s">
        <v>77</v>
      </c>
      <c r="G7" s="977" t="s">
        <v>7</v>
      </c>
      <c r="H7" s="977" t="s">
        <v>475</v>
      </c>
      <c r="I7" s="977" t="s">
        <v>476</v>
      </c>
      <c r="J7" s="977" t="s">
        <v>78</v>
      </c>
      <c r="K7" s="977" t="s">
        <v>12</v>
      </c>
      <c r="L7" s="977"/>
    </row>
    <row r="8" spans="1:12" ht="36" customHeight="1" hidden="1">
      <c r="A8" s="977"/>
      <c r="B8" s="977"/>
      <c r="C8" s="87" t="s">
        <v>79</v>
      </c>
      <c r="D8" s="87" t="s">
        <v>80</v>
      </c>
      <c r="E8" s="977"/>
      <c r="F8" s="977"/>
      <c r="G8" s="977"/>
      <c r="H8" s="977"/>
      <c r="I8" s="977"/>
      <c r="J8" s="977"/>
      <c r="K8" s="977"/>
      <c r="L8" s="977"/>
    </row>
    <row r="9" spans="1:12" ht="13.5" customHeight="1" hidden="1">
      <c r="A9" s="977"/>
      <c r="B9" s="220"/>
      <c r="C9" s="981"/>
      <c r="D9" s="981"/>
      <c r="E9" s="221"/>
      <c r="F9" s="221"/>
      <c r="G9" s="977"/>
      <c r="H9" s="220"/>
      <c r="I9" s="981"/>
      <c r="J9" s="981"/>
      <c r="K9" s="977"/>
      <c r="L9" s="977"/>
    </row>
    <row r="10" spans="1:12" ht="19.5" customHeight="1" hidden="1">
      <c r="A10" s="131" t="s">
        <v>49</v>
      </c>
      <c r="B10" s="134">
        <f aca="true" t="shared" si="0" ref="B10:G10">SUM(B11:B13)</f>
        <v>315023</v>
      </c>
      <c r="C10" s="134">
        <f t="shared" si="0"/>
        <v>272073</v>
      </c>
      <c r="D10" s="134">
        <f t="shared" si="0"/>
        <v>0</v>
      </c>
      <c r="E10" s="134">
        <f t="shared" si="0"/>
        <v>4000</v>
      </c>
      <c r="F10" s="134" t="e">
        <f t="shared" si="0"/>
        <v>#REF!</v>
      </c>
      <c r="G10" s="134" t="e">
        <f t="shared" si="0"/>
        <v>#REF!</v>
      </c>
      <c r="H10" s="134">
        <f>SUM(H11)</f>
        <v>281084</v>
      </c>
      <c r="I10" s="134">
        <f>SUM(I11)</f>
        <v>12026</v>
      </c>
      <c r="J10" s="134">
        <f>SUM(J11)</f>
        <v>100530</v>
      </c>
      <c r="K10" s="134">
        <f>SUM(K11)</f>
        <v>393640</v>
      </c>
      <c r="L10" s="134" t="e">
        <f>SUM(K10,G10)</f>
        <v>#REF!</v>
      </c>
    </row>
    <row r="11" spans="1:12" ht="19.5" customHeight="1" hidden="1">
      <c r="A11" s="236" t="s">
        <v>131</v>
      </c>
      <c r="B11" s="133"/>
      <c r="C11" s="133"/>
      <c r="D11" s="133"/>
      <c r="E11" s="133"/>
      <c r="F11" s="133"/>
      <c r="G11" s="133">
        <f>SUM(B11:F11)</f>
        <v>0</v>
      </c>
      <c r="H11" s="133">
        <v>281084</v>
      </c>
      <c r="I11" s="133">
        <v>12026</v>
      </c>
      <c r="J11" s="133">
        <v>100530</v>
      </c>
      <c r="K11" s="133">
        <f>SUM(H11:J11)</f>
        <v>393640</v>
      </c>
      <c r="L11" s="134">
        <f>SUM(K11,G11)</f>
        <v>393640</v>
      </c>
    </row>
    <row r="12" spans="1:12" ht="19.5" customHeight="1" hidden="1">
      <c r="A12" s="237" t="s">
        <v>130</v>
      </c>
      <c r="B12" s="133">
        <v>315023</v>
      </c>
      <c r="C12" s="133">
        <v>272073</v>
      </c>
      <c r="D12" s="133"/>
      <c r="E12" s="133">
        <v>4000</v>
      </c>
      <c r="F12" s="133" t="e">
        <f>SUM('2.működés'!#REF!)</f>
        <v>#REF!</v>
      </c>
      <c r="G12" s="135" t="e">
        <f>SUM(B12:F12)</f>
        <v>#REF!</v>
      </c>
      <c r="H12" s="135"/>
      <c r="I12" s="135"/>
      <c r="J12" s="135"/>
      <c r="K12" s="135"/>
      <c r="L12" s="134" t="e">
        <f>SUM(K12,G12)</f>
        <v>#REF!</v>
      </c>
    </row>
    <row r="13" spans="1:12" ht="19.5" customHeight="1" hidden="1" thickBot="1">
      <c r="A13" s="32" t="s">
        <v>139</v>
      </c>
      <c r="B13" s="229"/>
      <c r="C13" s="229"/>
      <c r="D13" s="229"/>
      <c r="E13" s="229"/>
      <c r="F13" s="229"/>
      <c r="G13" s="133">
        <f>SUM(B13:F13)</f>
        <v>0</v>
      </c>
      <c r="H13" s="229"/>
      <c r="I13" s="229"/>
      <c r="J13" s="229"/>
      <c r="K13" s="229"/>
      <c r="L13" s="134">
        <f>SUM(K13,G13)</f>
        <v>0</v>
      </c>
    </row>
    <row r="14" spans="1:12" ht="19.5" customHeight="1" hidden="1" thickBot="1">
      <c r="A14" s="214" t="s">
        <v>50</v>
      </c>
      <c r="B14" s="231">
        <f>SUM(B15+B19+B23)</f>
        <v>5300</v>
      </c>
      <c r="C14" s="231">
        <f>SUM(C15+C19+C23)</f>
        <v>118951</v>
      </c>
      <c r="D14" s="231"/>
      <c r="E14" s="231">
        <f>SUM(E15+E19+E23)</f>
        <v>29569</v>
      </c>
      <c r="F14" s="231"/>
      <c r="G14" s="231">
        <f>SUM(G15+G19+G23)</f>
        <v>153820</v>
      </c>
      <c r="H14" s="231"/>
      <c r="I14" s="231"/>
      <c r="J14" s="231"/>
      <c r="K14" s="231"/>
      <c r="L14" s="216">
        <f>SUM(G14)</f>
        <v>153820</v>
      </c>
    </row>
    <row r="15" spans="1:12" ht="19.5" customHeight="1" hidden="1">
      <c r="A15" s="227" t="s">
        <v>51</v>
      </c>
      <c r="B15" s="132">
        <f aca="true" t="shared" si="1" ref="B15:G15">SUM(B16)</f>
        <v>800</v>
      </c>
      <c r="C15" s="132">
        <f t="shared" si="1"/>
        <v>101035</v>
      </c>
      <c r="D15" s="132">
        <f t="shared" si="1"/>
        <v>0</v>
      </c>
      <c r="E15" s="132">
        <f t="shared" si="1"/>
        <v>26969</v>
      </c>
      <c r="F15" s="132">
        <f t="shared" si="1"/>
        <v>0</v>
      </c>
      <c r="G15" s="132">
        <f t="shared" si="1"/>
        <v>128804</v>
      </c>
      <c r="H15" s="230"/>
      <c r="I15" s="230"/>
      <c r="J15" s="230"/>
      <c r="K15" s="230"/>
      <c r="L15" s="230">
        <f>SUM(G15)</f>
        <v>128804</v>
      </c>
    </row>
    <row r="16" spans="1:12" ht="19.5" customHeight="1" hidden="1">
      <c r="A16" s="236" t="s">
        <v>130</v>
      </c>
      <c r="B16" s="133">
        <v>800</v>
      </c>
      <c r="C16" s="133">
        <v>101035</v>
      </c>
      <c r="D16" s="133"/>
      <c r="E16" s="133">
        <v>26969</v>
      </c>
      <c r="F16" s="133"/>
      <c r="G16" s="133">
        <f>SUM(B16:F16)</f>
        <v>128804</v>
      </c>
      <c r="H16" s="223"/>
      <c r="I16" s="223"/>
      <c r="J16" s="223"/>
      <c r="K16" s="223"/>
      <c r="L16" s="223">
        <f>SUM(G16)</f>
        <v>128804</v>
      </c>
    </row>
    <row r="17" spans="1:12" ht="19.5" customHeight="1" hidden="1">
      <c r="A17" s="237" t="s">
        <v>131</v>
      </c>
      <c r="B17" s="133"/>
      <c r="C17" s="133"/>
      <c r="D17" s="133"/>
      <c r="E17" s="133"/>
      <c r="F17" s="133"/>
      <c r="G17" s="135"/>
      <c r="H17" s="133"/>
      <c r="I17" s="133"/>
      <c r="J17" s="133"/>
      <c r="K17" s="133"/>
      <c r="L17" s="222"/>
    </row>
    <row r="18" spans="1:12" ht="19.5" customHeight="1" hidden="1">
      <c r="A18" s="32" t="s">
        <v>139</v>
      </c>
      <c r="B18" s="133"/>
      <c r="C18" s="133"/>
      <c r="D18" s="133"/>
      <c r="E18" s="133"/>
      <c r="F18" s="133"/>
      <c r="G18" s="135"/>
      <c r="H18" s="133"/>
      <c r="I18" s="133"/>
      <c r="J18" s="133"/>
      <c r="K18" s="133"/>
      <c r="L18" s="222"/>
    </row>
    <row r="19" spans="1:13" ht="19.5" customHeight="1" hidden="1">
      <c r="A19" s="226" t="s">
        <v>52</v>
      </c>
      <c r="B19" s="134">
        <f aca="true" t="shared" si="2" ref="B19:G19">SUM(B20)</f>
        <v>4000</v>
      </c>
      <c r="C19" s="134">
        <f t="shared" si="2"/>
        <v>2706</v>
      </c>
      <c r="D19" s="134">
        <f t="shared" si="2"/>
        <v>0</v>
      </c>
      <c r="E19" s="134">
        <f t="shared" si="2"/>
        <v>2600</v>
      </c>
      <c r="F19" s="134">
        <f t="shared" si="2"/>
        <v>0</v>
      </c>
      <c r="G19" s="134">
        <f t="shared" si="2"/>
        <v>9306</v>
      </c>
      <c r="H19" s="134"/>
      <c r="I19" s="134"/>
      <c r="J19" s="134"/>
      <c r="K19" s="134"/>
      <c r="L19" s="136">
        <f>SUM(G19)</f>
        <v>9306</v>
      </c>
      <c r="M19" s="137"/>
    </row>
    <row r="20" spans="1:12" ht="19.5" customHeight="1" hidden="1">
      <c r="A20" s="236" t="s">
        <v>130</v>
      </c>
      <c r="B20" s="133">
        <v>4000</v>
      </c>
      <c r="C20" s="133">
        <v>2706</v>
      </c>
      <c r="D20" s="133"/>
      <c r="E20" s="133">
        <v>2600</v>
      </c>
      <c r="F20" s="133"/>
      <c r="G20" s="133">
        <f>SUM(B20:F20)</f>
        <v>9306</v>
      </c>
      <c r="H20" s="133"/>
      <c r="I20" s="133"/>
      <c r="J20" s="133"/>
      <c r="K20" s="133"/>
      <c r="L20" s="223">
        <f>SUM(G20)</f>
        <v>9306</v>
      </c>
    </row>
    <row r="21" spans="1:12" ht="19.5" customHeight="1" hidden="1">
      <c r="A21" s="237" t="s">
        <v>131</v>
      </c>
      <c r="B21" s="133"/>
      <c r="C21" s="133"/>
      <c r="D21" s="133"/>
      <c r="E21" s="133"/>
      <c r="F21" s="133"/>
      <c r="G21" s="135"/>
      <c r="H21" s="133"/>
      <c r="I21" s="133"/>
      <c r="J21" s="133"/>
      <c r="K21" s="133"/>
      <c r="L21" s="222"/>
    </row>
    <row r="22" spans="1:12" ht="19.5" customHeight="1" hidden="1">
      <c r="A22" s="32" t="s">
        <v>139</v>
      </c>
      <c r="B22" s="133"/>
      <c r="C22" s="133"/>
      <c r="D22" s="133"/>
      <c r="E22" s="133"/>
      <c r="F22" s="133"/>
      <c r="G22" s="135"/>
      <c r="H22" s="133"/>
      <c r="I22" s="133"/>
      <c r="J22" s="133"/>
      <c r="K22" s="133"/>
      <c r="L22" s="222"/>
    </row>
    <row r="23" spans="1:12" ht="19.5" customHeight="1" hidden="1">
      <c r="A23" s="228" t="s">
        <v>53</v>
      </c>
      <c r="B23" s="134">
        <f>SUM(B24)</f>
        <v>500</v>
      </c>
      <c r="C23" s="134">
        <f>SUM(C24)</f>
        <v>15210</v>
      </c>
      <c r="D23" s="134"/>
      <c r="E23" s="134"/>
      <c r="F23" s="134"/>
      <c r="G23" s="134">
        <f>SUM(G24)</f>
        <v>15710</v>
      </c>
      <c r="H23" s="134"/>
      <c r="I23" s="134"/>
      <c r="J23" s="134"/>
      <c r="K23" s="134"/>
      <c r="L23" s="136">
        <f>SUM(G23)</f>
        <v>15710</v>
      </c>
    </row>
    <row r="24" spans="1:12" ht="19.5" customHeight="1" hidden="1">
      <c r="A24" s="236" t="s">
        <v>130</v>
      </c>
      <c r="B24" s="133">
        <v>500</v>
      </c>
      <c r="C24" s="133">
        <v>15210</v>
      </c>
      <c r="D24" s="133"/>
      <c r="E24" s="133"/>
      <c r="F24" s="133"/>
      <c r="G24" s="133">
        <f>SUM(B24:F24)</f>
        <v>15710</v>
      </c>
      <c r="H24" s="133"/>
      <c r="I24" s="133"/>
      <c r="J24" s="133"/>
      <c r="K24" s="133"/>
      <c r="L24" s="223">
        <f>SUM(G24)</f>
        <v>15710</v>
      </c>
    </row>
    <row r="25" spans="1:12" ht="19.5" customHeight="1" hidden="1">
      <c r="A25" s="237" t="s">
        <v>131</v>
      </c>
      <c r="B25" s="133"/>
      <c r="C25" s="133"/>
      <c r="D25" s="133"/>
      <c r="E25" s="133"/>
      <c r="F25" s="133"/>
      <c r="G25" s="135"/>
      <c r="H25" s="133"/>
      <c r="I25" s="133"/>
      <c r="J25" s="133"/>
      <c r="K25" s="133"/>
      <c r="L25" s="222"/>
    </row>
    <row r="26" spans="1:12" ht="19.5" customHeight="1" hidden="1" thickBot="1">
      <c r="A26" s="32" t="s">
        <v>139</v>
      </c>
      <c r="B26" s="224"/>
      <c r="C26" s="224"/>
      <c r="D26" s="224"/>
      <c r="E26" s="224"/>
      <c r="F26" s="224"/>
      <c r="G26" s="229"/>
      <c r="H26" s="224"/>
      <c r="I26" s="224"/>
      <c r="J26" s="224"/>
      <c r="K26" s="224"/>
      <c r="L26" s="225"/>
    </row>
    <row r="27" spans="1:12" ht="30" customHeight="1" hidden="1" thickBot="1">
      <c r="A27" s="232" t="s">
        <v>54</v>
      </c>
      <c r="B27" s="233">
        <f aca="true" t="shared" si="3" ref="B27:J27">SUM(B10+B14)</f>
        <v>320323</v>
      </c>
      <c r="C27" s="233">
        <f t="shared" si="3"/>
        <v>391024</v>
      </c>
      <c r="D27" s="233">
        <f t="shared" si="3"/>
        <v>0</v>
      </c>
      <c r="E27" s="233">
        <f t="shared" si="3"/>
        <v>33569</v>
      </c>
      <c r="F27" s="233" t="e">
        <f t="shared" si="3"/>
        <v>#REF!</v>
      </c>
      <c r="G27" s="233" t="e">
        <f t="shared" si="3"/>
        <v>#REF!</v>
      </c>
      <c r="H27" s="233">
        <f t="shared" si="3"/>
        <v>281084</v>
      </c>
      <c r="I27" s="233">
        <f t="shared" si="3"/>
        <v>12026</v>
      </c>
      <c r="J27" s="233">
        <f t="shared" si="3"/>
        <v>100530</v>
      </c>
      <c r="K27" s="233">
        <f>SUM(K10)</f>
        <v>393640</v>
      </c>
      <c r="L27" s="234" t="e">
        <f>SUM(K27,G27)</f>
        <v>#REF!</v>
      </c>
    </row>
    <row r="28" spans="7:12" ht="12.75" customHeight="1" hidden="1">
      <c r="G28" s="244" t="e">
        <f>SUM(B27:F27)</f>
        <v>#REF!</v>
      </c>
      <c r="H28" s="138"/>
      <c r="I28" s="138"/>
      <c r="J28" s="138"/>
      <c r="K28" s="138"/>
      <c r="L28" s="138" t="e">
        <f>SUM(L10+L14)</f>
        <v>#REF!</v>
      </c>
    </row>
    <row r="30" spans="1:12" ht="18" customHeight="1">
      <c r="A30" s="977" t="s">
        <v>49</v>
      </c>
      <c r="B30" s="978" t="s">
        <v>644</v>
      </c>
      <c r="C30" s="979"/>
      <c r="D30" s="979"/>
      <c r="E30" s="979"/>
      <c r="F30" s="979"/>
      <c r="G30" s="979"/>
      <c r="H30" s="979"/>
      <c r="I30" s="979"/>
      <c r="J30" s="979"/>
      <c r="K30" s="979"/>
      <c r="L30" s="980"/>
    </row>
    <row r="31" spans="1:12" ht="16.5" customHeight="1">
      <c r="A31" s="977"/>
      <c r="B31" s="977" t="s">
        <v>74</v>
      </c>
      <c r="C31" s="977"/>
      <c r="D31" s="977"/>
      <c r="E31" s="977"/>
      <c r="F31" s="977"/>
      <c r="G31" s="977"/>
      <c r="H31" s="977" t="s">
        <v>480</v>
      </c>
      <c r="I31" s="977"/>
      <c r="J31" s="977"/>
      <c r="K31" s="977"/>
      <c r="L31" s="977" t="s">
        <v>75</v>
      </c>
    </row>
    <row r="32" spans="1:12" ht="51" customHeight="1">
      <c r="A32" s="977"/>
      <c r="B32" s="977" t="s">
        <v>474</v>
      </c>
      <c r="C32" s="977" t="s">
        <v>571</v>
      </c>
      <c r="D32" s="977"/>
      <c r="E32" s="982" t="s">
        <v>575</v>
      </c>
      <c r="F32" s="977" t="s">
        <v>628</v>
      </c>
      <c r="G32" s="977" t="s">
        <v>7</v>
      </c>
      <c r="H32" s="977" t="s">
        <v>495</v>
      </c>
      <c r="I32" s="977" t="s">
        <v>476</v>
      </c>
      <c r="J32" s="977" t="s">
        <v>631</v>
      </c>
      <c r="K32" s="977" t="s">
        <v>12</v>
      </c>
      <c r="L32" s="977"/>
    </row>
    <row r="33" spans="1:12" ht="36" customHeight="1">
      <c r="A33" s="977"/>
      <c r="B33" s="977"/>
      <c r="C33" s="87" t="s">
        <v>79</v>
      </c>
      <c r="D33" s="87" t="s">
        <v>80</v>
      </c>
      <c r="E33" s="983"/>
      <c r="F33" s="977"/>
      <c r="G33" s="977"/>
      <c r="H33" s="977"/>
      <c r="I33" s="977"/>
      <c r="J33" s="977"/>
      <c r="K33" s="977"/>
      <c r="L33" s="977"/>
    </row>
    <row r="34" spans="1:12" ht="13.5" customHeight="1">
      <c r="A34" s="977"/>
      <c r="B34" s="220"/>
      <c r="C34" s="981"/>
      <c r="D34" s="981"/>
      <c r="E34" s="221"/>
      <c r="F34" s="221"/>
      <c r="G34" s="977"/>
      <c r="H34" s="220"/>
      <c r="I34" s="981"/>
      <c r="J34" s="981"/>
      <c r="K34" s="977"/>
      <c r="L34" s="977"/>
    </row>
    <row r="35" spans="1:12" ht="19.5" customHeight="1">
      <c r="A35" s="131" t="s">
        <v>49</v>
      </c>
      <c r="B35" s="134">
        <f aca="true" t="shared" si="4" ref="B35:G35">SUM(B36:B38)</f>
        <v>816487</v>
      </c>
      <c r="C35" s="134">
        <f t="shared" si="4"/>
        <v>0</v>
      </c>
      <c r="D35" s="134">
        <f t="shared" si="4"/>
        <v>0</v>
      </c>
      <c r="E35" s="134">
        <f t="shared" si="4"/>
        <v>0</v>
      </c>
      <c r="F35" s="134">
        <f t="shared" si="4"/>
        <v>134067</v>
      </c>
      <c r="G35" s="134">
        <f t="shared" si="4"/>
        <v>950554</v>
      </c>
      <c r="H35" s="134" t="e">
        <f>SUM(H36:H38)</f>
        <v>#REF!</v>
      </c>
      <c r="I35" s="134" t="e">
        <f>SUM(I36:I38)</f>
        <v>#REF!</v>
      </c>
      <c r="J35" s="134">
        <f>SUM(J36:J38)</f>
        <v>0</v>
      </c>
      <c r="K35" s="134" t="e">
        <f>SUM(K36:K38)</f>
        <v>#REF!</v>
      </c>
      <c r="L35" s="134" t="e">
        <f>SUM(K35,G35)</f>
        <v>#REF!</v>
      </c>
    </row>
    <row r="36" spans="1:12" ht="19.5" customHeight="1">
      <c r="A36" s="236" t="s">
        <v>130</v>
      </c>
      <c r="B36" s="133">
        <f>'7.finanszírozás jav. mód..'!C9</f>
        <v>816487</v>
      </c>
      <c r="C36" s="542"/>
      <c r="D36" s="133"/>
      <c r="E36" s="133"/>
      <c r="F36" s="133">
        <f>'7.finanszírozás jav. mód..'!C20</f>
        <v>134067</v>
      </c>
      <c r="G36" s="133">
        <f>SUM(B36:F36)</f>
        <v>950554</v>
      </c>
      <c r="H36" s="133" t="e">
        <f>'3.felh'!#REF!</f>
        <v>#REF!</v>
      </c>
      <c r="I36" s="133" t="e">
        <f>'3.felh'!#REF!</f>
        <v>#REF!</v>
      </c>
      <c r="J36" s="133"/>
      <c r="K36" s="133" t="e">
        <f>SUM(H36:J36)</f>
        <v>#REF!</v>
      </c>
      <c r="L36" s="135" t="e">
        <f>SUM(K36,G36)</f>
        <v>#REF!</v>
      </c>
    </row>
    <row r="37" spans="1:12" ht="19.5" customHeight="1">
      <c r="A37" s="237" t="s">
        <v>131</v>
      </c>
      <c r="B37" s="133"/>
      <c r="C37" s="133"/>
      <c r="D37" s="133"/>
      <c r="E37" s="133"/>
      <c r="F37" s="133"/>
      <c r="G37" s="135">
        <f>SUM(B37:F37)</f>
        <v>0</v>
      </c>
      <c r="H37" s="135"/>
      <c r="I37" s="541" t="e">
        <f>SUM('3.felh'!#REF!)</f>
        <v>#REF!</v>
      </c>
      <c r="J37" s="135"/>
      <c r="K37" s="133" t="e">
        <f>SUM(H37:J37)</f>
        <v>#REF!</v>
      </c>
      <c r="L37" s="135" t="e">
        <f>SUM(K37,G37)</f>
        <v>#REF!</v>
      </c>
    </row>
    <row r="38" spans="1:12" ht="19.5" customHeight="1" thickBot="1">
      <c r="A38" s="32" t="s">
        <v>139</v>
      </c>
      <c r="B38" s="229"/>
      <c r="C38" s="229"/>
      <c r="D38" s="229"/>
      <c r="E38" s="229"/>
      <c r="F38" s="229"/>
      <c r="G38" s="133">
        <f>SUM(B38:F38)</f>
        <v>0</v>
      </c>
      <c r="H38" s="229"/>
      <c r="I38" s="229"/>
      <c r="J38" s="229"/>
      <c r="K38" s="229"/>
      <c r="L38" s="135">
        <f>SUM(K38,G38)</f>
        <v>0</v>
      </c>
    </row>
    <row r="39" spans="1:12" ht="19.5" customHeight="1" thickBot="1">
      <c r="A39" s="214" t="s">
        <v>50</v>
      </c>
      <c r="B39" s="231" t="e">
        <f>SUM(B40+B44+B48)</f>
        <v>#REF!</v>
      </c>
      <c r="C39" s="231" t="e">
        <f>SUM(C40+C44+C48)</f>
        <v>#REF!</v>
      </c>
      <c r="D39" s="231"/>
      <c r="E39" s="231">
        <f>SUM(E40+E44+E48)</f>
        <v>115106</v>
      </c>
      <c r="F39" s="231" t="e">
        <f>SUM(F40+F44+F48)</f>
        <v>#REF!</v>
      </c>
      <c r="G39" s="231" t="e">
        <f>SUM(G40+G44+G48)</f>
        <v>#REF!</v>
      </c>
      <c r="H39" s="231"/>
      <c r="I39" s="231"/>
      <c r="J39" s="231"/>
      <c r="K39" s="231"/>
      <c r="L39" s="216" t="e">
        <f>SUM(G39)</f>
        <v>#REF!</v>
      </c>
    </row>
    <row r="40" spans="1:12" ht="19.5" customHeight="1">
      <c r="A40" s="227" t="s">
        <v>51</v>
      </c>
      <c r="B40" s="132" t="e">
        <f aca="true" t="shared" si="5" ref="B40:G40">SUM(B41)</f>
        <v>#REF!</v>
      </c>
      <c r="C40" s="132" t="e">
        <f t="shared" si="5"/>
        <v>#REF!</v>
      </c>
      <c r="D40" s="132">
        <f t="shared" si="5"/>
        <v>0</v>
      </c>
      <c r="E40" s="132">
        <f t="shared" si="5"/>
        <v>39689</v>
      </c>
      <c r="F40" s="132" t="e">
        <f t="shared" si="5"/>
        <v>#REF!</v>
      </c>
      <c r="G40" s="132" t="e">
        <f t="shared" si="5"/>
        <v>#REF!</v>
      </c>
      <c r="H40" s="230"/>
      <c r="I40" s="230"/>
      <c r="J40" s="230"/>
      <c r="K40" s="230"/>
      <c r="L40" s="230" t="e">
        <f>SUM(G40)</f>
        <v>#REF!</v>
      </c>
    </row>
    <row r="41" spans="1:12" ht="19.5" customHeight="1">
      <c r="A41" s="236" t="s">
        <v>130</v>
      </c>
      <c r="B41" s="133" t="e">
        <f>'7.finanszírozás jav. mód..'!D9</f>
        <v>#REF!</v>
      </c>
      <c r="C41" s="133" t="e">
        <f>'7.finanszírozás jav. mód..'!D24</f>
        <v>#REF!</v>
      </c>
      <c r="D41" s="133"/>
      <c r="E41" s="133">
        <f>'7.finanszírozás jav. mód..'!D29</f>
        <v>39689</v>
      </c>
      <c r="F41" s="133" t="e">
        <f>'7.finanszírozás jav. mód..'!D20</f>
        <v>#REF!</v>
      </c>
      <c r="G41" s="133" t="e">
        <f>SUM(B41:F41)</f>
        <v>#REF!</v>
      </c>
      <c r="H41" s="223"/>
      <c r="I41" s="223"/>
      <c r="J41" s="223"/>
      <c r="K41" s="223"/>
      <c r="L41" s="223" t="e">
        <f>SUM(G41)</f>
        <v>#REF!</v>
      </c>
    </row>
    <row r="42" spans="1:12" ht="19.5" customHeight="1">
      <c r="A42" s="237" t="s">
        <v>131</v>
      </c>
      <c r="B42" s="133"/>
      <c r="C42" s="133"/>
      <c r="D42" s="133"/>
      <c r="E42" s="133"/>
      <c r="F42" s="133"/>
      <c r="G42" s="135"/>
      <c r="H42" s="133"/>
      <c r="I42" s="133"/>
      <c r="J42" s="133"/>
      <c r="K42" s="133"/>
      <c r="L42" s="222"/>
    </row>
    <row r="43" spans="1:12" ht="19.5" customHeight="1">
      <c r="A43" s="32" t="s">
        <v>139</v>
      </c>
      <c r="B43" s="133"/>
      <c r="C43" s="133"/>
      <c r="D43" s="133"/>
      <c r="E43" s="133"/>
      <c r="F43" s="133"/>
      <c r="G43" s="135"/>
      <c r="H43" s="133"/>
      <c r="I43" s="133"/>
      <c r="J43" s="133"/>
      <c r="K43" s="133"/>
      <c r="L43" s="222"/>
    </row>
    <row r="44" spans="1:13" ht="19.5" customHeight="1">
      <c r="A44" s="226" t="s">
        <v>52</v>
      </c>
      <c r="B44" s="134" t="e">
        <f aca="true" t="shared" si="6" ref="B44:G44">SUM(B45)</f>
        <v>#REF!</v>
      </c>
      <c r="C44" s="134" t="e">
        <f t="shared" si="6"/>
        <v>#REF!</v>
      </c>
      <c r="D44" s="134">
        <f t="shared" si="6"/>
        <v>0</v>
      </c>
      <c r="E44" s="134">
        <f t="shared" si="6"/>
        <v>4632</v>
      </c>
      <c r="F44" s="134" t="e">
        <f t="shared" si="6"/>
        <v>#REF!</v>
      </c>
      <c r="G44" s="134" t="e">
        <f t="shared" si="6"/>
        <v>#REF!</v>
      </c>
      <c r="H44" s="134"/>
      <c r="I44" s="134"/>
      <c r="J44" s="134"/>
      <c r="K44" s="134"/>
      <c r="L44" s="136" t="e">
        <f>SUM(G44)</f>
        <v>#REF!</v>
      </c>
      <c r="M44" s="137"/>
    </row>
    <row r="45" spans="1:12" ht="19.5" customHeight="1">
      <c r="A45" s="236" t="s">
        <v>130</v>
      </c>
      <c r="B45" s="133" t="e">
        <f>'7.finanszírozás jav. mód..'!E9</f>
        <v>#REF!</v>
      </c>
      <c r="C45" s="541" t="e">
        <f>'7.finanszírozás jav. mód..'!E24</f>
        <v>#REF!</v>
      </c>
      <c r="D45" s="541"/>
      <c r="E45" s="541">
        <f>'7.finanszírozás jav. mód..'!E29</f>
        <v>4632</v>
      </c>
      <c r="F45" s="133" t="e">
        <f>'7.finanszírozás jav. mód..'!E20</f>
        <v>#REF!</v>
      </c>
      <c r="G45" s="133" t="e">
        <f>SUM(B45:F45)</f>
        <v>#REF!</v>
      </c>
      <c r="H45" s="133"/>
      <c r="I45" s="133"/>
      <c r="J45" s="133"/>
      <c r="K45" s="133"/>
      <c r="L45" s="223" t="e">
        <f>SUM(G45)</f>
        <v>#REF!</v>
      </c>
    </row>
    <row r="46" spans="1:12" ht="19.5" customHeight="1">
      <c r="A46" s="237" t="s">
        <v>131</v>
      </c>
      <c r="B46" s="133"/>
      <c r="C46" s="133"/>
      <c r="D46" s="133"/>
      <c r="E46" s="133"/>
      <c r="F46" s="133"/>
      <c r="G46" s="135"/>
      <c r="H46" s="133"/>
      <c r="I46" s="133"/>
      <c r="J46" s="133"/>
      <c r="K46" s="133"/>
      <c r="L46" s="222"/>
    </row>
    <row r="47" spans="1:12" ht="19.5" customHeight="1">
      <c r="A47" s="32" t="s">
        <v>139</v>
      </c>
      <c r="B47" s="133"/>
      <c r="C47" s="133"/>
      <c r="D47" s="133"/>
      <c r="E47" s="133"/>
      <c r="F47" s="133"/>
      <c r="G47" s="135"/>
      <c r="H47" s="133"/>
      <c r="I47" s="133"/>
      <c r="J47" s="133"/>
      <c r="K47" s="133"/>
      <c r="L47" s="222"/>
    </row>
    <row r="48" spans="1:12" ht="19.5" customHeight="1">
      <c r="A48" s="228" t="s">
        <v>53</v>
      </c>
      <c r="B48" s="134" t="e">
        <f aca="true" t="shared" si="7" ref="B48:G48">SUM(B49)</f>
        <v>#REF!</v>
      </c>
      <c r="C48" s="134" t="e">
        <f t="shared" si="7"/>
        <v>#REF!</v>
      </c>
      <c r="D48" s="134">
        <f t="shared" si="7"/>
        <v>0</v>
      </c>
      <c r="E48" s="134">
        <f t="shared" si="7"/>
        <v>70785</v>
      </c>
      <c r="F48" s="134" t="e">
        <f t="shared" si="7"/>
        <v>#REF!</v>
      </c>
      <c r="G48" s="134" t="e">
        <f t="shared" si="7"/>
        <v>#REF!</v>
      </c>
      <c r="H48" s="134"/>
      <c r="I48" s="134"/>
      <c r="J48" s="134"/>
      <c r="K48" s="134"/>
      <c r="L48" s="136" t="e">
        <f>SUM(G48)</f>
        <v>#REF!</v>
      </c>
    </row>
    <row r="49" spans="1:12" ht="19.5" customHeight="1">
      <c r="A49" s="236" t="s">
        <v>130</v>
      </c>
      <c r="B49" s="133" t="e">
        <f>'7.finanszírozás jav. mód..'!F9</f>
        <v>#REF!</v>
      </c>
      <c r="C49" s="133" t="e">
        <f>'7.finanszírozás jav. mód..'!F24</f>
        <v>#REF!</v>
      </c>
      <c r="D49" s="133"/>
      <c r="E49" s="133">
        <f>'7.finanszírozás jav. mód..'!F29</f>
        <v>70785</v>
      </c>
      <c r="F49" s="133" t="e">
        <f>'7.finanszírozás jav. mód..'!F20</f>
        <v>#REF!</v>
      </c>
      <c r="G49" s="133" t="e">
        <f>SUM(B49:F49)</f>
        <v>#REF!</v>
      </c>
      <c r="H49" s="133"/>
      <c r="I49" s="133"/>
      <c r="J49" s="133"/>
      <c r="K49" s="133"/>
      <c r="L49" s="223" t="e">
        <f>SUM(G49)</f>
        <v>#REF!</v>
      </c>
    </row>
    <row r="50" spans="1:12" ht="19.5" customHeight="1">
      <c r="A50" s="237" t="s">
        <v>131</v>
      </c>
      <c r="B50" s="133"/>
      <c r="C50" s="133"/>
      <c r="D50" s="133"/>
      <c r="E50" s="133"/>
      <c r="F50" s="133"/>
      <c r="G50" s="135"/>
      <c r="H50" s="133"/>
      <c r="I50" s="133"/>
      <c r="J50" s="133"/>
      <c r="K50" s="133"/>
      <c r="L50" s="222"/>
    </row>
    <row r="51" spans="1:12" ht="19.5" customHeight="1" thickBot="1">
      <c r="A51" s="32" t="s">
        <v>139</v>
      </c>
      <c r="B51" s="224"/>
      <c r="C51" s="224"/>
      <c r="D51" s="224"/>
      <c r="E51" s="224"/>
      <c r="F51" s="224"/>
      <c r="G51" s="229"/>
      <c r="H51" s="224"/>
      <c r="I51" s="224"/>
      <c r="J51" s="224"/>
      <c r="K51" s="224"/>
      <c r="L51" s="225"/>
    </row>
    <row r="52" spans="1:12" ht="30" customHeight="1" thickBot="1">
      <c r="A52" s="232" t="s">
        <v>54</v>
      </c>
      <c r="B52" s="233" t="e">
        <f aca="true" t="shared" si="8" ref="B52:J52">SUM(B35+B39)</f>
        <v>#REF!</v>
      </c>
      <c r="C52" s="233" t="e">
        <f t="shared" si="8"/>
        <v>#REF!</v>
      </c>
      <c r="D52" s="233">
        <f t="shared" si="8"/>
        <v>0</v>
      </c>
      <c r="E52" s="233">
        <f t="shared" si="8"/>
        <v>115106</v>
      </c>
      <c r="F52" s="233" t="e">
        <f t="shared" si="8"/>
        <v>#REF!</v>
      </c>
      <c r="G52" s="233" t="e">
        <f t="shared" si="8"/>
        <v>#REF!</v>
      </c>
      <c r="H52" s="233" t="e">
        <f t="shared" si="8"/>
        <v>#REF!</v>
      </c>
      <c r="I52" s="233" t="e">
        <f t="shared" si="8"/>
        <v>#REF!</v>
      </c>
      <c r="J52" s="233">
        <f t="shared" si="8"/>
        <v>0</v>
      </c>
      <c r="K52" s="233" t="e">
        <f>SUM(K35)</f>
        <v>#REF!</v>
      </c>
      <c r="L52" s="234" t="e">
        <f>SUM(K52,G52)</f>
        <v>#REF!</v>
      </c>
    </row>
    <row r="53" spans="1:12" ht="12.75" customHeight="1">
      <c r="A53" s="90" t="s">
        <v>570</v>
      </c>
      <c r="L53" s="128" t="e">
        <f>SUM('7.finanszírozás jav. mód..'!H38)</f>
        <v>#REF!</v>
      </c>
    </row>
    <row r="54" spans="1:12" ht="12.75" customHeight="1">
      <c r="A54" s="90" t="s">
        <v>578</v>
      </c>
      <c r="L54" s="245" t="e">
        <f>SUM(L52+L53)</f>
        <v>#REF!</v>
      </c>
    </row>
    <row r="56" spans="1:12" ht="22.5" customHeight="1" hidden="1">
      <c r="A56" s="977" t="s">
        <v>49</v>
      </c>
      <c r="B56" s="978" t="s">
        <v>637</v>
      </c>
      <c r="C56" s="979"/>
      <c r="D56" s="979"/>
      <c r="E56" s="979"/>
      <c r="F56" s="979"/>
      <c r="G56" s="979"/>
      <c r="H56" s="979"/>
      <c r="I56" s="979"/>
      <c r="J56" s="979"/>
      <c r="K56" s="979"/>
      <c r="L56" s="980"/>
    </row>
    <row r="57" spans="1:12" ht="17.25" customHeight="1" hidden="1">
      <c r="A57" s="977"/>
      <c r="B57" s="977" t="s">
        <v>74</v>
      </c>
      <c r="C57" s="977"/>
      <c r="D57" s="977"/>
      <c r="E57" s="977"/>
      <c r="F57" s="977"/>
      <c r="G57" s="977"/>
      <c r="H57" s="977" t="s">
        <v>480</v>
      </c>
      <c r="I57" s="977"/>
      <c r="J57" s="977"/>
      <c r="K57" s="977"/>
      <c r="L57" s="977" t="s">
        <v>75</v>
      </c>
    </row>
    <row r="58" spans="1:12" ht="33" customHeight="1" hidden="1">
      <c r="A58" s="977"/>
      <c r="B58" s="977" t="s">
        <v>474</v>
      </c>
      <c r="C58" s="977" t="s">
        <v>571</v>
      </c>
      <c r="D58" s="977"/>
      <c r="E58" s="982" t="s">
        <v>575</v>
      </c>
      <c r="F58" s="977" t="s">
        <v>628</v>
      </c>
      <c r="G58" s="977" t="s">
        <v>7</v>
      </c>
      <c r="H58" s="977" t="s">
        <v>495</v>
      </c>
      <c r="I58" s="977" t="s">
        <v>476</v>
      </c>
      <c r="J58" s="977" t="s">
        <v>631</v>
      </c>
      <c r="K58" s="977" t="s">
        <v>12</v>
      </c>
      <c r="L58" s="977"/>
    </row>
    <row r="59" spans="1:12" ht="57.75" customHeight="1" hidden="1">
      <c r="A59" s="977"/>
      <c r="B59" s="977"/>
      <c r="C59" s="87" t="s">
        <v>79</v>
      </c>
      <c r="D59" s="87" t="s">
        <v>80</v>
      </c>
      <c r="E59" s="983"/>
      <c r="F59" s="977"/>
      <c r="G59" s="977"/>
      <c r="H59" s="977"/>
      <c r="I59" s="977"/>
      <c r="J59" s="977"/>
      <c r="K59" s="977"/>
      <c r="L59" s="977"/>
    </row>
    <row r="60" spans="1:12" ht="12.75" customHeight="1" hidden="1">
      <c r="A60" s="977"/>
      <c r="B60" s="220"/>
      <c r="C60" s="981"/>
      <c r="D60" s="981"/>
      <c r="E60" s="221"/>
      <c r="F60" s="221"/>
      <c r="G60" s="977"/>
      <c r="H60" s="220"/>
      <c r="I60" s="981"/>
      <c r="J60" s="981"/>
      <c r="K60" s="977"/>
      <c r="L60" s="977"/>
    </row>
    <row r="61" spans="1:12" ht="12.75" customHeight="1" hidden="1">
      <c r="A61" s="131" t="s">
        <v>49</v>
      </c>
      <c r="B61" s="134">
        <f aca="true" t="shared" si="9" ref="B61:G61">SUM(B62:B64)</f>
        <v>771919</v>
      </c>
      <c r="C61" s="134">
        <f t="shared" si="9"/>
        <v>0</v>
      </c>
      <c r="D61" s="134">
        <f t="shared" si="9"/>
        <v>0</v>
      </c>
      <c r="E61" s="134">
        <f t="shared" si="9"/>
        <v>0</v>
      </c>
      <c r="F61" s="134" t="e">
        <f t="shared" si="9"/>
        <v>#REF!</v>
      </c>
      <c r="G61" s="134" t="e">
        <f t="shared" si="9"/>
        <v>#REF!</v>
      </c>
      <c r="H61" s="134" t="e">
        <f>SUM(H62:H64)</f>
        <v>#REF!</v>
      </c>
      <c r="I61" s="134" t="e">
        <f>SUM(I62:I64)</f>
        <v>#REF!</v>
      </c>
      <c r="J61" s="134">
        <f>SUM(J62:J64)</f>
        <v>0</v>
      </c>
      <c r="K61" s="134" t="e">
        <f>SUM(K62:K64)</f>
        <v>#REF!</v>
      </c>
      <c r="L61" s="134" t="e">
        <f>SUM(K61,G61)</f>
        <v>#REF!</v>
      </c>
    </row>
    <row r="62" spans="1:12" ht="12.75" customHeight="1" hidden="1">
      <c r="A62" s="236" t="s">
        <v>130</v>
      </c>
      <c r="B62" s="133">
        <v>771919</v>
      </c>
      <c r="C62" s="133"/>
      <c r="D62" s="133"/>
      <c r="E62" s="133"/>
      <c r="F62" s="133" t="e">
        <f>SUM(#REF!)</f>
        <v>#REF!</v>
      </c>
      <c r="G62" s="133" t="e">
        <f>SUM(B62:F62)</f>
        <v>#REF!</v>
      </c>
      <c r="H62" s="133" t="e">
        <f>SUM('3.felh'!#REF!)</f>
        <v>#REF!</v>
      </c>
      <c r="I62" s="133"/>
      <c r="J62" s="133"/>
      <c r="K62" s="133" t="e">
        <f>SUM(H62:J62)</f>
        <v>#REF!</v>
      </c>
      <c r="L62" s="134" t="e">
        <f>SUM(K62,G62)</f>
        <v>#REF!</v>
      </c>
    </row>
    <row r="63" spans="1:12" ht="12.75" customHeight="1" hidden="1">
      <c r="A63" s="237" t="s">
        <v>131</v>
      </c>
      <c r="B63" s="133"/>
      <c r="C63" s="133"/>
      <c r="D63" s="133"/>
      <c r="E63" s="133"/>
      <c r="F63" s="133"/>
      <c r="G63" s="135">
        <f>SUM(B63:F63)</f>
        <v>0</v>
      </c>
      <c r="H63" s="135"/>
      <c r="I63" s="133" t="e">
        <f>SUM('3.felh'!#REF!)</f>
        <v>#REF!</v>
      </c>
      <c r="J63" s="135"/>
      <c r="K63" s="133" t="e">
        <f>SUM(H63:J63)</f>
        <v>#REF!</v>
      </c>
      <c r="L63" s="134" t="e">
        <f>SUM(K63,G63)</f>
        <v>#REF!</v>
      </c>
    </row>
    <row r="64" spans="1:12" ht="12.75" customHeight="1" hidden="1" thickBot="1">
      <c r="A64" s="32" t="s">
        <v>139</v>
      </c>
      <c r="B64" s="229"/>
      <c r="C64" s="229"/>
      <c r="D64" s="229"/>
      <c r="E64" s="229"/>
      <c r="F64" s="229"/>
      <c r="G64" s="133">
        <f>SUM(B64:F64)</f>
        <v>0</v>
      </c>
      <c r="H64" s="229"/>
      <c r="I64" s="229"/>
      <c r="J64" s="229"/>
      <c r="K64" s="229"/>
      <c r="L64" s="134">
        <f>SUM(K64,G64)</f>
        <v>0</v>
      </c>
    </row>
    <row r="65" spans="1:12" ht="12.75" customHeight="1" hidden="1" thickBot="1">
      <c r="A65" s="214" t="s">
        <v>50</v>
      </c>
      <c r="B65" s="231" t="e">
        <f>SUM(B66+B70+B74)</f>
        <v>#REF!</v>
      </c>
      <c r="C65" s="231" t="e">
        <f>SUM(C66+C70+C74)</f>
        <v>#REF!</v>
      </c>
      <c r="D65" s="231"/>
      <c r="E65" s="231" t="e">
        <f>SUM(E66+E70+E74)</f>
        <v>#REF!</v>
      </c>
      <c r="F65" s="231" t="e">
        <f>SUM(F66+F70+F74)</f>
        <v>#REF!</v>
      </c>
      <c r="G65" s="231" t="e">
        <f>SUM(G66+G70+G74)</f>
        <v>#REF!</v>
      </c>
      <c r="H65" s="231"/>
      <c r="I65" s="231"/>
      <c r="J65" s="231"/>
      <c r="K65" s="231"/>
      <c r="L65" s="216" t="e">
        <f>SUM(G65)</f>
        <v>#REF!</v>
      </c>
    </row>
    <row r="66" spans="1:12" ht="12.75" customHeight="1" hidden="1">
      <c r="A66" s="227" t="s">
        <v>51</v>
      </c>
      <c r="B66" s="132" t="e">
        <f aca="true" t="shared" si="10" ref="B66:G66">SUM(B67)</f>
        <v>#REF!</v>
      </c>
      <c r="C66" s="132" t="e">
        <f t="shared" si="10"/>
        <v>#REF!</v>
      </c>
      <c r="D66" s="132">
        <f t="shared" si="10"/>
        <v>0</v>
      </c>
      <c r="E66" s="132" t="e">
        <f t="shared" si="10"/>
        <v>#REF!</v>
      </c>
      <c r="F66" s="132" t="e">
        <f t="shared" si="10"/>
        <v>#REF!</v>
      </c>
      <c r="G66" s="132" t="e">
        <f t="shared" si="10"/>
        <v>#REF!</v>
      </c>
      <c r="H66" s="230"/>
      <c r="I66" s="230"/>
      <c r="J66" s="230"/>
      <c r="K66" s="230"/>
      <c r="L66" s="230" t="e">
        <f>SUM(G66)</f>
        <v>#REF!</v>
      </c>
    </row>
    <row r="67" spans="1:12" ht="12.75" customHeight="1" hidden="1">
      <c r="A67" s="236" t="s">
        <v>130</v>
      </c>
      <c r="B67" s="133" t="e">
        <f>SUM(#REF!)</f>
        <v>#REF!</v>
      </c>
      <c r="C67" s="133" t="e">
        <f>SUM(#REF!)</f>
        <v>#REF!</v>
      </c>
      <c r="D67" s="133"/>
      <c r="E67" s="133" t="e">
        <f>SUM(#REF!)</f>
        <v>#REF!</v>
      </c>
      <c r="F67" s="133" t="e">
        <f>SUM(#REF!)</f>
        <v>#REF!</v>
      </c>
      <c r="G67" s="133" t="e">
        <f>SUM(B67:F67)</f>
        <v>#REF!</v>
      </c>
      <c r="H67" s="223"/>
      <c r="I67" s="223"/>
      <c r="J67" s="223"/>
      <c r="K67" s="223"/>
      <c r="L67" s="223" t="e">
        <f>SUM(G67)</f>
        <v>#REF!</v>
      </c>
    </row>
    <row r="68" spans="1:12" ht="12.75" customHeight="1" hidden="1">
      <c r="A68" s="237" t="s">
        <v>131</v>
      </c>
      <c r="B68" s="133"/>
      <c r="C68" s="133"/>
      <c r="D68" s="133"/>
      <c r="E68" s="133"/>
      <c r="F68" s="133"/>
      <c r="G68" s="135"/>
      <c r="H68" s="133"/>
      <c r="I68" s="133"/>
      <c r="J68" s="133"/>
      <c r="K68" s="133"/>
      <c r="L68" s="222"/>
    </row>
    <row r="69" spans="1:12" ht="12.75" customHeight="1" hidden="1">
      <c r="A69" s="32" t="s">
        <v>139</v>
      </c>
      <c r="B69" s="133"/>
      <c r="C69" s="133"/>
      <c r="D69" s="133"/>
      <c r="E69" s="133"/>
      <c r="F69" s="133"/>
      <c r="G69" s="135"/>
      <c r="H69" s="133"/>
      <c r="I69" s="133"/>
      <c r="J69" s="133"/>
      <c r="K69" s="133"/>
      <c r="L69" s="222"/>
    </row>
    <row r="70" spans="1:12" ht="12.75" customHeight="1" hidden="1">
      <c r="A70" s="226" t="s">
        <v>52</v>
      </c>
      <c r="B70" s="134" t="e">
        <f aca="true" t="shared" si="11" ref="B70:G70">SUM(B71)</f>
        <v>#REF!</v>
      </c>
      <c r="C70" s="134" t="e">
        <f t="shared" si="11"/>
        <v>#REF!</v>
      </c>
      <c r="D70" s="134">
        <f t="shared" si="11"/>
        <v>0</v>
      </c>
      <c r="E70" s="134" t="e">
        <f t="shared" si="11"/>
        <v>#REF!</v>
      </c>
      <c r="F70" s="134" t="e">
        <f t="shared" si="11"/>
        <v>#REF!</v>
      </c>
      <c r="G70" s="134" t="e">
        <f t="shared" si="11"/>
        <v>#REF!</v>
      </c>
      <c r="H70" s="134"/>
      <c r="I70" s="134"/>
      <c r="J70" s="134"/>
      <c r="K70" s="134"/>
      <c r="L70" s="136" t="e">
        <f>SUM(G70)</f>
        <v>#REF!</v>
      </c>
    </row>
    <row r="71" spans="1:12" ht="12.75" customHeight="1" hidden="1">
      <c r="A71" s="236" t="s">
        <v>130</v>
      </c>
      <c r="B71" s="133" t="e">
        <f>SUM(#REF!)</f>
        <v>#REF!</v>
      </c>
      <c r="C71" s="133" t="e">
        <f>SUM(#REF!)</f>
        <v>#REF!</v>
      </c>
      <c r="D71" s="133"/>
      <c r="E71" s="133" t="e">
        <f>SUM(#REF!)</f>
        <v>#REF!</v>
      </c>
      <c r="F71" s="133" t="e">
        <f>SUM(#REF!)</f>
        <v>#REF!</v>
      </c>
      <c r="G71" s="133" t="e">
        <f>SUM(B71:F71)</f>
        <v>#REF!</v>
      </c>
      <c r="H71" s="133"/>
      <c r="I71" s="133"/>
      <c r="J71" s="133"/>
      <c r="K71" s="133"/>
      <c r="L71" s="223" t="e">
        <f>SUM(G71)</f>
        <v>#REF!</v>
      </c>
    </row>
    <row r="72" spans="1:12" ht="12.75" customHeight="1" hidden="1">
      <c r="A72" s="237" t="s">
        <v>131</v>
      </c>
      <c r="B72" s="133"/>
      <c r="C72" s="133"/>
      <c r="D72" s="133"/>
      <c r="E72" s="133"/>
      <c r="F72" s="133"/>
      <c r="G72" s="135"/>
      <c r="H72" s="133"/>
      <c r="I72" s="133"/>
      <c r="J72" s="133"/>
      <c r="K72" s="133"/>
      <c r="L72" s="222"/>
    </row>
    <row r="73" spans="1:12" ht="12.75" customHeight="1" hidden="1">
      <c r="A73" s="32" t="s">
        <v>139</v>
      </c>
      <c r="B73" s="133"/>
      <c r="C73" s="133"/>
      <c r="D73" s="133"/>
      <c r="E73" s="133"/>
      <c r="F73" s="133"/>
      <c r="G73" s="135"/>
      <c r="H73" s="133"/>
      <c r="I73" s="133"/>
      <c r="J73" s="133"/>
      <c r="K73" s="133"/>
      <c r="L73" s="222"/>
    </row>
    <row r="74" spans="1:12" ht="12.75" customHeight="1" hidden="1">
      <c r="A74" s="228" t="s">
        <v>53</v>
      </c>
      <c r="B74" s="134" t="e">
        <f aca="true" t="shared" si="12" ref="B74:G74">SUM(B75)</f>
        <v>#REF!</v>
      </c>
      <c r="C74" s="134" t="e">
        <f t="shared" si="12"/>
        <v>#REF!</v>
      </c>
      <c r="D74" s="134">
        <f t="shared" si="12"/>
        <v>0</v>
      </c>
      <c r="E74" s="134" t="e">
        <f t="shared" si="12"/>
        <v>#REF!</v>
      </c>
      <c r="F74" s="134" t="e">
        <f t="shared" si="12"/>
        <v>#REF!</v>
      </c>
      <c r="G74" s="134" t="e">
        <f t="shared" si="12"/>
        <v>#REF!</v>
      </c>
      <c r="H74" s="134"/>
      <c r="I74" s="134"/>
      <c r="J74" s="134"/>
      <c r="K74" s="134"/>
      <c r="L74" s="136" t="e">
        <f>SUM(G74)</f>
        <v>#REF!</v>
      </c>
    </row>
    <row r="75" spans="1:12" ht="12.75" customHeight="1" hidden="1">
      <c r="A75" s="236" t="s">
        <v>130</v>
      </c>
      <c r="B75" s="133" t="e">
        <f>SUM(#REF!)</f>
        <v>#REF!</v>
      </c>
      <c r="C75" s="133" t="e">
        <f>SUM(#REF!)</f>
        <v>#REF!</v>
      </c>
      <c r="D75" s="133"/>
      <c r="E75" s="133" t="e">
        <f>SUM(#REF!)</f>
        <v>#REF!</v>
      </c>
      <c r="F75" s="133" t="e">
        <f>SUM(#REF!)</f>
        <v>#REF!</v>
      </c>
      <c r="G75" s="133" t="e">
        <f>SUM(B75:F75)</f>
        <v>#REF!</v>
      </c>
      <c r="H75" s="133"/>
      <c r="I75" s="133"/>
      <c r="J75" s="133"/>
      <c r="K75" s="133"/>
      <c r="L75" s="223" t="e">
        <f>SUM(G75)</f>
        <v>#REF!</v>
      </c>
    </row>
    <row r="76" spans="1:12" ht="12.75" customHeight="1" hidden="1">
      <c r="A76" s="237" t="s">
        <v>131</v>
      </c>
      <c r="B76" s="133"/>
      <c r="C76" s="133"/>
      <c r="D76" s="133"/>
      <c r="E76" s="133"/>
      <c r="F76" s="133"/>
      <c r="G76" s="135"/>
      <c r="H76" s="133"/>
      <c r="I76" s="133"/>
      <c r="J76" s="133"/>
      <c r="K76" s="133"/>
      <c r="L76" s="222"/>
    </row>
    <row r="77" spans="1:12" ht="12.75" customHeight="1" hidden="1" thickBot="1">
      <c r="A77" s="32" t="s">
        <v>139</v>
      </c>
      <c r="B77" s="224"/>
      <c r="C77" s="224"/>
      <c r="D77" s="224"/>
      <c r="E77" s="224"/>
      <c r="F77" s="224"/>
      <c r="G77" s="229"/>
      <c r="H77" s="224"/>
      <c r="I77" s="224"/>
      <c r="J77" s="224"/>
      <c r="K77" s="224"/>
      <c r="L77" s="225"/>
    </row>
    <row r="78" spans="1:12" ht="32.25" customHeight="1" hidden="1" thickBot="1">
      <c r="A78" s="232" t="s">
        <v>54</v>
      </c>
      <c r="B78" s="233" t="e">
        <f aca="true" t="shared" si="13" ref="B78:J78">SUM(B61+B65)</f>
        <v>#REF!</v>
      </c>
      <c r="C78" s="233" t="e">
        <f t="shared" si="13"/>
        <v>#REF!</v>
      </c>
      <c r="D78" s="233">
        <f t="shared" si="13"/>
        <v>0</v>
      </c>
      <c r="E78" s="233" t="e">
        <f t="shared" si="13"/>
        <v>#REF!</v>
      </c>
      <c r="F78" s="233" t="e">
        <f t="shared" si="13"/>
        <v>#REF!</v>
      </c>
      <c r="G78" s="233" t="e">
        <f t="shared" si="13"/>
        <v>#REF!</v>
      </c>
      <c r="H78" s="233" t="e">
        <f t="shared" si="13"/>
        <v>#REF!</v>
      </c>
      <c r="I78" s="233" t="e">
        <f t="shared" si="13"/>
        <v>#REF!</v>
      </c>
      <c r="J78" s="233">
        <f t="shared" si="13"/>
        <v>0</v>
      </c>
      <c r="K78" s="233" t="e">
        <f>SUM(K61)</f>
        <v>#REF!</v>
      </c>
      <c r="L78" s="234" t="e">
        <f>SUM(K78,G78)</f>
        <v>#REF!</v>
      </c>
    </row>
    <row r="79" spans="1:12" ht="12.75" customHeight="1" hidden="1">
      <c r="A79" s="90" t="s">
        <v>570</v>
      </c>
      <c r="L79" s="128" t="e">
        <f>SUM(#REF!)</f>
        <v>#REF!</v>
      </c>
    </row>
    <row r="80" spans="1:12" ht="12.75" customHeight="1" hidden="1">
      <c r="A80" s="90" t="s">
        <v>578</v>
      </c>
      <c r="L80" s="245" t="e">
        <f>SUM(L78+L79)</f>
        <v>#REF!</v>
      </c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</sheetData>
  <sheetProtection/>
  <mergeCells count="50">
    <mergeCell ref="C34:D34"/>
    <mergeCell ref="I34:J34"/>
    <mergeCell ref="G58:G60"/>
    <mergeCell ref="H58:H59"/>
    <mergeCell ref="I58:I59"/>
    <mergeCell ref="J58:J59"/>
    <mergeCell ref="E58:E59"/>
    <mergeCell ref="F58:F59"/>
    <mergeCell ref="K58:K60"/>
    <mergeCell ref="A56:A60"/>
    <mergeCell ref="B56:L56"/>
    <mergeCell ref="B57:G57"/>
    <mergeCell ref="H57:K57"/>
    <mergeCell ref="L57:L60"/>
    <mergeCell ref="B58:B59"/>
    <mergeCell ref="C58:D58"/>
    <mergeCell ref="C60:D60"/>
    <mergeCell ref="I60:J60"/>
    <mergeCell ref="F32:F33"/>
    <mergeCell ref="G32:G34"/>
    <mergeCell ref="H32:H33"/>
    <mergeCell ref="I32:I33"/>
    <mergeCell ref="J32:J33"/>
    <mergeCell ref="K32:K34"/>
    <mergeCell ref="C9:D9"/>
    <mergeCell ref="I9:J9"/>
    <mergeCell ref="A30:A34"/>
    <mergeCell ref="B30:L30"/>
    <mergeCell ref="B31:G31"/>
    <mergeCell ref="H31:K31"/>
    <mergeCell ref="L31:L34"/>
    <mergeCell ref="B32:B33"/>
    <mergeCell ref="C32:D32"/>
    <mergeCell ref="E32:E33"/>
    <mergeCell ref="F7:F8"/>
    <mergeCell ref="G7:G9"/>
    <mergeCell ref="H7:H8"/>
    <mergeCell ref="I7:I8"/>
    <mergeCell ref="J7:J8"/>
    <mergeCell ref="K7:K9"/>
    <mergeCell ref="A1:L1"/>
    <mergeCell ref="A2:L2"/>
    <mergeCell ref="A5:A9"/>
    <mergeCell ref="B5:L5"/>
    <mergeCell ref="B6:G6"/>
    <mergeCell ref="H6:K6"/>
    <mergeCell ref="L6:L9"/>
    <mergeCell ref="B7:B8"/>
    <mergeCell ref="C7:D7"/>
    <mergeCell ref="E7:E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D10">
      <selection activeCell="M66" sqref="M66"/>
    </sheetView>
  </sheetViews>
  <sheetFormatPr defaultColWidth="9.00390625" defaultRowHeight="12.75"/>
  <cols>
    <col min="1" max="1" width="22.003906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1.25390625" style="86" customWidth="1"/>
    <col min="8" max="8" width="12.0039062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875" style="84" hidden="1" customWidth="1"/>
    <col min="18" max="18" width="7.00390625" style="84" bestFit="1" customWidth="1"/>
    <col min="19" max="16384" width="9.125" style="84" customWidth="1"/>
  </cols>
  <sheetData>
    <row r="1" spans="1:21" ht="1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 t="s">
        <v>311</v>
      </c>
      <c r="Q1" s="82"/>
      <c r="R1" s="83"/>
      <c r="S1" s="83"/>
      <c r="T1" s="83"/>
      <c r="U1" s="83"/>
    </row>
    <row r="2" spans="1:21" ht="38.25" customHeight="1">
      <c r="A2" s="997" t="s">
        <v>510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85"/>
      <c r="R2" s="83"/>
      <c r="S2" s="83"/>
      <c r="T2" s="83"/>
      <c r="U2" s="83"/>
    </row>
    <row r="3" spans="1:18" ht="13.5" thickBo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88"/>
      <c r="R3" s="88"/>
    </row>
    <row r="4" spans="1:18" s="379" customFormat="1" ht="18" customHeight="1">
      <c r="A4" s="986" t="s">
        <v>136</v>
      </c>
      <c r="B4" s="995" t="s">
        <v>644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6"/>
      <c r="Q4" s="1005" t="s">
        <v>37</v>
      </c>
      <c r="R4" s="1003" t="s">
        <v>143</v>
      </c>
    </row>
    <row r="5" spans="1:18" s="379" customFormat="1" ht="23.25" customHeight="1">
      <c r="A5" s="987"/>
      <c r="B5" s="991" t="s">
        <v>38</v>
      </c>
      <c r="C5" s="992"/>
      <c r="D5" s="992"/>
      <c r="E5" s="992"/>
      <c r="F5" s="992"/>
      <c r="G5" s="992"/>
      <c r="H5" s="992"/>
      <c r="I5" s="993"/>
      <c r="J5" s="977" t="s">
        <v>39</v>
      </c>
      <c r="K5" s="977" t="s">
        <v>40</v>
      </c>
      <c r="L5" s="977"/>
      <c r="M5" s="977"/>
      <c r="N5" s="977"/>
      <c r="O5" s="977"/>
      <c r="P5" s="990" t="s">
        <v>8</v>
      </c>
      <c r="Q5" s="1005"/>
      <c r="R5" s="1004"/>
    </row>
    <row r="6" spans="1:18" s="379" customFormat="1" ht="62.25" customHeight="1">
      <c r="A6" s="987"/>
      <c r="B6" s="87" t="s">
        <v>41</v>
      </c>
      <c r="C6" s="220" t="s">
        <v>140</v>
      </c>
      <c r="D6" s="87" t="s">
        <v>43</v>
      </c>
      <c r="E6" s="87" t="s">
        <v>44</v>
      </c>
      <c r="F6" s="87" t="s">
        <v>45</v>
      </c>
      <c r="G6" s="1000" t="s">
        <v>68</v>
      </c>
      <c r="H6" s="1001"/>
      <c r="I6" s="220" t="s">
        <v>477</v>
      </c>
      <c r="J6" s="977"/>
      <c r="K6" s="87" t="s">
        <v>46</v>
      </c>
      <c r="L6" s="87" t="s">
        <v>47</v>
      </c>
      <c r="M6" s="87" t="s">
        <v>48</v>
      </c>
      <c r="N6" s="87" t="s">
        <v>135</v>
      </c>
      <c r="O6" s="977" t="s">
        <v>13</v>
      </c>
      <c r="P6" s="990"/>
      <c r="Q6" s="1005"/>
      <c r="R6" s="1004"/>
    </row>
    <row r="7" spans="1:18" ht="35.25" customHeight="1" thickBot="1">
      <c r="A7" s="999"/>
      <c r="B7" s="417"/>
      <c r="C7" s="417"/>
      <c r="D7" s="417"/>
      <c r="E7" s="417"/>
      <c r="F7" s="417"/>
      <c r="G7" s="524" t="s">
        <v>629</v>
      </c>
      <c r="H7" s="524" t="s">
        <v>630</v>
      </c>
      <c r="I7" s="417"/>
      <c r="J7" s="994"/>
      <c r="K7" s="418"/>
      <c r="L7" s="419"/>
      <c r="M7" s="419"/>
      <c r="N7" s="419"/>
      <c r="O7" s="994"/>
      <c r="P7" s="1002"/>
      <c r="Q7" s="1006"/>
      <c r="R7" s="1004"/>
    </row>
    <row r="8" spans="1:18" s="88" customFormat="1" ht="25.5" customHeight="1" thickBot="1">
      <c r="A8" s="214" t="s">
        <v>49</v>
      </c>
      <c r="B8" s="217">
        <f aca="true" t="shared" si="0" ref="B8:P8">SUM(B9:B11)</f>
        <v>48516</v>
      </c>
      <c r="C8" s="217">
        <f t="shared" si="0"/>
        <v>13694</v>
      </c>
      <c r="D8" s="217">
        <f t="shared" si="0"/>
        <v>176625</v>
      </c>
      <c r="E8" s="217" t="e">
        <f t="shared" si="0"/>
        <v>#REF!</v>
      </c>
      <c r="F8" s="217" t="e">
        <f t="shared" si="0"/>
        <v>#REF!</v>
      </c>
      <c r="G8" s="217">
        <f t="shared" si="0"/>
        <v>214023</v>
      </c>
      <c r="H8" s="217">
        <f t="shared" si="0"/>
        <v>15471</v>
      </c>
      <c r="I8" s="217">
        <f t="shared" si="0"/>
        <v>52331</v>
      </c>
      <c r="J8" s="217" t="e">
        <f t="shared" si="0"/>
        <v>#REF!</v>
      </c>
      <c r="K8" s="217">
        <f t="shared" si="0"/>
        <v>75788</v>
      </c>
      <c r="L8" s="217">
        <f t="shared" si="0"/>
        <v>61893</v>
      </c>
      <c r="M8" s="217">
        <f t="shared" si="0"/>
        <v>15877</v>
      </c>
      <c r="N8" s="217">
        <f t="shared" si="0"/>
        <v>10814</v>
      </c>
      <c r="O8" s="217">
        <f t="shared" si="0"/>
        <v>164372</v>
      </c>
      <c r="P8" s="218" t="e">
        <f t="shared" si="0"/>
        <v>#REF!</v>
      </c>
      <c r="Q8" s="246" t="e">
        <f>SUM(#REF!)</f>
        <v>#REF!</v>
      </c>
      <c r="R8" s="527" t="e">
        <f>SUM(R9:R11)</f>
        <v>#REF!</v>
      </c>
    </row>
    <row r="9" spans="1:18" s="88" customFormat="1" ht="19.5" customHeight="1">
      <c r="A9" s="240" t="s">
        <v>137</v>
      </c>
      <c r="B9" s="219">
        <f>SUM('8.Önk. mód.'!O25)</f>
        <v>48516</v>
      </c>
      <c r="C9" s="219">
        <f>SUM('8.Önk. mód.'!O29)</f>
        <v>13694</v>
      </c>
      <c r="D9" s="219">
        <v>176625</v>
      </c>
      <c r="E9" s="219" t="e">
        <f>SUM(#REF!)</f>
        <v>#REF!</v>
      </c>
      <c r="F9" s="219" t="e">
        <f>SUM('4. Átadott p.eszk.'!#REF!+'4. Átadott p.eszk.'!#REF!+'4. Átadott p.eszk.'!#REF!)</f>
        <v>#REF!</v>
      </c>
      <c r="G9" s="219">
        <v>214023</v>
      </c>
      <c r="H9" s="219">
        <v>15471</v>
      </c>
      <c r="I9" s="219">
        <v>52331</v>
      </c>
      <c r="J9" s="241" t="e">
        <f>SUM(B9:I9)</f>
        <v>#REF!</v>
      </c>
      <c r="K9" s="219"/>
      <c r="L9" s="219"/>
      <c r="M9" s="219"/>
      <c r="N9" s="219"/>
      <c r="O9" s="241">
        <f>SUM(K9:N9)</f>
        <v>0</v>
      </c>
      <c r="P9" s="241" t="e">
        <f>SUM(J9+O9)</f>
        <v>#REF!</v>
      </c>
      <c r="Q9" s="211"/>
      <c r="R9" s="253" t="e">
        <f>SUM(#REF!)</f>
        <v>#REF!</v>
      </c>
    </row>
    <row r="10" spans="1:18" s="88" customFormat="1" ht="19.5" customHeight="1">
      <c r="A10" s="32" t="s">
        <v>138</v>
      </c>
      <c r="B10" s="89"/>
      <c r="C10" s="89"/>
      <c r="D10" s="89"/>
      <c r="E10" s="89"/>
      <c r="F10" s="89">
        <v>89714</v>
      </c>
      <c r="G10" s="89"/>
      <c r="H10" s="89"/>
      <c r="I10" s="89"/>
      <c r="J10" s="241">
        <f>SUM(B10:I10)</f>
        <v>89714</v>
      </c>
      <c r="K10" s="219">
        <v>75788</v>
      </c>
      <c r="L10" s="219">
        <v>61893</v>
      </c>
      <c r="M10" s="219">
        <v>15877</v>
      </c>
      <c r="N10" s="219">
        <v>10814</v>
      </c>
      <c r="O10" s="241">
        <f>SUM(K10:N10)</f>
        <v>164372</v>
      </c>
      <c r="P10" s="241">
        <f>SUM(J10+O10)</f>
        <v>254086</v>
      </c>
      <c r="Q10" s="211"/>
      <c r="R10" s="250"/>
    </row>
    <row r="11" spans="1:18" s="88" customFormat="1" ht="19.5" customHeight="1" thickBot="1">
      <c r="A11" s="239" t="s">
        <v>128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11"/>
      <c r="R11" s="250"/>
    </row>
    <row r="12" spans="1:18" s="90" customFormat="1" ht="25.5" customHeight="1" thickBot="1">
      <c r="A12" s="214" t="s">
        <v>50</v>
      </c>
      <c r="B12" s="215">
        <f>SUM(B13+B17+B21)</f>
        <v>157177</v>
      </c>
      <c r="C12" s="215">
        <f aca="true" t="shared" si="1" ref="C12:P12">SUM(C13+C17+C21)</f>
        <v>41970</v>
      </c>
      <c r="D12" s="215">
        <f t="shared" si="1"/>
        <v>65698</v>
      </c>
      <c r="E12" s="215">
        <f t="shared" si="1"/>
        <v>0</v>
      </c>
      <c r="F12" s="215">
        <f t="shared" si="1"/>
        <v>0</v>
      </c>
      <c r="G12" s="215"/>
      <c r="H12" s="215">
        <f>SUM(H13+H17+H21)</f>
        <v>0</v>
      </c>
      <c r="I12" s="215">
        <f t="shared" si="1"/>
        <v>0</v>
      </c>
      <c r="J12" s="215">
        <f t="shared" si="1"/>
        <v>264845</v>
      </c>
      <c r="K12" s="215" t="e">
        <f t="shared" si="1"/>
        <v>#REF!</v>
      </c>
      <c r="L12" s="215">
        <f t="shared" si="1"/>
        <v>0</v>
      </c>
      <c r="M12" s="215">
        <f t="shared" si="1"/>
        <v>0</v>
      </c>
      <c r="N12" s="215">
        <f t="shared" si="1"/>
        <v>0</v>
      </c>
      <c r="O12" s="215" t="e">
        <f t="shared" si="1"/>
        <v>#REF!</v>
      </c>
      <c r="P12" s="242" t="e">
        <f t="shared" si="1"/>
        <v>#REF!</v>
      </c>
      <c r="Q12" s="247" t="e">
        <f>SUM(#REF!+#REF!+#REF!)</f>
        <v>#REF!</v>
      </c>
      <c r="R12" s="253" t="e">
        <f>SUM(R13+R17+R21)</f>
        <v>#REF!</v>
      </c>
    </row>
    <row r="13" spans="1:18" s="90" customFormat="1" ht="25.5" customHeight="1" thickBot="1">
      <c r="A13" s="227" t="s">
        <v>129</v>
      </c>
      <c r="B13" s="213">
        <f>SUM(B14)</f>
        <v>113024</v>
      </c>
      <c r="C13" s="213">
        <f aca="true" t="shared" si="2" ref="C13:N13">SUM(C14)</f>
        <v>30295</v>
      </c>
      <c r="D13" s="213">
        <f t="shared" si="2"/>
        <v>34901</v>
      </c>
      <c r="E13" s="213">
        <f t="shared" si="2"/>
        <v>0</v>
      </c>
      <c r="F13" s="213">
        <f t="shared" si="2"/>
        <v>0</v>
      </c>
      <c r="G13" s="213"/>
      <c r="H13" s="213">
        <f t="shared" si="2"/>
        <v>0</v>
      </c>
      <c r="I13" s="213">
        <f t="shared" si="2"/>
        <v>0</v>
      </c>
      <c r="J13" s="213">
        <f t="shared" si="2"/>
        <v>178220</v>
      </c>
      <c r="K13" s="213">
        <f>SUM(K14:K16)</f>
        <v>845</v>
      </c>
      <c r="L13" s="213">
        <f t="shared" si="2"/>
        <v>0</v>
      </c>
      <c r="M13" s="213">
        <f t="shared" si="2"/>
        <v>0</v>
      </c>
      <c r="N13" s="213">
        <f t="shared" si="2"/>
        <v>0</v>
      </c>
      <c r="O13" s="213">
        <f>SUM(K13:N13)</f>
        <v>845</v>
      </c>
      <c r="P13" s="213">
        <f>(O13+J13)</f>
        <v>179065</v>
      </c>
      <c r="Q13" s="248"/>
      <c r="R13" s="251" t="e">
        <f>SUM(R14:R16)</f>
        <v>#REF!</v>
      </c>
    </row>
    <row r="14" spans="1:18" s="90" customFormat="1" ht="19.5" customHeight="1" thickBot="1">
      <c r="A14" s="32" t="s">
        <v>130</v>
      </c>
      <c r="B14" s="89">
        <v>113024</v>
      </c>
      <c r="C14" s="89">
        <v>30295</v>
      </c>
      <c r="D14" s="89">
        <v>34901</v>
      </c>
      <c r="E14" s="89"/>
      <c r="F14" s="89"/>
      <c r="G14" s="89"/>
      <c r="H14" s="89"/>
      <c r="I14" s="89"/>
      <c r="J14" s="235">
        <f>SUM(B14:I14)</f>
        <v>178220</v>
      </c>
      <c r="K14" s="89"/>
      <c r="L14" s="89"/>
      <c r="M14" s="89"/>
      <c r="N14" s="89"/>
      <c r="O14" s="241">
        <f>SUM(K14:N14)</f>
        <v>0</v>
      </c>
      <c r="P14" s="546">
        <f>SUM(J14+O14)</f>
        <v>178220</v>
      </c>
      <c r="Q14" s="248"/>
      <c r="R14" s="251" t="e">
        <f>SUM(#REF!)</f>
        <v>#REF!</v>
      </c>
    </row>
    <row r="15" spans="1:18" s="90" customFormat="1" ht="19.5" customHeight="1" thickBot="1">
      <c r="A15" s="32" t="s">
        <v>131</v>
      </c>
      <c r="B15" s="89"/>
      <c r="C15" s="89"/>
      <c r="D15" s="89"/>
      <c r="E15" s="89"/>
      <c r="F15" s="89"/>
      <c r="G15" s="89"/>
      <c r="H15" s="89"/>
      <c r="I15" s="89"/>
      <c r="J15" s="89"/>
      <c r="K15" s="89">
        <v>845</v>
      </c>
      <c r="L15" s="89"/>
      <c r="M15" s="89"/>
      <c r="N15" s="89"/>
      <c r="O15" s="241">
        <f>SUM(K15:N15)</f>
        <v>845</v>
      </c>
      <c r="P15" s="546">
        <f>SUM(J15+O15)</f>
        <v>845</v>
      </c>
      <c r="Q15" s="248"/>
      <c r="R15" s="251"/>
    </row>
    <row r="16" spans="1:18" s="90" customFormat="1" ht="19.5" customHeight="1" thickBot="1">
      <c r="A16" s="32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41"/>
      <c r="Q16" s="248"/>
      <c r="R16" s="251"/>
    </row>
    <row r="17" spans="1:19" s="90" customFormat="1" ht="22.5" customHeight="1" thickBot="1">
      <c r="A17" s="228" t="s">
        <v>133</v>
      </c>
      <c r="B17" s="238">
        <f>SUM(B18)</f>
        <v>6810</v>
      </c>
      <c r="C17" s="238">
        <f aca="true" t="shared" si="3" ref="C17:N17">SUM(C18)</f>
        <v>1870</v>
      </c>
      <c r="D17" s="238">
        <f t="shared" si="3"/>
        <v>5272</v>
      </c>
      <c r="E17" s="238">
        <f t="shared" si="3"/>
        <v>0</v>
      </c>
      <c r="F17" s="238">
        <f t="shared" si="3"/>
        <v>0</v>
      </c>
      <c r="G17" s="238"/>
      <c r="H17" s="238">
        <f t="shared" si="3"/>
        <v>0</v>
      </c>
      <c r="I17" s="238">
        <f t="shared" si="3"/>
        <v>0</v>
      </c>
      <c r="J17" s="238">
        <f t="shared" si="3"/>
        <v>13952</v>
      </c>
      <c r="K17" s="238">
        <f>SUM(K18:K20)</f>
        <v>0</v>
      </c>
      <c r="L17" s="238">
        <f t="shared" si="3"/>
        <v>0</v>
      </c>
      <c r="M17" s="238">
        <f t="shared" si="3"/>
        <v>0</v>
      </c>
      <c r="N17" s="238">
        <f t="shared" si="3"/>
        <v>0</v>
      </c>
      <c r="O17" s="238">
        <f>SUM(O18:O20)</f>
        <v>0</v>
      </c>
      <c r="P17" s="238">
        <f>SUM(J17+K17)</f>
        <v>13952</v>
      </c>
      <c r="Q17" s="248"/>
      <c r="R17" s="251" t="e">
        <f>SUM(R18:R20)</f>
        <v>#REF!</v>
      </c>
      <c r="S17" s="128"/>
    </row>
    <row r="18" spans="1:18" s="90" customFormat="1" ht="19.5" customHeight="1" thickBot="1">
      <c r="A18" s="32" t="s">
        <v>130</v>
      </c>
      <c r="B18" s="89">
        <v>6810</v>
      </c>
      <c r="C18" s="89">
        <v>1870</v>
      </c>
      <c r="D18" s="89">
        <v>5272</v>
      </c>
      <c r="E18" s="89"/>
      <c r="F18" s="89"/>
      <c r="G18" s="89"/>
      <c r="H18" s="89"/>
      <c r="I18" s="89"/>
      <c r="J18" s="235">
        <f>SUM(B18:I18)</f>
        <v>13952</v>
      </c>
      <c r="K18" s="89"/>
      <c r="L18" s="89"/>
      <c r="M18" s="89"/>
      <c r="N18" s="89"/>
      <c r="O18" s="89">
        <f>SUM(K18:N18)</f>
        <v>0</v>
      </c>
      <c r="P18" s="541">
        <f>SUM(J18+O18)</f>
        <v>13952</v>
      </c>
      <c r="Q18" s="248"/>
      <c r="R18" s="251" t="e">
        <f>SUM(#REF!)</f>
        <v>#REF!</v>
      </c>
    </row>
    <row r="19" spans="1:18" s="90" customFormat="1" ht="19.5" customHeight="1" thickBot="1">
      <c r="A19" s="32" t="s">
        <v>131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>
        <f>SUM(K19:N19)</f>
        <v>0</v>
      </c>
      <c r="P19" s="541">
        <f>SUM(J19+O19)</f>
        <v>0</v>
      </c>
      <c r="Q19" s="248"/>
      <c r="R19" s="251"/>
    </row>
    <row r="20" spans="1:18" s="90" customFormat="1" ht="19.5" customHeight="1" thickBot="1">
      <c r="A20" s="32" t="s">
        <v>132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541"/>
      <c r="Q20" s="248"/>
      <c r="R20" s="251"/>
    </row>
    <row r="21" spans="1:19" s="90" customFormat="1" ht="22.5" customHeight="1" thickBot="1">
      <c r="A21" s="228" t="s">
        <v>134</v>
      </c>
      <c r="B21" s="238">
        <f>SUM(B22)</f>
        <v>37343</v>
      </c>
      <c r="C21" s="238">
        <f aca="true" t="shared" si="4" ref="C21:N21">SUM(C22)</f>
        <v>9805</v>
      </c>
      <c r="D21" s="238">
        <f t="shared" si="4"/>
        <v>25525</v>
      </c>
      <c r="E21" s="238">
        <f t="shared" si="4"/>
        <v>0</v>
      </c>
      <c r="F21" s="238">
        <f t="shared" si="4"/>
        <v>0</v>
      </c>
      <c r="G21" s="238"/>
      <c r="H21" s="238">
        <f t="shared" si="4"/>
        <v>0</v>
      </c>
      <c r="I21" s="238">
        <f t="shared" si="4"/>
        <v>0</v>
      </c>
      <c r="J21" s="238">
        <f t="shared" si="4"/>
        <v>72673</v>
      </c>
      <c r="K21" s="238" t="e">
        <f>SUM(K22:K24)</f>
        <v>#REF!</v>
      </c>
      <c r="L21" s="238">
        <f t="shared" si="4"/>
        <v>0</v>
      </c>
      <c r="M21" s="238">
        <f t="shared" si="4"/>
        <v>0</v>
      </c>
      <c r="N21" s="238">
        <f t="shared" si="4"/>
        <v>0</v>
      </c>
      <c r="O21" s="238" t="e">
        <f>SUM(O22:O24)</f>
        <v>#REF!</v>
      </c>
      <c r="P21" s="238" t="e">
        <f>SUM(J21+O21)</f>
        <v>#REF!</v>
      </c>
      <c r="Q21" s="248"/>
      <c r="R21" s="251" t="e">
        <f>SUM(R22:R24)</f>
        <v>#REF!</v>
      </c>
      <c r="S21" s="128"/>
    </row>
    <row r="22" spans="1:18" s="90" customFormat="1" ht="19.5" customHeight="1" thickBot="1">
      <c r="A22" s="32" t="s">
        <v>130</v>
      </c>
      <c r="B22" s="89">
        <v>37343</v>
      </c>
      <c r="C22" s="89">
        <v>9805</v>
      </c>
      <c r="D22" s="89">
        <v>25525</v>
      </c>
      <c r="E22" s="89"/>
      <c r="F22" s="89"/>
      <c r="G22" s="89"/>
      <c r="H22" s="89"/>
      <c r="I22" s="89"/>
      <c r="J22" s="89">
        <f>SUM(B22:I22)</f>
        <v>72673</v>
      </c>
      <c r="K22" s="89"/>
      <c r="L22" s="89"/>
      <c r="M22" s="89"/>
      <c r="N22" s="89"/>
      <c r="O22" s="89">
        <f>SUM(K22:N22)</f>
        <v>0</v>
      </c>
      <c r="P22" s="541">
        <f>SUM(J22+O22)</f>
        <v>72673</v>
      </c>
      <c r="Q22" s="248"/>
      <c r="R22" s="251" t="e">
        <f>SUM(#REF!)</f>
        <v>#REF!</v>
      </c>
    </row>
    <row r="23" spans="1:18" s="90" customFormat="1" ht="19.5" customHeight="1" thickBot="1">
      <c r="A23" s="32" t="s">
        <v>131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89" t="e">
        <f>SUM(#REF!)</f>
        <v>#REF!</v>
      </c>
      <c r="L23" s="235"/>
      <c r="M23" s="235"/>
      <c r="N23" s="235"/>
      <c r="O23" s="89" t="e">
        <f>SUM(K23:N23)</f>
        <v>#REF!</v>
      </c>
      <c r="P23" s="541" t="e">
        <f>SUM(J23+O23)</f>
        <v>#REF!</v>
      </c>
      <c r="Q23" s="248"/>
      <c r="R23" s="251"/>
    </row>
    <row r="24" spans="1:18" s="90" customFormat="1" ht="19.5" customHeight="1" thickBot="1">
      <c r="A24" s="239" t="s">
        <v>132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547"/>
      <c r="Q24" s="248"/>
      <c r="R24" s="251"/>
    </row>
    <row r="25" spans="1:19" s="90" customFormat="1" ht="30" customHeight="1" thickBot="1">
      <c r="A25" s="232" t="s">
        <v>54</v>
      </c>
      <c r="B25" s="548">
        <f>SUM(B8+B12)</f>
        <v>205693</v>
      </c>
      <c r="C25" s="548">
        <f aca="true" t="shared" si="5" ref="C25:O25">SUM(C8+C12)</f>
        <v>55664</v>
      </c>
      <c r="D25" s="548">
        <f t="shared" si="5"/>
        <v>242323</v>
      </c>
      <c r="E25" s="548" t="e">
        <f t="shared" si="5"/>
        <v>#REF!</v>
      </c>
      <c r="F25" s="548" t="e">
        <f t="shared" si="5"/>
        <v>#REF!</v>
      </c>
      <c r="G25" s="548">
        <f t="shared" si="5"/>
        <v>214023</v>
      </c>
      <c r="H25" s="548">
        <f>SUM(H8+H12)</f>
        <v>15471</v>
      </c>
      <c r="I25" s="548">
        <f t="shared" si="5"/>
        <v>52331</v>
      </c>
      <c r="J25" s="525" t="e">
        <f t="shared" si="5"/>
        <v>#REF!</v>
      </c>
      <c r="K25" s="548" t="e">
        <f t="shared" si="5"/>
        <v>#REF!</v>
      </c>
      <c r="L25" s="548">
        <f t="shared" si="5"/>
        <v>61893</v>
      </c>
      <c r="M25" s="548">
        <f t="shared" si="5"/>
        <v>15877</v>
      </c>
      <c r="N25" s="548">
        <f t="shared" si="5"/>
        <v>10814</v>
      </c>
      <c r="O25" s="548" t="e">
        <f t="shared" si="5"/>
        <v>#REF!</v>
      </c>
      <c r="P25" s="549" t="e">
        <f>SUM(P8+P12)</f>
        <v>#REF!</v>
      </c>
      <c r="Q25" s="249" t="e">
        <f>SUM(Q8+Q12)</f>
        <v>#REF!</v>
      </c>
      <c r="R25" s="252" t="e">
        <f>SUM(R8+R12)</f>
        <v>#REF!</v>
      </c>
      <c r="S25" s="526" t="e">
        <f>SUM(J25+O25)</f>
        <v>#REF!</v>
      </c>
    </row>
    <row r="26" spans="1:16" ht="12.75">
      <c r="A26" s="92" t="s">
        <v>570</v>
      </c>
      <c r="P26" s="86">
        <v>-214023</v>
      </c>
    </row>
    <row r="27" spans="1:16" ht="12.75">
      <c r="A27" s="92" t="s">
        <v>579</v>
      </c>
      <c r="P27" s="416" t="e">
        <f>SUM(P25+P26)</f>
        <v>#REF!</v>
      </c>
    </row>
    <row r="28" spans="1:18" ht="12.75">
      <c r="A28" s="92" t="s">
        <v>576</v>
      </c>
      <c r="R28" s="84">
        <v>3</v>
      </c>
    </row>
    <row r="29" ht="13.5" hidden="1" thickBot="1"/>
    <row r="30" spans="1:18" ht="12.75" hidden="1">
      <c r="A30" s="986" t="s">
        <v>136</v>
      </c>
      <c r="B30" s="995" t="s">
        <v>637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6"/>
      <c r="Q30" s="1005" t="s">
        <v>37</v>
      </c>
      <c r="R30" s="1003" t="s">
        <v>143</v>
      </c>
    </row>
    <row r="31" spans="1:18" ht="12.75" hidden="1">
      <c r="A31" s="987"/>
      <c r="B31" s="991" t="s">
        <v>38</v>
      </c>
      <c r="C31" s="992"/>
      <c r="D31" s="992"/>
      <c r="E31" s="992"/>
      <c r="F31" s="992"/>
      <c r="G31" s="992"/>
      <c r="H31" s="992"/>
      <c r="I31" s="993"/>
      <c r="J31" s="977" t="s">
        <v>39</v>
      </c>
      <c r="K31" s="977" t="s">
        <v>40</v>
      </c>
      <c r="L31" s="977"/>
      <c r="M31" s="977"/>
      <c r="N31" s="977"/>
      <c r="O31" s="977"/>
      <c r="P31" s="990" t="s">
        <v>8</v>
      </c>
      <c r="Q31" s="1005"/>
      <c r="R31" s="1004"/>
    </row>
    <row r="32" spans="1:18" ht="63" hidden="1">
      <c r="A32" s="987"/>
      <c r="B32" s="87" t="s">
        <v>41</v>
      </c>
      <c r="C32" s="220" t="s">
        <v>140</v>
      </c>
      <c r="D32" s="87" t="s">
        <v>43</v>
      </c>
      <c r="E32" s="87" t="s">
        <v>44</v>
      </c>
      <c r="F32" s="87" t="s">
        <v>45</v>
      </c>
      <c r="G32" s="1000" t="s">
        <v>68</v>
      </c>
      <c r="H32" s="1001"/>
      <c r="I32" s="220" t="s">
        <v>477</v>
      </c>
      <c r="J32" s="977"/>
      <c r="K32" s="87" t="s">
        <v>46</v>
      </c>
      <c r="L32" s="87" t="s">
        <v>47</v>
      </c>
      <c r="M32" s="87" t="s">
        <v>48</v>
      </c>
      <c r="N32" s="87" t="s">
        <v>135</v>
      </c>
      <c r="O32" s="977" t="s">
        <v>13</v>
      </c>
      <c r="P32" s="990"/>
      <c r="Q32" s="1005"/>
      <c r="R32" s="1004"/>
    </row>
    <row r="33" spans="1:18" ht="32.25" hidden="1" thickBot="1">
      <c r="A33" s="999"/>
      <c r="B33" s="417"/>
      <c r="C33" s="417"/>
      <c r="D33" s="417"/>
      <c r="E33" s="417"/>
      <c r="F33" s="417"/>
      <c r="G33" s="524" t="s">
        <v>629</v>
      </c>
      <c r="H33" s="524" t="s">
        <v>630</v>
      </c>
      <c r="I33" s="417"/>
      <c r="J33" s="994"/>
      <c r="K33" s="418"/>
      <c r="L33" s="419"/>
      <c r="M33" s="419"/>
      <c r="N33" s="419"/>
      <c r="O33" s="994"/>
      <c r="P33" s="1002"/>
      <c r="Q33" s="1006"/>
      <c r="R33" s="1004"/>
    </row>
    <row r="34" spans="1:18" ht="13.5" hidden="1" thickBot="1">
      <c r="A34" s="214" t="s">
        <v>49</v>
      </c>
      <c r="B34" s="217" t="e">
        <f aca="true" t="shared" si="6" ref="B34:P34">SUM(B35:B37)</f>
        <v>#REF!</v>
      </c>
      <c r="C34" s="217" t="e">
        <f t="shared" si="6"/>
        <v>#REF!</v>
      </c>
      <c r="D34" s="217" t="e">
        <f t="shared" si="6"/>
        <v>#REF!</v>
      </c>
      <c r="E34" s="217" t="e">
        <f t="shared" si="6"/>
        <v>#REF!</v>
      </c>
      <c r="F34" s="217" t="e">
        <f t="shared" si="6"/>
        <v>#REF!</v>
      </c>
      <c r="G34" s="217" t="e">
        <f t="shared" si="6"/>
        <v>#REF!</v>
      </c>
      <c r="H34" s="217" t="e">
        <f t="shared" si="6"/>
        <v>#REF!</v>
      </c>
      <c r="I34" s="217" t="e">
        <f t="shared" si="6"/>
        <v>#REF!</v>
      </c>
      <c r="J34" s="217" t="e">
        <f t="shared" si="6"/>
        <v>#REF!</v>
      </c>
      <c r="K34" s="217" t="e">
        <f t="shared" si="6"/>
        <v>#REF!</v>
      </c>
      <c r="L34" s="217" t="e">
        <f t="shared" si="6"/>
        <v>#REF!</v>
      </c>
      <c r="M34" s="217" t="e">
        <f t="shared" si="6"/>
        <v>#REF!</v>
      </c>
      <c r="N34" s="217" t="e">
        <f t="shared" si="6"/>
        <v>#REF!</v>
      </c>
      <c r="O34" s="217" t="e">
        <f t="shared" si="6"/>
        <v>#REF!</v>
      </c>
      <c r="P34" s="218" t="e">
        <f t="shared" si="6"/>
        <v>#REF!</v>
      </c>
      <c r="Q34" s="246" t="e">
        <f>SUM(#REF!)</f>
        <v>#REF!</v>
      </c>
      <c r="R34" s="527" t="e">
        <f>SUM(R35:R37)</f>
        <v>#REF!</v>
      </c>
    </row>
    <row r="35" spans="1:18" ht="12.75" hidden="1">
      <c r="A35" s="240" t="s">
        <v>137</v>
      </c>
      <c r="B35" s="219" t="e">
        <f>SUM(#REF!)</f>
        <v>#REF!</v>
      </c>
      <c r="C35" s="219" t="e">
        <f>SUM(#REF!)</f>
        <v>#REF!</v>
      </c>
      <c r="D35" s="219" t="e">
        <f>SUM(#REF!)</f>
        <v>#REF!</v>
      </c>
      <c r="E35" s="219" t="e">
        <f>SUM(#REF!)</f>
        <v>#REF!</v>
      </c>
      <c r="F35" s="219" t="e">
        <f>SUM('4. Átadott p.eszk.'!#REF!+'4. Átadott p.eszk.'!#REF!)</f>
        <v>#REF!</v>
      </c>
      <c r="G35" s="219" t="e">
        <f>SUM(-#REF!)</f>
        <v>#REF!</v>
      </c>
      <c r="H35" s="219" t="e">
        <f>SUM('2.működés'!#REF!)</f>
        <v>#REF!</v>
      </c>
      <c r="I35" s="219" t="e">
        <f>SUM('2.működés'!#REF!)</f>
        <v>#REF!</v>
      </c>
      <c r="J35" s="241" t="e">
        <f>SUM(B35:I35)</f>
        <v>#REF!</v>
      </c>
      <c r="K35" s="219"/>
      <c r="L35" s="219"/>
      <c r="M35" s="219"/>
      <c r="N35" s="219"/>
      <c r="O35" s="241">
        <f>SUM(K35:N35)</f>
        <v>0</v>
      </c>
      <c r="P35" s="241" t="e">
        <f>SUM(J35+O35)</f>
        <v>#REF!</v>
      </c>
      <c r="Q35" s="211"/>
      <c r="R35" s="253" t="e">
        <f>SUM(#REF!)</f>
        <v>#REF!</v>
      </c>
    </row>
    <row r="36" spans="1:18" ht="12.75" hidden="1">
      <c r="A36" s="32" t="s">
        <v>138</v>
      </c>
      <c r="B36" s="89"/>
      <c r="C36" s="89"/>
      <c r="D36" s="89"/>
      <c r="E36" s="89"/>
      <c r="F36" s="89" t="e">
        <f>SUM('4. Átadott p.eszk.'!#REF!+'4. Átadott p.eszk.'!#REF!)</f>
        <v>#REF!</v>
      </c>
      <c r="G36" s="89"/>
      <c r="H36" s="89"/>
      <c r="I36" s="89"/>
      <c r="J36" s="241" t="e">
        <f>SUM(B36:I36)</f>
        <v>#REF!</v>
      </c>
      <c r="K36" s="219" t="e">
        <f>SUM('3.felh'!#REF!)</f>
        <v>#REF!</v>
      </c>
      <c r="L36" s="219" t="e">
        <f>SUM('3.felh'!#REF!)</f>
        <v>#REF!</v>
      </c>
      <c r="M36" s="219" t="e">
        <f>SUM('3.felh'!#REF!)</f>
        <v>#REF!</v>
      </c>
      <c r="N36" s="219" t="e">
        <f>SUM('3.felh'!#REF!)</f>
        <v>#REF!</v>
      </c>
      <c r="O36" s="241" t="e">
        <f>SUM(K36:N36)</f>
        <v>#REF!</v>
      </c>
      <c r="P36" s="241" t="e">
        <f>SUM(J36+O36)</f>
        <v>#REF!</v>
      </c>
      <c r="Q36" s="211"/>
      <c r="R36" s="250"/>
    </row>
    <row r="37" spans="1:18" ht="13.5" hidden="1" thickBot="1">
      <c r="A37" s="239" t="s">
        <v>128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11"/>
      <c r="R37" s="250"/>
    </row>
    <row r="38" spans="1:18" ht="13.5" hidden="1" thickBot="1">
      <c r="A38" s="214" t="s">
        <v>50</v>
      </c>
      <c r="B38" s="215" t="e">
        <f>SUM(B39+B43+B47)</f>
        <v>#REF!</v>
      </c>
      <c r="C38" s="215" t="e">
        <f>SUM(C39+C43+C47)</f>
        <v>#REF!</v>
      </c>
      <c r="D38" s="215" t="e">
        <f>SUM(D39+D43+D47)</f>
        <v>#REF!</v>
      </c>
      <c r="E38" s="215">
        <f>SUM(E39+E43+E47)</f>
        <v>0</v>
      </c>
      <c r="F38" s="215">
        <f>SUM(F39+F43+F47)</f>
        <v>0</v>
      </c>
      <c r="G38" s="215"/>
      <c r="H38" s="215">
        <f>SUM(H39+H43+H47)</f>
        <v>0</v>
      </c>
      <c r="I38" s="215">
        <f aca="true" t="shared" si="7" ref="I38:P38">SUM(I39+I43+I47)</f>
        <v>0</v>
      </c>
      <c r="J38" s="215" t="e">
        <f t="shared" si="7"/>
        <v>#REF!</v>
      </c>
      <c r="K38" s="215" t="e">
        <f t="shared" si="7"/>
        <v>#REF!</v>
      </c>
      <c r="L38" s="215">
        <f t="shared" si="7"/>
        <v>0</v>
      </c>
      <c r="M38" s="215">
        <f t="shared" si="7"/>
        <v>0</v>
      </c>
      <c r="N38" s="215">
        <f t="shared" si="7"/>
        <v>0</v>
      </c>
      <c r="O38" s="215" t="e">
        <f t="shared" si="7"/>
        <v>#REF!</v>
      </c>
      <c r="P38" s="242" t="e">
        <f t="shared" si="7"/>
        <v>#REF!</v>
      </c>
      <c r="Q38" s="247" t="e">
        <f>SUM(#REF!+#REF!+#REF!)</f>
        <v>#REF!</v>
      </c>
      <c r="R38" s="253" t="e">
        <f>SUM(R39+R43+R47)</f>
        <v>#REF!</v>
      </c>
    </row>
    <row r="39" spans="1:18" ht="26.25" hidden="1" thickBot="1">
      <c r="A39" s="227" t="s">
        <v>129</v>
      </c>
      <c r="B39" s="213" t="e">
        <f>SUM(B40)</f>
        <v>#REF!</v>
      </c>
      <c r="C39" s="213" t="e">
        <f aca="true" t="shared" si="8" ref="C39:N39">SUM(C40)</f>
        <v>#REF!</v>
      </c>
      <c r="D39" s="213" t="e">
        <f t="shared" si="8"/>
        <v>#REF!</v>
      </c>
      <c r="E39" s="213">
        <f t="shared" si="8"/>
        <v>0</v>
      </c>
      <c r="F39" s="213">
        <f t="shared" si="8"/>
        <v>0</v>
      </c>
      <c r="G39" s="213"/>
      <c r="H39" s="213">
        <f t="shared" si="8"/>
        <v>0</v>
      </c>
      <c r="I39" s="213">
        <f t="shared" si="8"/>
        <v>0</v>
      </c>
      <c r="J39" s="213" t="e">
        <f t="shared" si="8"/>
        <v>#REF!</v>
      </c>
      <c r="K39" s="213" t="e">
        <f>SUM(K40:K42)</f>
        <v>#REF!</v>
      </c>
      <c r="L39" s="213">
        <f t="shared" si="8"/>
        <v>0</v>
      </c>
      <c r="M39" s="213">
        <f t="shared" si="8"/>
        <v>0</v>
      </c>
      <c r="N39" s="213">
        <f t="shared" si="8"/>
        <v>0</v>
      </c>
      <c r="O39" s="213" t="e">
        <f>SUM(K39:N39)</f>
        <v>#REF!</v>
      </c>
      <c r="P39" s="213" t="e">
        <f>(O39+J39)</f>
        <v>#REF!</v>
      </c>
      <c r="Q39" s="248"/>
      <c r="R39" s="251" t="e">
        <f>SUM(R40:R42)</f>
        <v>#REF!</v>
      </c>
    </row>
    <row r="40" spans="1:18" ht="13.5" hidden="1" thickBot="1">
      <c r="A40" s="32" t="s">
        <v>130</v>
      </c>
      <c r="B40" s="89" t="e">
        <f>SUM(#REF!)</f>
        <v>#REF!</v>
      </c>
      <c r="C40" s="89" t="e">
        <f>SUM(#REF!)</f>
        <v>#REF!</v>
      </c>
      <c r="D40" s="89" t="e">
        <f>SUM(#REF!)</f>
        <v>#REF!</v>
      </c>
      <c r="E40" s="89"/>
      <c r="F40" s="89"/>
      <c r="G40" s="89"/>
      <c r="H40" s="89"/>
      <c r="I40" s="89"/>
      <c r="J40" s="235" t="e">
        <f>SUM(B40:I40)</f>
        <v>#REF!</v>
      </c>
      <c r="K40" s="89"/>
      <c r="L40" s="89"/>
      <c r="M40" s="89"/>
      <c r="N40" s="89"/>
      <c r="O40" s="241">
        <f>SUM(K40:N40)</f>
        <v>0</v>
      </c>
      <c r="P40" s="135" t="e">
        <f>SUM(J40+O40)</f>
        <v>#REF!</v>
      </c>
      <c r="Q40" s="248"/>
      <c r="R40" s="251" t="e">
        <f>SUM(#REF!)</f>
        <v>#REF!</v>
      </c>
    </row>
    <row r="41" spans="1:18" ht="13.5" hidden="1" thickBot="1">
      <c r="A41" s="32" t="s">
        <v>131</v>
      </c>
      <c r="B41" s="89"/>
      <c r="C41" s="89"/>
      <c r="D41" s="89"/>
      <c r="E41" s="89"/>
      <c r="F41" s="89"/>
      <c r="G41" s="89"/>
      <c r="H41" s="89"/>
      <c r="I41" s="89"/>
      <c r="J41" s="89"/>
      <c r="K41" s="89" t="e">
        <f>SUM(#REF!)</f>
        <v>#REF!</v>
      </c>
      <c r="L41" s="89"/>
      <c r="M41" s="89"/>
      <c r="N41" s="89"/>
      <c r="O41" s="241" t="e">
        <f>SUM(K41:N41)</f>
        <v>#REF!</v>
      </c>
      <c r="P41" s="135" t="e">
        <f>SUM(J41+O41)</f>
        <v>#REF!</v>
      </c>
      <c r="Q41" s="248"/>
      <c r="R41" s="251"/>
    </row>
    <row r="42" spans="1:18" ht="13.5" hidden="1" thickBot="1">
      <c r="A42" s="32" t="s">
        <v>132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33"/>
      <c r="Q42" s="248"/>
      <c r="R42" s="251"/>
    </row>
    <row r="43" spans="1:18" ht="13.5" hidden="1" thickBot="1">
      <c r="A43" s="228" t="s">
        <v>133</v>
      </c>
      <c r="B43" s="238" t="e">
        <f>SUM(B44)</f>
        <v>#REF!</v>
      </c>
      <c r="C43" s="238" t="e">
        <f aca="true" t="shared" si="9" ref="C43:N43">SUM(C44)</f>
        <v>#REF!</v>
      </c>
      <c r="D43" s="238" t="e">
        <f t="shared" si="9"/>
        <v>#REF!</v>
      </c>
      <c r="E43" s="238">
        <f t="shared" si="9"/>
        <v>0</v>
      </c>
      <c r="F43" s="238">
        <f t="shared" si="9"/>
        <v>0</v>
      </c>
      <c r="G43" s="238"/>
      <c r="H43" s="238">
        <f t="shared" si="9"/>
        <v>0</v>
      </c>
      <c r="I43" s="238">
        <f t="shared" si="9"/>
        <v>0</v>
      </c>
      <c r="J43" s="238" t="e">
        <f t="shared" si="9"/>
        <v>#REF!</v>
      </c>
      <c r="K43" s="238" t="e">
        <f>SUM(K44:K46)</f>
        <v>#REF!</v>
      </c>
      <c r="L43" s="238">
        <f t="shared" si="9"/>
        <v>0</v>
      </c>
      <c r="M43" s="238">
        <f t="shared" si="9"/>
        <v>0</v>
      </c>
      <c r="N43" s="238">
        <f t="shared" si="9"/>
        <v>0</v>
      </c>
      <c r="O43" s="238" t="e">
        <f>SUM(O44:O46)</f>
        <v>#REF!</v>
      </c>
      <c r="P43" s="238" t="e">
        <f>SUM(J43+K43)</f>
        <v>#REF!</v>
      </c>
      <c r="Q43" s="248"/>
      <c r="R43" s="251" t="e">
        <f>SUM(R44:R46)</f>
        <v>#REF!</v>
      </c>
    </row>
    <row r="44" spans="1:18" ht="13.5" hidden="1" thickBot="1">
      <c r="A44" s="32" t="s">
        <v>130</v>
      </c>
      <c r="B44" s="89" t="e">
        <f>SUM(#REF!)</f>
        <v>#REF!</v>
      </c>
      <c r="C44" s="89" t="e">
        <f>SUM(#REF!)</f>
        <v>#REF!</v>
      </c>
      <c r="D44" s="89" t="e">
        <f>SUM(#REF!)</f>
        <v>#REF!</v>
      </c>
      <c r="E44" s="89"/>
      <c r="F44" s="89"/>
      <c r="G44" s="89"/>
      <c r="H44" s="89"/>
      <c r="I44" s="89"/>
      <c r="J44" s="235" t="e">
        <f>SUM(B44:I44)</f>
        <v>#REF!</v>
      </c>
      <c r="K44" s="89"/>
      <c r="L44" s="89"/>
      <c r="M44" s="89"/>
      <c r="N44" s="89"/>
      <c r="O44" s="89">
        <f>SUM(K44:N44)</f>
        <v>0</v>
      </c>
      <c r="P44" s="133" t="e">
        <f>SUM(J44+O44)</f>
        <v>#REF!</v>
      </c>
      <c r="Q44" s="248"/>
      <c r="R44" s="251" t="e">
        <f>SUM(#REF!)</f>
        <v>#REF!</v>
      </c>
    </row>
    <row r="45" spans="1:18" ht="13.5" hidden="1" thickBot="1">
      <c r="A45" s="32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 t="e">
        <f>SUM(#REF!)</f>
        <v>#REF!</v>
      </c>
      <c r="L45" s="89"/>
      <c r="M45" s="89"/>
      <c r="N45" s="89"/>
      <c r="O45" s="89" t="e">
        <f>SUM(K45:N45)</f>
        <v>#REF!</v>
      </c>
      <c r="P45" s="133" t="e">
        <f>SUM(J45+O45)</f>
        <v>#REF!</v>
      </c>
      <c r="Q45" s="248"/>
      <c r="R45" s="251"/>
    </row>
    <row r="46" spans="1:18" ht="13.5" hidden="1" thickBot="1">
      <c r="A46" s="32" t="s">
        <v>132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33"/>
      <c r="Q46" s="248"/>
      <c r="R46" s="251"/>
    </row>
    <row r="47" spans="1:18" ht="13.5" hidden="1" thickBot="1">
      <c r="A47" s="228" t="s">
        <v>134</v>
      </c>
      <c r="B47" s="238" t="e">
        <f>SUM(B48)</f>
        <v>#REF!</v>
      </c>
      <c r="C47" s="238" t="e">
        <f aca="true" t="shared" si="10" ref="C47:N47">SUM(C48)</f>
        <v>#REF!</v>
      </c>
      <c r="D47" s="238" t="e">
        <f t="shared" si="10"/>
        <v>#REF!</v>
      </c>
      <c r="E47" s="238">
        <f t="shared" si="10"/>
        <v>0</v>
      </c>
      <c r="F47" s="238">
        <f t="shared" si="10"/>
        <v>0</v>
      </c>
      <c r="G47" s="238"/>
      <c r="H47" s="238">
        <f t="shared" si="10"/>
        <v>0</v>
      </c>
      <c r="I47" s="238">
        <f t="shared" si="10"/>
        <v>0</v>
      </c>
      <c r="J47" s="238" t="e">
        <f t="shared" si="10"/>
        <v>#REF!</v>
      </c>
      <c r="K47" s="238" t="e">
        <f>SUM(K48:K50)</f>
        <v>#REF!</v>
      </c>
      <c r="L47" s="238">
        <f t="shared" si="10"/>
        <v>0</v>
      </c>
      <c r="M47" s="238">
        <f t="shared" si="10"/>
        <v>0</v>
      </c>
      <c r="N47" s="238">
        <f t="shared" si="10"/>
        <v>0</v>
      </c>
      <c r="O47" s="238" t="e">
        <f>SUM(O48:O50)</f>
        <v>#REF!</v>
      </c>
      <c r="P47" s="238" t="e">
        <f>SUM(J47+O47)</f>
        <v>#REF!</v>
      </c>
      <c r="Q47" s="248"/>
      <c r="R47" s="251" t="e">
        <f>SUM(R48:R50)</f>
        <v>#REF!</v>
      </c>
    </row>
    <row r="48" spans="1:18" ht="13.5" hidden="1" thickBot="1">
      <c r="A48" s="32" t="s">
        <v>130</v>
      </c>
      <c r="B48" s="89" t="e">
        <f>SUM(#REF!)</f>
        <v>#REF!</v>
      </c>
      <c r="C48" s="89" t="e">
        <f>SUM(#REF!)</f>
        <v>#REF!</v>
      </c>
      <c r="D48" s="89" t="e">
        <f>SUM(#REF!)</f>
        <v>#REF!</v>
      </c>
      <c r="E48" s="89"/>
      <c r="F48" s="89"/>
      <c r="G48" s="89"/>
      <c r="H48" s="89"/>
      <c r="I48" s="89"/>
      <c r="J48" s="89" t="e">
        <f>SUM(B48:I48)</f>
        <v>#REF!</v>
      </c>
      <c r="K48" s="89"/>
      <c r="L48" s="89"/>
      <c r="M48" s="89"/>
      <c r="N48" s="89"/>
      <c r="O48" s="89">
        <f>SUM(K48:N48)</f>
        <v>0</v>
      </c>
      <c r="P48" s="133" t="e">
        <f>SUM(J48+O48)</f>
        <v>#REF!</v>
      </c>
      <c r="Q48" s="248"/>
      <c r="R48" s="251" t="e">
        <f>SUM(#REF!)</f>
        <v>#REF!</v>
      </c>
    </row>
    <row r="49" spans="1:18" ht="13.5" hidden="1" thickBot="1">
      <c r="A49" s="32" t="s">
        <v>131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89" t="e">
        <f>SUM(#REF!)</f>
        <v>#REF!</v>
      </c>
      <c r="L49" s="235"/>
      <c r="M49" s="235"/>
      <c r="N49" s="235"/>
      <c r="O49" s="89" t="e">
        <f>SUM(K49:N49)</f>
        <v>#REF!</v>
      </c>
      <c r="P49" s="133" t="e">
        <f>SUM(J49+O49)</f>
        <v>#REF!</v>
      </c>
      <c r="Q49" s="248"/>
      <c r="R49" s="251"/>
    </row>
    <row r="50" spans="1:18" ht="13.5" hidden="1" thickBot="1">
      <c r="A50" s="239" t="s">
        <v>132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29"/>
      <c r="Q50" s="248"/>
      <c r="R50" s="251"/>
    </row>
    <row r="51" spans="1:18" ht="32.25" hidden="1" thickBot="1">
      <c r="A51" s="232" t="s">
        <v>54</v>
      </c>
      <c r="B51" s="233" t="e">
        <f aca="true" t="shared" si="11" ref="B51:P51">SUM(B34+B38)</f>
        <v>#REF!</v>
      </c>
      <c r="C51" s="233" t="e">
        <f t="shared" si="11"/>
        <v>#REF!</v>
      </c>
      <c r="D51" s="233" t="e">
        <f t="shared" si="11"/>
        <v>#REF!</v>
      </c>
      <c r="E51" s="233" t="e">
        <f t="shared" si="11"/>
        <v>#REF!</v>
      </c>
      <c r="F51" s="233" t="e">
        <f t="shared" si="11"/>
        <v>#REF!</v>
      </c>
      <c r="G51" s="233" t="e">
        <f t="shared" si="11"/>
        <v>#REF!</v>
      </c>
      <c r="H51" s="233" t="e">
        <f t="shared" si="11"/>
        <v>#REF!</v>
      </c>
      <c r="I51" s="233" t="e">
        <f t="shared" si="11"/>
        <v>#REF!</v>
      </c>
      <c r="J51" s="525" t="e">
        <f t="shared" si="11"/>
        <v>#REF!</v>
      </c>
      <c r="K51" s="233" t="e">
        <f t="shared" si="11"/>
        <v>#REF!</v>
      </c>
      <c r="L51" s="233" t="e">
        <f t="shared" si="11"/>
        <v>#REF!</v>
      </c>
      <c r="M51" s="233" t="e">
        <f t="shared" si="11"/>
        <v>#REF!</v>
      </c>
      <c r="N51" s="233" t="e">
        <f t="shared" si="11"/>
        <v>#REF!</v>
      </c>
      <c r="O51" s="233" t="e">
        <f t="shared" si="11"/>
        <v>#REF!</v>
      </c>
      <c r="P51" s="234" t="e">
        <f t="shared" si="11"/>
        <v>#REF!</v>
      </c>
      <c r="Q51" s="249" t="e">
        <f>SUM(Q34+Q38)</f>
        <v>#REF!</v>
      </c>
      <c r="R51" s="252" t="e">
        <f>SUM(R34+R38)</f>
        <v>#REF!</v>
      </c>
    </row>
    <row r="52" spans="1:16" ht="12.75" hidden="1">
      <c r="A52" s="92" t="s">
        <v>570</v>
      </c>
      <c r="P52" s="86" t="e">
        <f>SUM('7.finanszírozás jav. mód..'!H44)</f>
        <v>#REF!</v>
      </c>
    </row>
    <row r="53" spans="1:16" ht="12.75" hidden="1">
      <c r="A53" s="92" t="s">
        <v>579</v>
      </c>
      <c r="P53" s="416" t="e">
        <f>SUM(P51+P52)</f>
        <v>#REF!</v>
      </c>
    </row>
    <row r="54" spans="1:18" ht="12.75" hidden="1">
      <c r="A54" s="92" t="s">
        <v>576</v>
      </c>
      <c r="R54" s="84">
        <v>3</v>
      </c>
    </row>
    <row r="55" ht="12.75" hidden="1"/>
    <row r="56" ht="12.75" hidden="1"/>
  </sheetData>
  <sheetProtection/>
  <mergeCells count="21">
    <mergeCell ref="O6:O7"/>
    <mergeCell ref="G6:H6"/>
    <mergeCell ref="P31:P33"/>
    <mergeCell ref="G32:H32"/>
    <mergeCell ref="K31:O31"/>
    <mergeCell ref="R30:R33"/>
    <mergeCell ref="R4:R7"/>
    <mergeCell ref="K5:O5"/>
    <mergeCell ref="P5:P7"/>
    <mergeCell ref="Q30:Q33"/>
    <mergeCell ref="Q4:Q7"/>
    <mergeCell ref="B5:I5"/>
    <mergeCell ref="O32:O33"/>
    <mergeCell ref="J31:J33"/>
    <mergeCell ref="B30:P30"/>
    <mergeCell ref="A2:P2"/>
    <mergeCell ref="A4:A7"/>
    <mergeCell ref="B4:P4"/>
    <mergeCell ref="B31:I31"/>
    <mergeCell ref="A30:A33"/>
    <mergeCell ref="J5:J7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Ernyes</cp:lastModifiedBy>
  <cp:lastPrinted>2018-02-20T10:05:34Z</cp:lastPrinted>
  <dcterms:created xsi:type="dcterms:W3CDTF">2009-11-11T14:39:35Z</dcterms:created>
  <dcterms:modified xsi:type="dcterms:W3CDTF">2018-02-20T10:28:21Z</dcterms:modified>
  <cp:category/>
  <cp:version/>
  <cp:contentType/>
  <cp:contentStatus/>
</cp:coreProperties>
</file>